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13_ncr:1_{3F76B512-B496-4A96-87E2-F1DFA01F3E07}" xr6:coauthVersionLast="47" xr6:coauthVersionMax="47" xr10:uidLastSave="{00000000-0000-0000-0000-000000000000}"/>
  <bookViews>
    <workbookView xWindow="28680" yWindow="-30" windowWidth="29040" windowHeight="15840" firstSheet="1" activeTab="1" xr2:uid="{DDCFDFE4-BFC1-4EC5-88CA-6558940CD209}"/>
  </bookViews>
  <sheets>
    <sheet name="README" sheetId="7" state="hidden" r:id="rId1"/>
    <sheet name="Project Details" sheetId="6" r:id="rId2"/>
    <sheet name="Input_og" sheetId="11" state="hidden" r:id="rId3"/>
    <sheet name="Input_new" sheetId="13" state="hidden" r:id="rId4"/>
    <sheet name="Data Collection" sheetId="14" r:id="rId5"/>
    <sheet name="Graphing Data" sheetId="22" state="hidden" r:id="rId6"/>
    <sheet name="Index Formatting" sheetId="18" state="hidden" r:id="rId7"/>
    <sheet name="Emission Factors 2" sheetId="15" state="hidden" r:id="rId8"/>
    <sheet name="Emission Factors" sheetId="9" state="hidden" r:id="rId9"/>
    <sheet name="Lookup" sheetId="8" state="hidden" r:id="rId10"/>
    <sheet name="Month Table" sheetId="23" state="hidden" r:id="rId11"/>
  </sheets>
  <definedNames>
    <definedName name="_xlnm._FilterDatabase" localSheetId="8" hidden="1">'Emission Factors'!$A$2:$K$44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4" l="1"/>
  <c r="AF4" i="14" s="1"/>
  <c r="I4" i="8"/>
  <c r="I3" i="8"/>
  <c r="B16" i="22"/>
  <c r="T2" i="14"/>
  <c r="AE2" i="14"/>
  <c r="AD2" i="14"/>
  <c r="AC2" i="14"/>
  <c r="AB2" i="14"/>
  <c r="AA2" i="14"/>
  <c r="Z2" i="14"/>
  <c r="Y2" i="14"/>
  <c r="X2" i="14"/>
  <c r="W2" i="14"/>
  <c r="V2" i="14"/>
  <c r="U2" i="14"/>
  <c r="S2" i="14"/>
  <c r="R2" i="14"/>
  <c r="Q2" i="14"/>
  <c r="P2" i="14"/>
  <c r="O2" i="14"/>
  <c r="N2" i="14"/>
  <c r="M2" i="14"/>
  <c r="L2" i="14"/>
  <c r="K2" i="14"/>
  <c r="J2" i="14"/>
  <c r="I2" i="14"/>
  <c r="N20" i="8"/>
  <c r="V62" i="14"/>
  <c r="I1" i="18"/>
  <c r="I6" i="18" s="1"/>
  <c r="A21" i="14"/>
  <c r="A3" i="14"/>
  <c r="T13" i="14"/>
  <c r="B313" i="15"/>
  <c r="C20" i="22"/>
  <c r="D20" i="22"/>
  <c r="E20" i="22"/>
  <c r="F20" i="22"/>
  <c r="G20" i="22"/>
  <c r="H20" i="22"/>
  <c r="I20" i="22"/>
  <c r="J20" i="22"/>
  <c r="K20" i="22"/>
  <c r="L20" i="22"/>
  <c r="M20" i="22"/>
  <c r="C19" i="22"/>
  <c r="D19" i="22"/>
  <c r="E19" i="22"/>
  <c r="F19" i="22"/>
  <c r="G19" i="22"/>
  <c r="H19" i="22"/>
  <c r="I19" i="22"/>
  <c r="J19" i="22"/>
  <c r="K19" i="22"/>
  <c r="L19" i="22"/>
  <c r="M19" i="22"/>
  <c r="C18" i="22"/>
  <c r="D18" i="22"/>
  <c r="E18" i="22"/>
  <c r="F18" i="22"/>
  <c r="G18" i="22"/>
  <c r="H18" i="22"/>
  <c r="I18" i="22"/>
  <c r="J18" i="22"/>
  <c r="K18" i="22"/>
  <c r="L18" i="22"/>
  <c r="M18" i="22"/>
  <c r="C17" i="22"/>
  <c r="D17" i="22"/>
  <c r="E17" i="22"/>
  <c r="F17" i="22"/>
  <c r="G17" i="22"/>
  <c r="H17" i="22"/>
  <c r="I17" i="22"/>
  <c r="J17" i="22"/>
  <c r="K17" i="22"/>
  <c r="L17" i="22"/>
  <c r="M17" i="22"/>
  <c r="C16" i="22"/>
  <c r="D16" i="22"/>
  <c r="E16" i="22"/>
  <c r="F16" i="22"/>
  <c r="G16" i="22"/>
  <c r="H16" i="22"/>
  <c r="I16" i="22"/>
  <c r="J16" i="22"/>
  <c r="K16" i="22"/>
  <c r="L16" i="22"/>
  <c r="M16" i="22"/>
  <c r="C15" i="22"/>
  <c r="D15" i="22"/>
  <c r="E15" i="22"/>
  <c r="F15" i="22"/>
  <c r="G15" i="22"/>
  <c r="H15" i="22"/>
  <c r="I15" i="22"/>
  <c r="J15" i="22"/>
  <c r="K15" i="22"/>
  <c r="L15" i="22"/>
  <c r="M15" i="22"/>
  <c r="C14" i="22"/>
  <c r="D14" i="22"/>
  <c r="E14" i="22"/>
  <c r="F14" i="22"/>
  <c r="G14" i="22"/>
  <c r="H14" i="22"/>
  <c r="I14" i="22"/>
  <c r="J14" i="22"/>
  <c r="K14" i="22"/>
  <c r="L14" i="22"/>
  <c r="M14" i="22"/>
  <c r="C13" i="22"/>
  <c r="D13" i="22"/>
  <c r="E13" i="22"/>
  <c r="F13" i="22"/>
  <c r="G13" i="22"/>
  <c r="H13" i="22"/>
  <c r="I13" i="22"/>
  <c r="J13" i="22"/>
  <c r="K13" i="22"/>
  <c r="L13" i="22"/>
  <c r="M13" i="22"/>
  <c r="C12" i="22"/>
  <c r="D12" i="22"/>
  <c r="E12" i="22"/>
  <c r="F12" i="22"/>
  <c r="G12" i="22"/>
  <c r="H12" i="22"/>
  <c r="I12" i="22"/>
  <c r="J12" i="22"/>
  <c r="K12" i="22"/>
  <c r="L12" i="22"/>
  <c r="M12" i="22"/>
  <c r="C11" i="22"/>
  <c r="D11" i="22"/>
  <c r="E11" i="22"/>
  <c r="F11" i="22"/>
  <c r="G11" i="22"/>
  <c r="H11" i="22"/>
  <c r="I11" i="22"/>
  <c r="J11" i="22"/>
  <c r="K11" i="22"/>
  <c r="L11" i="22"/>
  <c r="M11" i="22"/>
  <c r="C10" i="22"/>
  <c r="D10" i="22"/>
  <c r="E10" i="22"/>
  <c r="F10" i="22"/>
  <c r="G10" i="22"/>
  <c r="H10" i="22"/>
  <c r="I10" i="22"/>
  <c r="J10" i="22"/>
  <c r="K10" i="22"/>
  <c r="L10" i="22"/>
  <c r="M10" i="22"/>
  <c r="C9" i="22"/>
  <c r="D9" i="22"/>
  <c r="E9" i="22"/>
  <c r="F9" i="22"/>
  <c r="G9" i="22"/>
  <c r="H9" i="22"/>
  <c r="I9" i="22"/>
  <c r="J9" i="22"/>
  <c r="K9" i="22"/>
  <c r="L9" i="22"/>
  <c r="M9" i="22"/>
  <c r="C8" i="22"/>
  <c r="D8" i="22"/>
  <c r="E8" i="22"/>
  <c r="F8" i="22"/>
  <c r="G8" i="22"/>
  <c r="H8" i="22"/>
  <c r="I8" i="22"/>
  <c r="J8" i="22"/>
  <c r="K8" i="22"/>
  <c r="L8" i="22"/>
  <c r="M8" i="22"/>
  <c r="C7" i="22"/>
  <c r="D7" i="22"/>
  <c r="E7" i="22"/>
  <c r="F7" i="22"/>
  <c r="G7" i="22"/>
  <c r="H7" i="22"/>
  <c r="I7" i="22"/>
  <c r="J7" i="22"/>
  <c r="K7" i="22"/>
  <c r="L7" i="22"/>
  <c r="M7" i="22"/>
  <c r="C6" i="22"/>
  <c r="D6" i="22"/>
  <c r="E6" i="22"/>
  <c r="F6" i="22"/>
  <c r="G6" i="22"/>
  <c r="H6" i="22"/>
  <c r="I6" i="22"/>
  <c r="J6" i="22"/>
  <c r="K6" i="22"/>
  <c r="L6" i="22"/>
  <c r="M6" i="22"/>
  <c r="C5" i="22"/>
  <c r="D5" i="22"/>
  <c r="E5" i="22"/>
  <c r="F5" i="22"/>
  <c r="G5" i="22"/>
  <c r="H5" i="22"/>
  <c r="I5" i="22"/>
  <c r="J5" i="22"/>
  <c r="K5" i="22"/>
  <c r="L5" i="22"/>
  <c r="M5" i="22"/>
  <c r="B20" i="22"/>
  <c r="B19" i="22"/>
  <c r="B18" i="22"/>
  <c r="B17" i="22"/>
  <c r="B15" i="22"/>
  <c r="B14" i="22"/>
  <c r="B13" i="22"/>
  <c r="B12" i="22"/>
  <c r="B11" i="22"/>
  <c r="B10" i="22"/>
  <c r="B9" i="22"/>
  <c r="B8" i="22"/>
  <c r="B7" i="22"/>
  <c r="B6" i="22"/>
  <c r="B5" i="22"/>
  <c r="C4" i="22"/>
  <c r="D4" i="22"/>
  <c r="E4" i="22"/>
  <c r="F4" i="22"/>
  <c r="G4" i="22"/>
  <c r="H4" i="22"/>
  <c r="I4" i="22"/>
  <c r="J4" i="22"/>
  <c r="K4" i="22"/>
  <c r="L4" i="22"/>
  <c r="M4" i="22"/>
  <c r="B4" i="22"/>
  <c r="C3" i="22"/>
  <c r="D3" i="22"/>
  <c r="E3" i="22"/>
  <c r="F3" i="22"/>
  <c r="G3" i="22"/>
  <c r="H3" i="22"/>
  <c r="I3" i="22"/>
  <c r="J3" i="22"/>
  <c r="K3" i="22"/>
  <c r="L3" i="22"/>
  <c r="M3" i="22"/>
  <c r="B3" i="22"/>
  <c r="C2" i="22"/>
  <c r="D2" i="22"/>
  <c r="E2" i="22"/>
  <c r="F2" i="22"/>
  <c r="G2" i="22"/>
  <c r="H2" i="22"/>
  <c r="I2" i="22"/>
  <c r="J2" i="22"/>
  <c r="K2" i="22"/>
  <c r="L2" i="22"/>
  <c r="M2" i="22"/>
  <c r="B2" i="22"/>
  <c r="AF19" i="14" l="1"/>
  <c r="AF54" i="14"/>
  <c r="AF33" i="14"/>
  <c r="AF32" i="14"/>
  <c r="AF31" i="14"/>
  <c r="AF30" i="14"/>
  <c r="AF22" i="14"/>
  <c r="AF28" i="14"/>
  <c r="AF27" i="14"/>
  <c r="AF26" i="14"/>
  <c r="AF25" i="14"/>
  <c r="AF24" i="14"/>
  <c r="AF23" i="14"/>
  <c r="AF20" i="14"/>
  <c r="AF29" i="14"/>
  <c r="AF55" i="14"/>
  <c r="N19" i="22"/>
  <c r="N8" i="22"/>
  <c r="N2" i="22"/>
  <c r="N4" i="22"/>
  <c r="N7" i="22"/>
  <c r="N3" i="22"/>
  <c r="N5" i="22"/>
  <c r="N20" i="22"/>
  <c r="N18" i="22"/>
  <c r="N17" i="22"/>
  <c r="N16" i="22"/>
  <c r="N15" i="22"/>
  <c r="N14" i="22"/>
  <c r="N13" i="22"/>
  <c r="N11" i="22"/>
  <c r="N12" i="22"/>
  <c r="N10" i="22"/>
  <c r="N9" i="22"/>
  <c r="N6" i="22"/>
  <c r="C21" i="22"/>
  <c r="B21" i="22"/>
  <c r="I21" i="22"/>
  <c r="H21" i="22"/>
  <c r="G21" i="22"/>
  <c r="F21" i="22"/>
  <c r="E21" i="22"/>
  <c r="D21" i="22"/>
  <c r="J21" i="22"/>
  <c r="L21" i="22"/>
  <c r="M21" i="22"/>
  <c r="K21" i="22"/>
  <c r="U194" i="14"/>
  <c r="V194" i="14"/>
  <c r="W194" i="14"/>
  <c r="X194" i="14"/>
  <c r="Y194" i="14"/>
  <c r="Z194" i="14"/>
  <c r="AA194" i="14"/>
  <c r="AB194" i="14"/>
  <c r="AC194" i="14"/>
  <c r="AD194" i="14"/>
  <c r="AE194" i="14"/>
  <c r="T194" i="14"/>
  <c r="U53" i="14"/>
  <c r="V53" i="14"/>
  <c r="W53" i="14"/>
  <c r="X53" i="14"/>
  <c r="Y53" i="14"/>
  <c r="Z53" i="14"/>
  <c r="AA53" i="14"/>
  <c r="AB53" i="14"/>
  <c r="AC53" i="14"/>
  <c r="AD53" i="14"/>
  <c r="AE53" i="14"/>
  <c r="T42" i="14"/>
  <c r="I3" i="18"/>
  <c r="I4" i="18"/>
  <c r="I5" i="18"/>
  <c r="E14" i="14" s="1"/>
  <c r="E19" i="14"/>
  <c r="I7" i="18"/>
  <c r="E20" i="14" s="1"/>
  <c r="I8" i="18"/>
  <c r="I9" i="18"/>
  <c r="I10" i="18"/>
  <c r="I11" i="18"/>
  <c r="I12" i="18"/>
  <c r="E35" i="14" s="1"/>
  <c r="I13" i="18"/>
  <c r="E39" i="14" s="1"/>
  <c r="I14" i="18"/>
  <c r="E42" i="14" s="1"/>
  <c r="E43" i="14" s="1"/>
  <c r="E44" i="14" s="1"/>
  <c r="E45" i="14" s="1"/>
  <c r="E46" i="14" s="1"/>
  <c r="E47" i="14" s="1"/>
  <c r="E48" i="14" s="1"/>
  <c r="E49" i="14" s="1"/>
  <c r="E50" i="14" s="1"/>
  <c r="I15" i="18"/>
  <c r="E53" i="14" s="1"/>
  <c r="E51" i="14" s="1"/>
  <c r="I16" i="18"/>
  <c r="E54" i="14" s="1"/>
  <c r="I17" i="18"/>
  <c r="E69" i="14" s="1"/>
  <c r="I18" i="18"/>
  <c r="E94" i="14" s="1"/>
  <c r="I19" i="18"/>
  <c r="E114" i="14" s="1"/>
  <c r="I20" i="18"/>
  <c r="E140" i="14" s="1"/>
  <c r="I21" i="18"/>
  <c r="E144" i="14" s="1"/>
  <c r="I22" i="18"/>
  <c r="E160" i="14" s="1"/>
  <c r="I23" i="18"/>
  <c r="E167" i="14" s="1"/>
  <c r="I24" i="18"/>
  <c r="E175" i="14" s="1"/>
  <c r="I25" i="18"/>
  <c r="E191" i="14" s="1"/>
  <c r="I26" i="18"/>
  <c r="E200" i="14" s="1"/>
  <c r="I27" i="18"/>
  <c r="E216" i="14" s="1"/>
  <c r="I28" i="18"/>
  <c r="E222" i="14" s="1"/>
  <c r="I29" i="18"/>
  <c r="E240" i="14" s="1"/>
  <c r="I30" i="18"/>
  <c r="E244" i="14" s="1"/>
  <c r="I2" i="18"/>
  <c r="AE135" i="14"/>
  <c r="AD135" i="14"/>
  <c r="AC135" i="14"/>
  <c r="AB135" i="14"/>
  <c r="AA135" i="14"/>
  <c r="Z135" i="14"/>
  <c r="Y135" i="14"/>
  <c r="X135" i="14"/>
  <c r="W135" i="14"/>
  <c r="V135" i="14"/>
  <c r="U135" i="14"/>
  <c r="T135" i="14"/>
  <c r="AE134" i="14"/>
  <c r="AD134" i="14"/>
  <c r="AC134" i="14"/>
  <c r="AB134" i="14"/>
  <c r="AA134" i="14"/>
  <c r="Z134" i="14"/>
  <c r="Y134" i="14"/>
  <c r="X134" i="14"/>
  <c r="W134" i="14"/>
  <c r="V134" i="14"/>
  <c r="U134" i="14"/>
  <c r="T134" i="14"/>
  <c r="AE133" i="14"/>
  <c r="AD133" i="14"/>
  <c r="AC133" i="14"/>
  <c r="AB133" i="14"/>
  <c r="AA133" i="14"/>
  <c r="Z133" i="14"/>
  <c r="Y133" i="14"/>
  <c r="X133" i="14"/>
  <c r="W133" i="14"/>
  <c r="V133" i="14"/>
  <c r="U133" i="14"/>
  <c r="T133" i="14"/>
  <c r="AE132" i="14"/>
  <c r="AD132" i="14"/>
  <c r="AC132" i="14"/>
  <c r="AB132" i="14"/>
  <c r="AA132" i="14"/>
  <c r="Z132" i="14"/>
  <c r="Y132" i="14"/>
  <c r="X132" i="14"/>
  <c r="W132" i="14"/>
  <c r="V132" i="14"/>
  <c r="U132" i="14"/>
  <c r="T132" i="14"/>
  <c r="AE131" i="14"/>
  <c r="AD131" i="14"/>
  <c r="AC131" i="14"/>
  <c r="AB131" i="14"/>
  <c r="AA131" i="14"/>
  <c r="Z131" i="14"/>
  <c r="Y131" i="14"/>
  <c r="X131" i="14"/>
  <c r="W131" i="14"/>
  <c r="V131" i="14"/>
  <c r="U131" i="14"/>
  <c r="T131" i="14"/>
  <c r="AE130" i="14"/>
  <c r="AD130" i="14"/>
  <c r="AC130" i="14"/>
  <c r="AB130" i="14"/>
  <c r="AA130" i="14"/>
  <c r="Z130" i="14"/>
  <c r="Y130" i="14"/>
  <c r="X130" i="14"/>
  <c r="W130" i="14"/>
  <c r="V130" i="14"/>
  <c r="U130" i="14"/>
  <c r="T130" i="14"/>
  <c r="AE129" i="14"/>
  <c r="AD129" i="14"/>
  <c r="AC129" i="14"/>
  <c r="AB129" i="14"/>
  <c r="AA129" i="14"/>
  <c r="Z129" i="14"/>
  <c r="Y129" i="14"/>
  <c r="X129" i="14"/>
  <c r="W129" i="14"/>
  <c r="V129" i="14"/>
  <c r="U129" i="14"/>
  <c r="T129" i="14"/>
  <c r="AE128" i="14"/>
  <c r="AD128" i="14"/>
  <c r="AC128" i="14"/>
  <c r="AB128" i="14"/>
  <c r="AA128" i="14"/>
  <c r="Z128" i="14"/>
  <c r="Y128" i="14"/>
  <c r="X128" i="14"/>
  <c r="W128" i="14"/>
  <c r="V128" i="14"/>
  <c r="U128" i="14"/>
  <c r="T128" i="14"/>
  <c r="AE127" i="14"/>
  <c r="AD127" i="14"/>
  <c r="AC127" i="14"/>
  <c r="AB127" i="14"/>
  <c r="AA127" i="14"/>
  <c r="Z127" i="14"/>
  <c r="Y127" i="14"/>
  <c r="X127" i="14"/>
  <c r="W127" i="14"/>
  <c r="V127" i="14"/>
  <c r="U127" i="14"/>
  <c r="T127" i="14"/>
  <c r="U42" i="14"/>
  <c r="V42" i="14"/>
  <c r="W42" i="14"/>
  <c r="X42" i="14"/>
  <c r="Y42" i="14"/>
  <c r="Z42" i="14"/>
  <c r="AA42" i="14"/>
  <c r="AB42" i="14"/>
  <c r="AC42" i="14"/>
  <c r="AD42" i="14"/>
  <c r="AE42" i="14"/>
  <c r="U43" i="14"/>
  <c r="AF43" i="14" s="1"/>
  <c r="V43" i="14"/>
  <c r="W43" i="14"/>
  <c r="X43" i="14"/>
  <c r="Y43" i="14"/>
  <c r="Z43" i="14"/>
  <c r="AA43" i="14"/>
  <c r="AB43" i="14"/>
  <c r="AC43" i="14"/>
  <c r="AD43" i="14"/>
  <c r="AE43" i="14"/>
  <c r="U44" i="14"/>
  <c r="V44" i="14"/>
  <c r="W44" i="14"/>
  <c r="X44" i="14"/>
  <c r="Y44" i="14"/>
  <c r="Z44" i="14"/>
  <c r="AA44" i="14"/>
  <c r="AB44" i="14"/>
  <c r="AC44" i="14"/>
  <c r="AD44" i="14"/>
  <c r="AE44" i="14"/>
  <c r="U45" i="14"/>
  <c r="V45" i="14"/>
  <c r="W45" i="14"/>
  <c r="X45" i="14"/>
  <c r="Y45" i="14"/>
  <c r="Z45" i="14"/>
  <c r="AA45" i="14"/>
  <c r="AB45" i="14"/>
  <c r="AC45" i="14"/>
  <c r="AD45" i="14"/>
  <c r="AE45" i="14"/>
  <c r="T43" i="14"/>
  <c r="T44" i="14"/>
  <c r="T46" i="14"/>
  <c r="U46" i="14"/>
  <c r="V46" i="14"/>
  <c r="W46" i="14"/>
  <c r="X46" i="14"/>
  <c r="Y46" i="14"/>
  <c r="Z46" i="14"/>
  <c r="AA46" i="14"/>
  <c r="AB46" i="14"/>
  <c r="AC46" i="14"/>
  <c r="AD46" i="14"/>
  <c r="AE46" i="14"/>
  <c r="T47" i="14"/>
  <c r="U47" i="14"/>
  <c r="V47" i="14"/>
  <c r="W47" i="14"/>
  <c r="X47" i="14"/>
  <c r="Y47" i="14"/>
  <c r="Z47" i="14"/>
  <c r="AA47" i="14"/>
  <c r="AB47" i="14"/>
  <c r="AC47" i="14"/>
  <c r="AD47" i="14"/>
  <c r="AE47" i="14"/>
  <c r="T48" i="14"/>
  <c r="U48" i="14"/>
  <c r="V48" i="14"/>
  <c r="W48" i="14"/>
  <c r="X48" i="14"/>
  <c r="Y48" i="14"/>
  <c r="Z48" i="14"/>
  <c r="AA48" i="14"/>
  <c r="AB48" i="14"/>
  <c r="AC48" i="14"/>
  <c r="AD48" i="14"/>
  <c r="AE48" i="14"/>
  <c r="T49" i="14"/>
  <c r="U49" i="14"/>
  <c r="V49" i="14"/>
  <c r="W49" i="14"/>
  <c r="X49" i="14"/>
  <c r="Y49" i="14"/>
  <c r="Z49" i="14"/>
  <c r="AA49" i="14"/>
  <c r="AB49" i="14"/>
  <c r="AC49" i="14"/>
  <c r="AD49" i="14"/>
  <c r="AE49" i="14"/>
  <c r="T50" i="14"/>
  <c r="U50" i="14"/>
  <c r="V50" i="14"/>
  <c r="W50" i="14"/>
  <c r="X50" i="14"/>
  <c r="Y50" i="14"/>
  <c r="Z50" i="14"/>
  <c r="AA50" i="14"/>
  <c r="AB50" i="14"/>
  <c r="AC50" i="14"/>
  <c r="AD50" i="14"/>
  <c r="AE50" i="14"/>
  <c r="T45" i="14"/>
  <c r="T97" i="14"/>
  <c r="AF194" i="14" l="1"/>
  <c r="AF48" i="14"/>
  <c r="AF45" i="14"/>
  <c r="AF46" i="14"/>
  <c r="AF44" i="14"/>
  <c r="AF49" i="14"/>
  <c r="AF42" i="14"/>
  <c r="AF47" i="14"/>
  <c r="AF50" i="14"/>
  <c r="AF131" i="14"/>
  <c r="AF128" i="14"/>
  <c r="AF133" i="14"/>
  <c r="AF134" i="14"/>
  <c r="AF130" i="14"/>
  <c r="AF135" i="14"/>
  <c r="AF127" i="14"/>
  <c r="AF132" i="14"/>
  <c r="AF129" i="14"/>
  <c r="A18" i="14"/>
  <c r="N21" i="22"/>
  <c r="E38" i="14"/>
  <c r="E52" i="14"/>
  <c r="E55" i="14"/>
  <c r="E214" i="14"/>
  <c r="E16" i="14"/>
  <c r="E159" i="14"/>
  <c r="E158" i="14"/>
  <c r="E155" i="14"/>
  <c r="E172" i="14"/>
  <c r="E138" i="14"/>
  <c r="E135" i="14"/>
  <c r="E129" i="14"/>
  <c r="E128" i="14"/>
  <c r="E163" i="14"/>
  <c r="E130" i="14"/>
  <c r="E127" i="14"/>
  <c r="E153" i="14"/>
  <c r="E152" i="14"/>
  <c r="E13" i="14"/>
  <c r="E151" i="14"/>
  <c r="E17" i="14"/>
  <c r="E15" i="14"/>
  <c r="E196" i="14"/>
  <c r="E188" i="14"/>
  <c r="E199" i="14"/>
  <c r="E78" i="14"/>
  <c r="E71" i="14"/>
  <c r="E124" i="14"/>
  <c r="E68" i="14"/>
  <c r="E126" i="14"/>
  <c r="E125" i="14"/>
  <c r="E123" i="14"/>
  <c r="E147" i="14"/>
  <c r="E150" i="14"/>
  <c r="E113" i="14"/>
  <c r="E86" i="14"/>
  <c r="E67" i="14"/>
  <c r="E101" i="14"/>
  <c r="E84" i="14"/>
  <c r="E100" i="14"/>
  <c r="E213" i="14"/>
  <c r="E83" i="14"/>
  <c r="E99" i="14"/>
  <c r="E212" i="14"/>
  <c r="E79" i="14"/>
  <c r="E98" i="14"/>
  <c r="E201" i="14"/>
  <c r="E211" i="14"/>
  <c r="E97" i="14"/>
  <c r="E210" i="14"/>
  <c r="E77" i="14"/>
  <c r="E96" i="14"/>
  <c r="E251" i="14"/>
  <c r="E209" i="14"/>
  <c r="E76" i="14"/>
  <c r="E93" i="14"/>
  <c r="E250" i="14"/>
  <c r="E205" i="14"/>
  <c r="E75" i="14"/>
  <c r="E92" i="14"/>
  <c r="E249" i="14"/>
  <c r="E204" i="14"/>
  <c r="E74" i="14"/>
  <c r="E91" i="14"/>
  <c r="E248" i="14"/>
  <c r="E203" i="14"/>
  <c r="E247" i="14"/>
  <c r="E207" i="14"/>
  <c r="E73" i="14"/>
  <c r="E118" i="14"/>
  <c r="E202" i="14"/>
  <c r="E72" i="14"/>
  <c r="E117" i="14"/>
  <c r="E148" i="14"/>
  <c r="E239" i="14"/>
  <c r="E226" i="14"/>
  <c r="E111" i="14"/>
  <c r="E225" i="14"/>
  <c r="E66" i="14"/>
  <c r="E110" i="14"/>
  <c r="E224" i="14"/>
  <c r="E178" i="14"/>
  <c r="E112" i="14"/>
  <c r="E177" i="14"/>
  <c r="E223" i="14"/>
  <c r="E63" i="14"/>
  <c r="E108" i="14"/>
  <c r="E157" i="14"/>
  <c r="E220" i="14"/>
  <c r="E176" i="14"/>
  <c r="E227" i="14"/>
  <c r="E64" i="14"/>
  <c r="E109" i="14"/>
  <c r="E59" i="14"/>
  <c r="E107" i="14"/>
  <c r="E156" i="14"/>
  <c r="E219" i="14"/>
  <c r="E173" i="14"/>
  <c r="E88" i="14"/>
  <c r="E90" i="14"/>
  <c r="E106" i="14"/>
  <c r="E218" i="14"/>
  <c r="E87" i="14"/>
  <c r="E102" i="14"/>
  <c r="E139" i="14"/>
  <c r="E154" i="14"/>
  <c r="E215" i="14"/>
  <c r="E170" i="14"/>
  <c r="E40" i="14"/>
  <c r="E41" i="14"/>
  <c r="E238" i="14"/>
  <c r="E187" i="14"/>
  <c r="E137" i="14"/>
  <c r="E146" i="14"/>
  <c r="E236" i="14"/>
  <c r="E186" i="14"/>
  <c r="E85" i="14"/>
  <c r="E65" i="14"/>
  <c r="E105" i="14"/>
  <c r="E136" i="14"/>
  <c r="E145" i="14"/>
  <c r="E235" i="14"/>
  <c r="E185" i="14"/>
  <c r="E184" i="14"/>
  <c r="E243" i="14"/>
  <c r="E183" i="14"/>
  <c r="E82" i="14"/>
  <c r="E62" i="14"/>
  <c r="E116" i="14"/>
  <c r="E133" i="14"/>
  <c r="E162" i="14"/>
  <c r="E255" i="14"/>
  <c r="E232" i="14"/>
  <c r="E182" i="14"/>
  <c r="E237" i="14"/>
  <c r="E234" i="14"/>
  <c r="E81" i="14"/>
  <c r="E61" i="14"/>
  <c r="E115" i="14"/>
  <c r="E132" i="14"/>
  <c r="E161" i="14"/>
  <c r="E254" i="14"/>
  <c r="E231" i="14"/>
  <c r="E208" i="14"/>
  <c r="E181" i="14"/>
  <c r="E190" i="14"/>
  <c r="E134" i="14"/>
  <c r="E233" i="14"/>
  <c r="E80" i="14"/>
  <c r="E60" i="14"/>
  <c r="E131" i="14"/>
  <c r="E253" i="14"/>
  <c r="E230" i="14"/>
  <c r="E180" i="14"/>
  <c r="E252" i="14"/>
  <c r="E229" i="14"/>
  <c r="E179" i="14"/>
  <c r="E246" i="14"/>
  <c r="E195" i="14"/>
  <c r="E171" i="14"/>
  <c r="E194" i="14"/>
  <c r="E122" i="14"/>
  <c r="E169" i="14"/>
  <c r="E70" i="14"/>
  <c r="E95" i="14"/>
  <c r="E141" i="14"/>
  <c r="E121" i="14"/>
  <c r="E166" i="14"/>
  <c r="E241" i="14"/>
  <c r="E217" i="14"/>
  <c r="E192" i="14"/>
  <c r="E168" i="14"/>
  <c r="E245" i="14"/>
  <c r="E120" i="14"/>
  <c r="E193" i="14"/>
  <c r="E58" i="14"/>
  <c r="E36" i="14"/>
  <c r="E37" i="14"/>
  <c r="U96" i="14"/>
  <c r="V96" i="14"/>
  <c r="W96" i="14"/>
  <c r="X96" i="14"/>
  <c r="Y96" i="14"/>
  <c r="Z96" i="14"/>
  <c r="AA96" i="14"/>
  <c r="AB96" i="14"/>
  <c r="AC96" i="14"/>
  <c r="AD96" i="14"/>
  <c r="AE96" i="14"/>
  <c r="U97" i="14"/>
  <c r="V97" i="14"/>
  <c r="W97" i="14"/>
  <c r="X97" i="14"/>
  <c r="Y97" i="14"/>
  <c r="Z97" i="14"/>
  <c r="AA97" i="14"/>
  <c r="AB97" i="14"/>
  <c r="AC97" i="14"/>
  <c r="AD97" i="14"/>
  <c r="AE97" i="14"/>
  <c r="U98" i="14"/>
  <c r="V98" i="14"/>
  <c r="W98" i="14"/>
  <c r="X98" i="14"/>
  <c r="Y98" i="14"/>
  <c r="Z98" i="14"/>
  <c r="AA98" i="14"/>
  <c r="AB98" i="14"/>
  <c r="AC98" i="14"/>
  <c r="AD98" i="14"/>
  <c r="AE98" i="14"/>
  <c r="U99" i="14"/>
  <c r="V99" i="14"/>
  <c r="W99" i="14"/>
  <c r="X99" i="14"/>
  <c r="Y99" i="14"/>
  <c r="Z99" i="14"/>
  <c r="AA99" i="14"/>
  <c r="AB99" i="14"/>
  <c r="AC99" i="14"/>
  <c r="AD99" i="14"/>
  <c r="AE99" i="14"/>
  <c r="U100" i="14"/>
  <c r="V100" i="14"/>
  <c r="W100" i="14"/>
  <c r="X100" i="14"/>
  <c r="Y100" i="14"/>
  <c r="Z100" i="14"/>
  <c r="AA100" i="14"/>
  <c r="AB100" i="14"/>
  <c r="AC100" i="14"/>
  <c r="AD100" i="14"/>
  <c r="AE100" i="14"/>
  <c r="U101" i="14"/>
  <c r="V101" i="14"/>
  <c r="W101" i="14"/>
  <c r="X101" i="14"/>
  <c r="Y101" i="14"/>
  <c r="Z101" i="14"/>
  <c r="AA101" i="14"/>
  <c r="AB101" i="14"/>
  <c r="AC101" i="14"/>
  <c r="AD101" i="14"/>
  <c r="AE101" i="14"/>
  <c r="U102" i="14"/>
  <c r="V102" i="14"/>
  <c r="W102" i="14"/>
  <c r="X102" i="14"/>
  <c r="Y102" i="14"/>
  <c r="Z102" i="14"/>
  <c r="AA102" i="14"/>
  <c r="AB102" i="14"/>
  <c r="AC102" i="14"/>
  <c r="AD102" i="14"/>
  <c r="AE102" i="14"/>
  <c r="T98" i="14"/>
  <c r="T99" i="14"/>
  <c r="T100" i="14"/>
  <c r="T101" i="14"/>
  <c r="T102" i="14"/>
  <c r="T159" i="14"/>
  <c r="U159" i="14"/>
  <c r="V159" i="14"/>
  <c r="W159" i="14"/>
  <c r="X159" i="14"/>
  <c r="Y159" i="14"/>
  <c r="Z159" i="14"/>
  <c r="AA159" i="14"/>
  <c r="AB159" i="14"/>
  <c r="AC159" i="14"/>
  <c r="AD159" i="14"/>
  <c r="AE159" i="14"/>
  <c r="T160" i="14"/>
  <c r="U160" i="14"/>
  <c r="V160" i="14"/>
  <c r="W160" i="14"/>
  <c r="X160" i="14"/>
  <c r="Y160" i="14"/>
  <c r="Z160" i="14"/>
  <c r="AA160" i="14"/>
  <c r="AB160" i="14"/>
  <c r="AC160" i="14"/>
  <c r="AD160" i="14"/>
  <c r="AE160" i="14"/>
  <c r="T161" i="14"/>
  <c r="U161" i="14"/>
  <c r="V161" i="14"/>
  <c r="W161" i="14"/>
  <c r="X161" i="14"/>
  <c r="Y161" i="14"/>
  <c r="Z161" i="14"/>
  <c r="AA161" i="14"/>
  <c r="AB161" i="14"/>
  <c r="AC161" i="14"/>
  <c r="AD161" i="14"/>
  <c r="AE161" i="14"/>
  <c r="T162" i="14"/>
  <c r="U162" i="14"/>
  <c r="V162" i="14"/>
  <c r="W162" i="14"/>
  <c r="X162" i="14"/>
  <c r="Y162" i="14"/>
  <c r="Z162" i="14"/>
  <c r="AA162" i="14"/>
  <c r="AB162" i="14"/>
  <c r="AC162" i="14"/>
  <c r="AD162" i="14"/>
  <c r="AE162" i="14"/>
  <c r="T163" i="14"/>
  <c r="U163" i="14"/>
  <c r="V163" i="14"/>
  <c r="W163" i="14"/>
  <c r="X163" i="14"/>
  <c r="Y163" i="14"/>
  <c r="Z163" i="14"/>
  <c r="AA163" i="14"/>
  <c r="AB163" i="14"/>
  <c r="AC163" i="14"/>
  <c r="AD163" i="14"/>
  <c r="AE163" i="14"/>
  <c r="U158" i="14"/>
  <c r="V158" i="14"/>
  <c r="W158" i="14"/>
  <c r="X158" i="14"/>
  <c r="Y158" i="14"/>
  <c r="Z158" i="14"/>
  <c r="AA158" i="14"/>
  <c r="AB158" i="14"/>
  <c r="AC158" i="14"/>
  <c r="AD158" i="14"/>
  <c r="AE158" i="14"/>
  <c r="T158" i="14"/>
  <c r="U136" i="14"/>
  <c r="V136" i="14"/>
  <c r="W136" i="14"/>
  <c r="X136" i="14"/>
  <c r="Y136" i="14"/>
  <c r="Z136" i="14"/>
  <c r="AA136" i="14"/>
  <c r="AB136" i="14"/>
  <c r="AC136" i="14"/>
  <c r="AD136" i="14"/>
  <c r="AE136" i="14"/>
  <c r="U137" i="14"/>
  <c r="V137" i="14"/>
  <c r="W137" i="14"/>
  <c r="X137" i="14"/>
  <c r="Y137" i="14"/>
  <c r="Z137" i="14"/>
  <c r="AA137" i="14"/>
  <c r="AB137" i="14"/>
  <c r="AC137" i="14"/>
  <c r="AD137" i="14"/>
  <c r="AE137" i="14"/>
  <c r="U138" i="14"/>
  <c r="V138" i="14"/>
  <c r="W138" i="14"/>
  <c r="X138" i="14"/>
  <c r="Y138" i="14"/>
  <c r="Z138" i="14"/>
  <c r="AA138" i="14"/>
  <c r="AB138" i="14"/>
  <c r="AC138" i="14"/>
  <c r="AD138" i="14"/>
  <c r="AE138" i="14"/>
  <c r="U139" i="14"/>
  <c r="V139" i="14"/>
  <c r="W139" i="14"/>
  <c r="X139" i="14"/>
  <c r="Y139" i="14"/>
  <c r="Z139" i="14"/>
  <c r="AA139" i="14"/>
  <c r="AB139" i="14"/>
  <c r="AC139" i="14"/>
  <c r="AD139" i="14"/>
  <c r="AE139" i="14"/>
  <c r="U140" i="14"/>
  <c r="V140" i="14"/>
  <c r="W140" i="14"/>
  <c r="X140" i="14"/>
  <c r="Y140" i="14"/>
  <c r="Z140" i="14"/>
  <c r="AA140" i="14"/>
  <c r="AB140" i="14"/>
  <c r="AC140" i="14"/>
  <c r="AD140" i="14"/>
  <c r="AE140" i="14"/>
  <c r="U141" i="14"/>
  <c r="V141" i="14"/>
  <c r="W141" i="14"/>
  <c r="X141" i="14"/>
  <c r="Y141" i="14"/>
  <c r="Z141" i="14"/>
  <c r="AA141" i="14"/>
  <c r="AB141" i="14"/>
  <c r="AC141" i="14"/>
  <c r="AD141" i="14"/>
  <c r="AE141" i="14"/>
  <c r="T137" i="14"/>
  <c r="T138" i="14"/>
  <c r="T139" i="14"/>
  <c r="T140" i="14"/>
  <c r="T141" i="14"/>
  <c r="T136" i="14"/>
  <c r="U243" i="14"/>
  <c r="V243" i="14"/>
  <c r="W243" i="14"/>
  <c r="X243" i="14"/>
  <c r="Y243" i="14"/>
  <c r="Z243" i="14"/>
  <c r="AA243" i="14"/>
  <c r="AB243" i="14"/>
  <c r="AC243" i="14"/>
  <c r="AD243" i="14"/>
  <c r="AE243" i="14"/>
  <c r="U244" i="14"/>
  <c r="V244" i="14"/>
  <c r="W244" i="14"/>
  <c r="X244" i="14"/>
  <c r="Y244" i="14"/>
  <c r="Z244" i="14"/>
  <c r="AA244" i="14"/>
  <c r="AB244" i="14"/>
  <c r="AC244" i="14"/>
  <c r="AD244" i="14"/>
  <c r="AE244" i="14"/>
  <c r="U245" i="14"/>
  <c r="V245" i="14"/>
  <c r="W245" i="14"/>
  <c r="X245" i="14"/>
  <c r="Y245" i="14"/>
  <c r="Z245" i="14"/>
  <c r="AA245" i="14"/>
  <c r="AB245" i="14"/>
  <c r="AC245" i="14"/>
  <c r="AD245" i="14"/>
  <c r="AE245" i="14"/>
  <c r="U246" i="14"/>
  <c r="V246" i="14"/>
  <c r="W246" i="14"/>
  <c r="X246" i="14"/>
  <c r="Y246" i="14"/>
  <c r="Z246" i="14"/>
  <c r="AA246" i="14"/>
  <c r="AB246" i="14"/>
  <c r="AC246" i="14"/>
  <c r="AD246" i="14"/>
  <c r="AE246" i="14"/>
  <c r="U247" i="14"/>
  <c r="V247" i="14"/>
  <c r="W247" i="14"/>
  <c r="X247" i="14"/>
  <c r="Y247" i="14"/>
  <c r="Z247" i="14"/>
  <c r="AA247" i="14"/>
  <c r="AB247" i="14"/>
  <c r="AC247" i="14"/>
  <c r="AD247" i="14"/>
  <c r="AE247" i="14"/>
  <c r="U248" i="14"/>
  <c r="V248" i="14"/>
  <c r="W248" i="14"/>
  <c r="X248" i="14"/>
  <c r="Y248" i="14"/>
  <c r="Z248" i="14"/>
  <c r="AA248" i="14"/>
  <c r="AB248" i="14"/>
  <c r="AC248" i="14"/>
  <c r="AD248" i="14"/>
  <c r="AE248" i="14"/>
  <c r="U249" i="14"/>
  <c r="V249" i="14"/>
  <c r="W249" i="14"/>
  <c r="X249" i="14"/>
  <c r="Y249" i="14"/>
  <c r="Z249" i="14"/>
  <c r="AA249" i="14"/>
  <c r="AB249" i="14"/>
  <c r="AC249" i="14"/>
  <c r="AD249" i="14"/>
  <c r="AE249" i="14"/>
  <c r="U250" i="14"/>
  <c r="V250" i="14"/>
  <c r="W250" i="14"/>
  <c r="X250" i="14"/>
  <c r="Y250" i="14"/>
  <c r="Z250" i="14"/>
  <c r="AA250" i="14"/>
  <c r="AB250" i="14"/>
  <c r="AC250" i="14"/>
  <c r="AD250" i="14"/>
  <c r="AE250" i="14"/>
  <c r="U251" i="14"/>
  <c r="V251" i="14"/>
  <c r="W251" i="14"/>
  <c r="X251" i="14"/>
  <c r="Y251" i="14"/>
  <c r="Z251" i="14"/>
  <c r="AA251" i="14"/>
  <c r="AB251" i="14"/>
  <c r="AC251" i="14"/>
  <c r="AD251" i="14"/>
  <c r="AE251" i="14"/>
  <c r="U252" i="14"/>
  <c r="V252" i="14"/>
  <c r="W252" i="14"/>
  <c r="X252" i="14"/>
  <c r="Y252" i="14"/>
  <c r="Z252" i="14"/>
  <c r="AA252" i="14"/>
  <c r="AB252" i="14"/>
  <c r="AC252" i="14"/>
  <c r="AD252" i="14"/>
  <c r="AE252" i="14"/>
  <c r="U253" i="14"/>
  <c r="V253" i="14"/>
  <c r="W253" i="14"/>
  <c r="X253" i="14"/>
  <c r="Y253" i="14"/>
  <c r="Z253" i="14"/>
  <c r="AA253" i="14"/>
  <c r="AB253" i="14"/>
  <c r="AC253" i="14"/>
  <c r="AD253" i="14"/>
  <c r="AE253" i="14"/>
  <c r="U254" i="14"/>
  <c r="V254" i="14"/>
  <c r="W254" i="14"/>
  <c r="X254" i="14"/>
  <c r="Y254" i="14"/>
  <c r="Z254" i="14"/>
  <c r="AA254" i="14"/>
  <c r="AB254" i="14"/>
  <c r="AC254" i="14"/>
  <c r="AD254" i="14"/>
  <c r="AE254" i="14"/>
  <c r="U255" i="14"/>
  <c r="V255" i="14"/>
  <c r="W255" i="14"/>
  <c r="X255" i="14"/>
  <c r="Y255" i="14"/>
  <c r="Z255" i="14"/>
  <c r="AA255" i="14"/>
  <c r="AB255" i="14"/>
  <c r="AC255" i="14"/>
  <c r="AD255" i="14"/>
  <c r="AE255" i="14"/>
  <c r="T244" i="14"/>
  <c r="T245" i="14"/>
  <c r="T246" i="14"/>
  <c r="T247" i="14"/>
  <c r="T248" i="14"/>
  <c r="T249" i="14"/>
  <c r="T250" i="14"/>
  <c r="T251" i="14"/>
  <c r="T252" i="14"/>
  <c r="T253" i="14"/>
  <c r="T254" i="14"/>
  <c r="AF254" i="14" s="1"/>
  <c r="T255" i="14"/>
  <c r="T243" i="14"/>
  <c r="AF243" i="14" s="1"/>
  <c r="U229" i="14"/>
  <c r="V229" i="14"/>
  <c r="W229" i="14"/>
  <c r="X229" i="14"/>
  <c r="Y229" i="14"/>
  <c r="Z229" i="14"/>
  <c r="AA229" i="14"/>
  <c r="AB229" i="14"/>
  <c r="AC229" i="14"/>
  <c r="AD229" i="14"/>
  <c r="AE229" i="14"/>
  <c r="U230" i="14"/>
  <c r="V230" i="14"/>
  <c r="W230" i="14"/>
  <c r="X230" i="14"/>
  <c r="Y230" i="14"/>
  <c r="Z230" i="14"/>
  <c r="AA230" i="14"/>
  <c r="AB230" i="14"/>
  <c r="AC230" i="14"/>
  <c r="AD230" i="14"/>
  <c r="AE230" i="14"/>
  <c r="U231" i="14"/>
  <c r="V231" i="14"/>
  <c r="W231" i="14"/>
  <c r="X231" i="14"/>
  <c r="Y231" i="14"/>
  <c r="Z231" i="14"/>
  <c r="AA231" i="14"/>
  <c r="AB231" i="14"/>
  <c r="AC231" i="14"/>
  <c r="AD231" i="14"/>
  <c r="AE231" i="14"/>
  <c r="U232" i="14"/>
  <c r="V232" i="14"/>
  <c r="W232" i="14"/>
  <c r="X232" i="14"/>
  <c r="Y232" i="14"/>
  <c r="Z232" i="14"/>
  <c r="AA232" i="14"/>
  <c r="AB232" i="14"/>
  <c r="AC232" i="14"/>
  <c r="AD232" i="14"/>
  <c r="AE232" i="14"/>
  <c r="U233" i="14"/>
  <c r="V233" i="14"/>
  <c r="W233" i="14"/>
  <c r="X233" i="14"/>
  <c r="Y233" i="14"/>
  <c r="Z233" i="14"/>
  <c r="AA233" i="14"/>
  <c r="AB233" i="14"/>
  <c r="AC233" i="14"/>
  <c r="AD233" i="14"/>
  <c r="AE233" i="14"/>
  <c r="U234" i="14"/>
  <c r="V234" i="14"/>
  <c r="W234" i="14"/>
  <c r="X234" i="14"/>
  <c r="Y234" i="14"/>
  <c r="Z234" i="14"/>
  <c r="AA234" i="14"/>
  <c r="AB234" i="14"/>
  <c r="AC234" i="14"/>
  <c r="AD234" i="14"/>
  <c r="AE234" i="14"/>
  <c r="U235" i="14"/>
  <c r="V235" i="14"/>
  <c r="W235" i="14"/>
  <c r="X235" i="14"/>
  <c r="Y235" i="14"/>
  <c r="Z235" i="14"/>
  <c r="AA235" i="14"/>
  <c r="AB235" i="14"/>
  <c r="AC235" i="14"/>
  <c r="AD235" i="14"/>
  <c r="AE235" i="14"/>
  <c r="U236" i="14"/>
  <c r="V236" i="14"/>
  <c r="W236" i="14"/>
  <c r="X236" i="14"/>
  <c r="Y236" i="14"/>
  <c r="Z236" i="14"/>
  <c r="AA236" i="14"/>
  <c r="AB236" i="14"/>
  <c r="AC236" i="14"/>
  <c r="AD236" i="14"/>
  <c r="AE236" i="14"/>
  <c r="U237" i="14"/>
  <c r="V237" i="14"/>
  <c r="W237" i="14"/>
  <c r="X237" i="14"/>
  <c r="Y237" i="14"/>
  <c r="Z237" i="14"/>
  <c r="AA237" i="14"/>
  <c r="AB237" i="14"/>
  <c r="AC237" i="14"/>
  <c r="AD237" i="14"/>
  <c r="AE237" i="14"/>
  <c r="U238" i="14"/>
  <c r="V238" i="14"/>
  <c r="W238" i="14"/>
  <c r="X238" i="14"/>
  <c r="Y238" i="14"/>
  <c r="Z238" i="14"/>
  <c r="AA238" i="14"/>
  <c r="AB238" i="14"/>
  <c r="AC238" i="14"/>
  <c r="AD238" i="14"/>
  <c r="AE238" i="14"/>
  <c r="U239" i="14"/>
  <c r="V239" i="14"/>
  <c r="W239" i="14"/>
  <c r="X239" i="14"/>
  <c r="Y239" i="14"/>
  <c r="Z239" i="14"/>
  <c r="AA239" i="14"/>
  <c r="AB239" i="14"/>
  <c r="AC239" i="14"/>
  <c r="AD239" i="14"/>
  <c r="AE239" i="14"/>
  <c r="U240" i="14"/>
  <c r="V240" i="14"/>
  <c r="W240" i="14"/>
  <c r="X240" i="14"/>
  <c r="Y240" i="14"/>
  <c r="Z240" i="14"/>
  <c r="AA240" i="14"/>
  <c r="AB240" i="14"/>
  <c r="AC240" i="14"/>
  <c r="AD240" i="14"/>
  <c r="AE240" i="14"/>
  <c r="U241" i="14"/>
  <c r="V241" i="14"/>
  <c r="W241" i="14"/>
  <c r="X241" i="14"/>
  <c r="Y241" i="14"/>
  <c r="Z241" i="14"/>
  <c r="AA241" i="14"/>
  <c r="AB241" i="14"/>
  <c r="AC241" i="14"/>
  <c r="AD241" i="14"/>
  <c r="AE241" i="14"/>
  <c r="T230" i="14"/>
  <c r="T231" i="14"/>
  <c r="AF231" i="14" s="1"/>
  <c r="T232" i="14"/>
  <c r="T233" i="14"/>
  <c r="T234" i="14"/>
  <c r="T235" i="14"/>
  <c r="T236" i="14"/>
  <c r="T237" i="14"/>
  <c r="T238" i="14"/>
  <c r="T239" i="14"/>
  <c r="T240" i="14"/>
  <c r="T241" i="14"/>
  <c r="T229" i="14"/>
  <c r="U222" i="14"/>
  <c r="V222" i="14"/>
  <c r="W222" i="14"/>
  <c r="X222" i="14"/>
  <c r="Y222" i="14"/>
  <c r="Z222" i="14"/>
  <c r="AA222" i="14"/>
  <c r="AB222" i="14"/>
  <c r="AC222" i="14"/>
  <c r="AD222" i="14"/>
  <c r="AE222" i="14"/>
  <c r="U223" i="14"/>
  <c r="V223" i="14"/>
  <c r="W223" i="14"/>
  <c r="X223" i="14"/>
  <c r="Y223" i="14"/>
  <c r="Z223" i="14"/>
  <c r="AA223" i="14"/>
  <c r="AB223" i="14"/>
  <c r="AC223" i="14"/>
  <c r="AD223" i="14"/>
  <c r="AE223" i="14"/>
  <c r="U224" i="14"/>
  <c r="V224" i="14"/>
  <c r="W224" i="14"/>
  <c r="X224" i="14"/>
  <c r="Y224" i="14"/>
  <c r="Z224" i="14"/>
  <c r="AA224" i="14"/>
  <c r="AB224" i="14"/>
  <c r="AC224" i="14"/>
  <c r="AD224" i="14"/>
  <c r="AE224" i="14"/>
  <c r="U225" i="14"/>
  <c r="V225" i="14"/>
  <c r="W225" i="14"/>
  <c r="X225" i="14"/>
  <c r="Y225" i="14"/>
  <c r="Z225" i="14"/>
  <c r="AA225" i="14"/>
  <c r="AB225" i="14"/>
  <c r="AC225" i="14"/>
  <c r="AD225" i="14"/>
  <c r="AE225" i="14"/>
  <c r="U226" i="14"/>
  <c r="V226" i="14"/>
  <c r="W226" i="14"/>
  <c r="X226" i="14"/>
  <c r="Y226" i="14"/>
  <c r="Z226" i="14"/>
  <c r="AA226" i="14"/>
  <c r="AB226" i="14"/>
  <c r="AC226" i="14"/>
  <c r="AD226" i="14"/>
  <c r="AE226" i="14"/>
  <c r="U227" i="14"/>
  <c r="V227" i="14"/>
  <c r="W227" i="14"/>
  <c r="X227" i="14"/>
  <c r="Y227" i="14"/>
  <c r="Z227" i="14"/>
  <c r="AA227" i="14"/>
  <c r="AB227" i="14"/>
  <c r="AC227" i="14"/>
  <c r="AD227" i="14"/>
  <c r="AE227" i="14"/>
  <c r="T223" i="14"/>
  <c r="T224" i="14"/>
  <c r="T225" i="14"/>
  <c r="T226" i="14"/>
  <c r="T227" i="14"/>
  <c r="T222" i="14"/>
  <c r="U207" i="14"/>
  <c r="V207" i="14"/>
  <c r="W207" i="14"/>
  <c r="X207" i="14"/>
  <c r="Y207" i="14"/>
  <c r="Z207" i="14"/>
  <c r="AA207" i="14"/>
  <c r="AB207" i="14"/>
  <c r="AC207" i="14"/>
  <c r="AD207" i="14"/>
  <c r="AE207" i="14"/>
  <c r="U208" i="14"/>
  <c r="V208" i="14"/>
  <c r="W208" i="14"/>
  <c r="X208" i="14"/>
  <c r="Y208" i="14"/>
  <c r="Z208" i="14"/>
  <c r="AA208" i="14"/>
  <c r="AB208" i="14"/>
  <c r="AC208" i="14"/>
  <c r="AD208" i="14"/>
  <c r="AE208" i="14"/>
  <c r="U209" i="14"/>
  <c r="V209" i="14"/>
  <c r="W209" i="14"/>
  <c r="X209" i="14"/>
  <c r="Y209" i="14"/>
  <c r="Z209" i="14"/>
  <c r="AA209" i="14"/>
  <c r="AB209" i="14"/>
  <c r="AC209" i="14"/>
  <c r="AD209" i="14"/>
  <c r="AE209" i="14"/>
  <c r="U210" i="14"/>
  <c r="V210" i="14"/>
  <c r="W210" i="14"/>
  <c r="X210" i="14"/>
  <c r="Y210" i="14"/>
  <c r="Z210" i="14"/>
  <c r="AA210" i="14"/>
  <c r="AB210" i="14"/>
  <c r="AC210" i="14"/>
  <c r="AD210" i="14"/>
  <c r="AE210" i="14"/>
  <c r="U211" i="14"/>
  <c r="V211" i="14"/>
  <c r="W211" i="14"/>
  <c r="X211" i="14"/>
  <c r="Y211" i="14"/>
  <c r="Z211" i="14"/>
  <c r="AA211" i="14"/>
  <c r="AB211" i="14"/>
  <c r="AC211" i="14"/>
  <c r="AD211" i="14"/>
  <c r="AE211" i="14"/>
  <c r="U212" i="14"/>
  <c r="V212" i="14"/>
  <c r="W212" i="14"/>
  <c r="X212" i="14"/>
  <c r="Y212" i="14"/>
  <c r="Z212" i="14"/>
  <c r="AA212" i="14"/>
  <c r="AB212" i="14"/>
  <c r="AC212" i="14"/>
  <c r="AD212" i="14"/>
  <c r="AE212" i="14"/>
  <c r="U213" i="14"/>
  <c r="V213" i="14"/>
  <c r="W213" i="14"/>
  <c r="X213" i="14"/>
  <c r="Y213" i="14"/>
  <c r="Z213" i="14"/>
  <c r="AA213" i="14"/>
  <c r="AB213" i="14"/>
  <c r="AC213" i="14"/>
  <c r="AD213" i="14"/>
  <c r="AE213" i="14"/>
  <c r="U214" i="14"/>
  <c r="V214" i="14"/>
  <c r="W214" i="14"/>
  <c r="X214" i="14"/>
  <c r="Y214" i="14"/>
  <c r="Z214" i="14"/>
  <c r="AA214" i="14"/>
  <c r="AB214" i="14"/>
  <c r="AC214" i="14"/>
  <c r="AD214" i="14"/>
  <c r="AE214" i="14"/>
  <c r="U215" i="14"/>
  <c r="V215" i="14"/>
  <c r="W215" i="14"/>
  <c r="X215" i="14"/>
  <c r="Y215" i="14"/>
  <c r="Z215" i="14"/>
  <c r="AA215" i="14"/>
  <c r="AB215" i="14"/>
  <c r="AC215" i="14"/>
  <c r="AD215" i="14"/>
  <c r="AE215" i="14"/>
  <c r="U216" i="14"/>
  <c r="V216" i="14"/>
  <c r="W216" i="14"/>
  <c r="X216" i="14"/>
  <c r="Y216" i="14"/>
  <c r="Z216" i="14"/>
  <c r="AA216" i="14"/>
  <c r="AB216" i="14"/>
  <c r="AC216" i="14"/>
  <c r="AD216" i="14"/>
  <c r="AE216" i="14"/>
  <c r="U217" i="14"/>
  <c r="V217" i="14"/>
  <c r="W217" i="14"/>
  <c r="X217" i="14"/>
  <c r="Y217" i="14"/>
  <c r="Z217" i="14"/>
  <c r="AA217" i="14"/>
  <c r="AB217" i="14"/>
  <c r="AC217" i="14"/>
  <c r="AD217" i="14"/>
  <c r="AE217" i="14"/>
  <c r="U218" i="14"/>
  <c r="V218" i="14"/>
  <c r="W218" i="14"/>
  <c r="X218" i="14"/>
  <c r="Y218" i="14"/>
  <c r="Z218" i="14"/>
  <c r="AA218" i="14"/>
  <c r="AB218" i="14"/>
  <c r="AC218" i="14"/>
  <c r="AD218" i="14"/>
  <c r="AE218" i="14"/>
  <c r="U219" i="14"/>
  <c r="V219" i="14"/>
  <c r="W219" i="14"/>
  <c r="X219" i="14"/>
  <c r="Y219" i="14"/>
  <c r="Z219" i="14"/>
  <c r="AA219" i="14"/>
  <c r="AB219" i="14"/>
  <c r="AC219" i="14"/>
  <c r="AD219" i="14"/>
  <c r="AE219" i="14"/>
  <c r="U220" i="14"/>
  <c r="V220" i="14"/>
  <c r="W220" i="14"/>
  <c r="X220" i="14"/>
  <c r="Y220" i="14"/>
  <c r="Z220" i="14"/>
  <c r="AA220" i="14"/>
  <c r="AB220" i="14"/>
  <c r="AC220" i="14"/>
  <c r="AD220" i="14"/>
  <c r="AE220" i="14"/>
  <c r="T208" i="14"/>
  <c r="T209" i="14"/>
  <c r="T210" i="14"/>
  <c r="T211" i="14"/>
  <c r="T212" i="14"/>
  <c r="T213" i="14"/>
  <c r="T214" i="14"/>
  <c r="T215" i="14"/>
  <c r="T216" i="14"/>
  <c r="T217" i="14"/>
  <c r="T218" i="14"/>
  <c r="T219" i="14"/>
  <c r="T220" i="14"/>
  <c r="T207" i="14"/>
  <c r="U199" i="14"/>
  <c r="V199" i="14"/>
  <c r="W199" i="14"/>
  <c r="X199" i="14"/>
  <c r="Y199" i="14"/>
  <c r="Z199" i="14"/>
  <c r="AA199" i="14"/>
  <c r="AB199" i="14"/>
  <c r="AC199" i="14"/>
  <c r="AD199" i="14"/>
  <c r="AE199" i="14"/>
  <c r="U200" i="14"/>
  <c r="V200" i="14"/>
  <c r="W200" i="14"/>
  <c r="X200" i="14"/>
  <c r="Y200" i="14"/>
  <c r="Z200" i="14"/>
  <c r="AA200" i="14"/>
  <c r="AB200" i="14"/>
  <c r="AC200" i="14"/>
  <c r="AD200" i="14"/>
  <c r="AE200" i="14"/>
  <c r="U201" i="14"/>
  <c r="V201" i="14"/>
  <c r="W201" i="14"/>
  <c r="X201" i="14"/>
  <c r="Y201" i="14"/>
  <c r="Z201" i="14"/>
  <c r="AA201" i="14"/>
  <c r="AB201" i="14"/>
  <c r="AC201" i="14"/>
  <c r="AD201" i="14"/>
  <c r="AE201" i="14"/>
  <c r="U202" i="14"/>
  <c r="V202" i="14"/>
  <c r="W202" i="14"/>
  <c r="X202" i="14"/>
  <c r="Y202" i="14"/>
  <c r="Z202" i="14"/>
  <c r="AA202" i="14"/>
  <c r="AB202" i="14"/>
  <c r="AC202" i="14"/>
  <c r="AD202" i="14"/>
  <c r="AE202" i="14"/>
  <c r="U203" i="14"/>
  <c r="V203" i="14"/>
  <c r="W203" i="14"/>
  <c r="X203" i="14"/>
  <c r="Y203" i="14"/>
  <c r="Z203" i="14"/>
  <c r="AA203" i="14"/>
  <c r="AB203" i="14"/>
  <c r="AC203" i="14"/>
  <c r="AD203" i="14"/>
  <c r="AE203" i="14"/>
  <c r="U204" i="14"/>
  <c r="V204" i="14"/>
  <c r="W204" i="14"/>
  <c r="X204" i="14"/>
  <c r="Y204" i="14"/>
  <c r="Z204" i="14"/>
  <c r="AA204" i="14"/>
  <c r="AB204" i="14"/>
  <c r="AC204" i="14"/>
  <c r="AD204" i="14"/>
  <c r="AE204" i="14"/>
  <c r="U205" i="14"/>
  <c r="V205" i="14"/>
  <c r="W205" i="14"/>
  <c r="X205" i="14"/>
  <c r="Y205" i="14"/>
  <c r="Z205" i="14"/>
  <c r="AA205" i="14"/>
  <c r="AB205" i="14"/>
  <c r="AC205" i="14"/>
  <c r="AD205" i="14"/>
  <c r="AE205" i="14"/>
  <c r="T200" i="14"/>
  <c r="T201" i="14"/>
  <c r="T202" i="14"/>
  <c r="T203" i="14"/>
  <c r="T204" i="14"/>
  <c r="T205" i="14"/>
  <c r="T199" i="14"/>
  <c r="U190" i="14"/>
  <c r="V190" i="14"/>
  <c r="W190" i="14"/>
  <c r="X190" i="14"/>
  <c r="Y190" i="14"/>
  <c r="Z190" i="14"/>
  <c r="AA190" i="14"/>
  <c r="AB190" i="14"/>
  <c r="AC190" i="14"/>
  <c r="AD190" i="14"/>
  <c r="AE190" i="14"/>
  <c r="U191" i="14"/>
  <c r="V191" i="14"/>
  <c r="W191" i="14"/>
  <c r="X191" i="14"/>
  <c r="Y191" i="14"/>
  <c r="Z191" i="14"/>
  <c r="AA191" i="14"/>
  <c r="AB191" i="14"/>
  <c r="AC191" i="14"/>
  <c r="AD191" i="14"/>
  <c r="AE191" i="14"/>
  <c r="U192" i="14"/>
  <c r="V192" i="14"/>
  <c r="W192" i="14"/>
  <c r="X192" i="14"/>
  <c r="Y192" i="14"/>
  <c r="Z192" i="14"/>
  <c r="AA192" i="14"/>
  <c r="AB192" i="14"/>
  <c r="AC192" i="14"/>
  <c r="AD192" i="14"/>
  <c r="AE192" i="14"/>
  <c r="U193" i="14"/>
  <c r="V193" i="14"/>
  <c r="W193" i="14"/>
  <c r="X193" i="14"/>
  <c r="Y193" i="14"/>
  <c r="Z193" i="14"/>
  <c r="AA193" i="14"/>
  <c r="AB193" i="14"/>
  <c r="AC193" i="14"/>
  <c r="AD193" i="14"/>
  <c r="AE193" i="14"/>
  <c r="U195" i="14"/>
  <c r="V195" i="14"/>
  <c r="W195" i="14"/>
  <c r="X195" i="14"/>
  <c r="Y195" i="14"/>
  <c r="Z195" i="14"/>
  <c r="AA195" i="14"/>
  <c r="AB195" i="14"/>
  <c r="AC195" i="14"/>
  <c r="AD195" i="14"/>
  <c r="AE195" i="14"/>
  <c r="U196" i="14"/>
  <c r="V196" i="14"/>
  <c r="W196" i="14"/>
  <c r="X196" i="14"/>
  <c r="Y196" i="14"/>
  <c r="Z196" i="14"/>
  <c r="AA196" i="14"/>
  <c r="AB196" i="14"/>
  <c r="AC196" i="14"/>
  <c r="AD196" i="14"/>
  <c r="AE196" i="14"/>
  <c r="T191" i="14"/>
  <c r="T192" i="14"/>
  <c r="T193" i="14"/>
  <c r="T195" i="14"/>
  <c r="T196" i="14"/>
  <c r="T190" i="14"/>
  <c r="U175" i="14"/>
  <c r="V175" i="14"/>
  <c r="W175" i="14"/>
  <c r="X175" i="14"/>
  <c r="Y175" i="14"/>
  <c r="Z175" i="14"/>
  <c r="AA175" i="14"/>
  <c r="AB175" i="14"/>
  <c r="AC175" i="14"/>
  <c r="AD175" i="14"/>
  <c r="AE175" i="14"/>
  <c r="U176" i="14"/>
  <c r="V176" i="14"/>
  <c r="W176" i="14"/>
  <c r="X176" i="14"/>
  <c r="Y176" i="14"/>
  <c r="Z176" i="14"/>
  <c r="AA176" i="14"/>
  <c r="AB176" i="14"/>
  <c r="AC176" i="14"/>
  <c r="AD176" i="14"/>
  <c r="AE176" i="14"/>
  <c r="U177" i="14"/>
  <c r="V177" i="14"/>
  <c r="W177" i="14"/>
  <c r="X177" i="14"/>
  <c r="Y177" i="14"/>
  <c r="Z177" i="14"/>
  <c r="AA177" i="14"/>
  <c r="AB177" i="14"/>
  <c r="AC177" i="14"/>
  <c r="AD177" i="14"/>
  <c r="AE177" i="14"/>
  <c r="U178" i="14"/>
  <c r="V178" i="14"/>
  <c r="W178" i="14"/>
  <c r="X178" i="14"/>
  <c r="Y178" i="14"/>
  <c r="Z178" i="14"/>
  <c r="AA178" i="14"/>
  <c r="AB178" i="14"/>
  <c r="AC178" i="14"/>
  <c r="AD178" i="14"/>
  <c r="AE178" i="14"/>
  <c r="U179" i="14"/>
  <c r="V179" i="14"/>
  <c r="W179" i="14"/>
  <c r="X179" i="14"/>
  <c r="Y179" i="14"/>
  <c r="Z179" i="14"/>
  <c r="AA179" i="14"/>
  <c r="AB179" i="14"/>
  <c r="AC179" i="14"/>
  <c r="AD179" i="14"/>
  <c r="AE179" i="14"/>
  <c r="U180" i="14"/>
  <c r="V180" i="14"/>
  <c r="W180" i="14"/>
  <c r="X180" i="14"/>
  <c r="Y180" i="14"/>
  <c r="Z180" i="14"/>
  <c r="AA180" i="14"/>
  <c r="AB180" i="14"/>
  <c r="AC180" i="14"/>
  <c r="AD180" i="14"/>
  <c r="AE180" i="14"/>
  <c r="U181" i="14"/>
  <c r="V181" i="14"/>
  <c r="W181" i="14"/>
  <c r="X181" i="14"/>
  <c r="Y181" i="14"/>
  <c r="Z181" i="14"/>
  <c r="AA181" i="14"/>
  <c r="AB181" i="14"/>
  <c r="AC181" i="14"/>
  <c r="AD181" i="14"/>
  <c r="AE181" i="14"/>
  <c r="U182" i="14"/>
  <c r="V182" i="14"/>
  <c r="W182" i="14"/>
  <c r="X182" i="14"/>
  <c r="Y182" i="14"/>
  <c r="Z182" i="14"/>
  <c r="AA182" i="14"/>
  <c r="AB182" i="14"/>
  <c r="AC182" i="14"/>
  <c r="AD182" i="14"/>
  <c r="AE182" i="14"/>
  <c r="U183" i="14"/>
  <c r="V183" i="14"/>
  <c r="W183" i="14"/>
  <c r="X183" i="14"/>
  <c r="Y183" i="14"/>
  <c r="Z183" i="14"/>
  <c r="AA183" i="14"/>
  <c r="AB183" i="14"/>
  <c r="AC183" i="14"/>
  <c r="AD183" i="14"/>
  <c r="AE183" i="14"/>
  <c r="U184" i="14"/>
  <c r="V184" i="14"/>
  <c r="W184" i="14"/>
  <c r="X184" i="14"/>
  <c r="Y184" i="14"/>
  <c r="Z184" i="14"/>
  <c r="AA184" i="14"/>
  <c r="AB184" i="14"/>
  <c r="AC184" i="14"/>
  <c r="AD184" i="14"/>
  <c r="AE184" i="14"/>
  <c r="U185" i="14"/>
  <c r="V185" i="14"/>
  <c r="W185" i="14"/>
  <c r="X185" i="14"/>
  <c r="Y185" i="14"/>
  <c r="Z185" i="14"/>
  <c r="AA185" i="14"/>
  <c r="AB185" i="14"/>
  <c r="AC185" i="14"/>
  <c r="AD185" i="14"/>
  <c r="AE185" i="14"/>
  <c r="U186" i="14"/>
  <c r="V186" i="14"/>
  <c r="W186" i="14"/>
  <c r="X186" i="14"/>
  <c r="Y186" i="14"/>
  <c r="Z186" i="14"/>
  <c r="AA186" i="14"/>
  <c r="AB186" i="14"/>
  <c r="AC186" i="14"/>
  <c r="AD186" i="14"/>
  <c r="AE186" i="14"/>
  <c r="U187" i="14"/>
  <c r="V187" i="14"/>
  <c r="W187" i="14"/>
  <c r="X187" i="14"/>
  <c r="Y187" i="14"/>
  <c r="Z187" i="14"/>
  <c r="AA187" i="14"/>
  <c r="AB187" i="14"/>
  <c r="AC187" i="14"/>
  <c r="AD187" i="14"/>
  <c r="AE187" i="14"/>
  <c r="U188" i="14"/>
  <c r="V188" i="14"/>
  <c r="W188" i="14"/>
  <c r="X188" i="14"/>
  <c r="Y188" i="14"/>
  <c r="Z188" i="14"/>
  <c r="AA188" i="14"/>
  <c r="AB188" i="14"/>
  <c r="AC188" i="14"/>
  <c r="AD188" i="14"/>
  <c r="AE188" i="14"/>
  <c r="T176" i="14"/>
  <c r="T177" i="14"/>
  <c r="T178" i="14"/>
  <c r="T179" i="14"/>
  <c r="T180" i="14"/>
  <c r="AF180" i="14" s="1"/>
  <c r="T181" i="14"/>
  <c r="T182" i="14"/>
  <c r="T183" i="14"/>
  <c r="T184" i="14"/>
  <c r="T185" i="14"/>
  <c r="T186" i="14"/>
  <c r="T187" i="14"/>
  <c r="T188" i="14"/>
  <c r="T175" i="14"/>
  <c r="U166" i="14"/>
  <c r="V166" i="14"/>
  <c r="W166" i="14"/>
  <c r="X166" i="14"/>
  <c r="Y166" i="14"/>
  <c r="Z166" i="14"/>
  <c r="AA166" i="14"/>
  <c r="AB166" i="14"/>
  <c r="AC166" i="14"/>
  <c r="AD166" i="14"/>
  <c r="AE166" i="14"/>
  <c r="U167" i="14"/>
  <c r="V167" i="14"/>
  <c r="W167" i="14"/>
  <c r="X167" i="14"/>
  <c r="Y167" i="14"/>
  <c r="Z167" i="14"/>
  <c r="AA167" i="14"/>
  <c r="AB167" i="14"/>
  <c r="AC167" i="14"/>
  <c r="AD167" i="14"/>
  <c r="AE167" i="14"/>
  <c r="U168" i="14"/>
  <c r="V168" i="14"/>
  <c r="W168" i="14"/>
  <c r="X168" i="14"/>
  <c r="Y168" i="14"/>
  <c r="Z168" i="14"/>
  <c r="AA168" i="14"/>
  <c r="AB168" i="14"/>
  <c r="AC168" i="14"/>
  <c r="AD168" i="14"/>
  <c r="AE168" i="14"/>
  <c r="U169" i="14"/>
  <c r="V169" i="14"/>
  <c r="W169" i="14"/>
  <c r="X169" i="14"/>
  <c r="Y169" i="14"/>
  <c r="Z169" i="14"/>
  <c r="AA169" i="14"/>
  <c r="AB169" i="14"/>
  <c r="AC169" i="14"/>
  <c r="AD169" i="14"/>
  <c r="AE169" i="14"/>
  <c r="U170" i="14"/>
  <c r="V170" i="14"/>
  <c r="W170" i="14"/>
  <c r="X170" i="14"/>
  <c r="Y170" i="14"/>
  <c r="Z170" i="14"/>
  <c r="AA170" i="14"/>
  <c r="AB170" i="14"/>
  <c r="AC170" i="14"/>
  <c r="AD170" i="14"/>
  <c r="AE170" i="14"/>
  <c r="U171" i="14"/>
  <c r="V171" i="14"/>
  <c r="W171" i="14"/>
  <c r="X171" i="14"/>
  <c r="Y171" i="14"/>
  <c r="Z171" i="14"/>
  <c r="AA171" i="14"/>
  <c r="AB171" i="14"/>
  <c r="AC171" i="14"/>
  <c r="AD171" i="14"/>
  <c r="AE171" i="14"/>
  <c r="U172" i="14"/>
  <c r="V172" i="14"/>
  <c r="W172" i="14"/>
  <c r="X172" i="14"/>
  <c r="Y172" i="14"/>
  <c r="Z172" i="14"/>
  <c r="AA172" i="14"/>
  <c r="AB172" i="14"/>
  <c r="AC172" i="14"/>
  <c r="AD172" i="14"/>
  <c r="AE172" i="14"/>
  <c r="U173" i="14"/>
  <c r="V173" i="14"/>
  <c r="W173" i="14"/>
  <c r="X173" i="14"/>
  <c r="Y173" i="14"/>
  <c r="Z173" i="14"/>
  <c r="AA173" i="14"/>
  <c r="AB173" i="14"/>
  <c r="AC173" i="14"/>
  <c r="AD173" i="14"/>
  <c r="AE173" i="14"/>
  <c r="T167" i="14"/>
  <c r="T168" i="14"/>
  <c r="T169" i="14"/>
  <c r="T170" i="14"/>
  <c r="T171" i="14"/>
  <c r="T172" i="14"/>
  <c r="T173" i="14"/>
  <c r="T166" i="14"/>
  <c r="U150" i="14"/>
  <c r="V150" i="14"/>
  <c r="W150" i="14"/>
  <c r="X150" i="14"/>
  <c r="Y150" i="14"/>
  <c r="Z150" i="14"/>
  <c r="AA150" i="14"/>
  <c r="AB150" i="14"/>
  <c r="AC150" i="14"/>
  <c r="AD150" i="14"/>
  <c r="AE150" i="14"/>
  <c r="U151" i="14"/>
  <c r="V151" i="14"/>
  <c r="W151" i="14"/>
  <c r="X151" i="14"/>
  <c r="Y151" i="14"/>
  <c r="Z151" i="14"/>
  <c r="AA151" i="14"/>
  <c r="AB151" i="14"/>
  <c r="AC151" i="14"/>
  <c r="AD151" i="14"/>
  <c r="AE151" i="14"/>
  <c r="U152" i="14"/>
  <c r="V152" i="14"/>
  <c r="W152" i="14"/>
  <c r="X152" i="14"/>
  <c r="Y152" i="14"/>
  <c r="Z152" i="14"/>
  <c r="AA152" i="14"/>
  <c r="AB152" i="14"/>
  <c r="AC152" i="14"/>
  <c r="AD152" i="14"/>
  <c r="AE152" i="14"/>
  <c r="U153" i="14"/>
  <c r="V153" i="14"/>
  <c r="W153" i="14"/>
  <c r="X153" i="14"/>
  <c r="Y153" i="14"/>
  <c r="Z153" i="14"/>
  <c r="AA153" i="14"/>
  <c r="AB153" i="14"/>
  <c r="AC153" i="14"/>
  <c r="AD153" i="14"/>
  <c r="AE153" i="14"/>
  <c r="U154" i="14"/>
  <c r="V154" i="14"/>
  <c r="W154" i="14"/>
  <c r="X154" i="14"/>
  <c r="Y154" i="14"/>
  <c r="Z154" i="14"/>
  <c r="AA154" i="14"/>
  <c r="AB154" i="14"/>
  <c r="AC154" i="14"/>
  <c r="AD154" i="14"/>
  <c r="AE154" i="14"/>
  <c r="U155" i="14"/>
  <c r="V155" i="14"/>
  <c r="W155" i="14"/>
  <c r="X155" i="14"/>
  <c r="Y155" i="14"/>
  <c r="Z155" i="14"/>
  <c r="AA155" i="14"/>
  <c r="AB155" i="14"/>
  <c r="AC155" i="14"/>
  <c r="AD155" i="14"/>
  <c r="AE155" i="14"/>
  <c r="U156" i="14"/>
  <c r="V156" i="14"/>
  <c r="W156" i="14"/>
  <c r="X156" i="14"/>
  <c r="Y156" i="14"/>
  <c r="Z156" i="14"/>
  <c r="AA156" i="14"/>
  <c r="AB156" i="14"/>
  <c r="AC156" i="14"/>
  <c r="AD156" i="14"/>
  <c r="AE156" i="14"/>
  <c r="U157" i="14"/>
  <c r="V157" i="14"/>
  <c r="W157" i="14"/>
  <c r="X157" i="14"/>
  <c r="Y157" i="14"/>
  <c r="Z157" i="14"/>
  <c r="AA157" i="14"/>
  <c r="AB157" i="14"/>
  <c r="AC157" i="14"/>
  <c r="AD157" i="14"/>
  <c r="AE157" i="14"/>
  <c r="T151" i="14"/>
  <c r="T152" i="14"/>
  <c r="T153" i="14"/>
  <c r="T154" i="14"/>
  <c r="T155" i="14"/>
  <c r="T156" i="14"/>
  <c r="T157" i="14"/>
  <c r="T150" i="14"/>
  <c r="T145" i="14"/>
  <c r="U144" i="14"/>
  <c r="V144" i="14"/>
  <c r="W144" i="14"/>
  <c r="X144" i="14"/>
  <c r="Y144" i="14"/>
  <c r="Z144" i="14"/>
  <c r="AA144" i="14"/>
  <c r="AB144" i="14"/>
  <c r="AC144" i="14"/>
  <c r="AD144" i="14"/>
  <c r="AE144" i="14"/>
  <c r="U145" i="14"/>
  <c r="V145" i="14"/>
  <c r="W145" i="14"/>
  <c r="X145" i="14"/>
  <c r="Y145" i="14"/>
  <c r="Z145" i="14"/>
  <c r="AA145" i="14"/>
  <c r="AB145" i="14"/>
  <c r="AC145" i="14"/>
  <c r="AD145" i="14"/>
  <c r="AE145" i="14"/>
  <c r="U146" i="14"/>
  <c r="V146" i="14"/>
  <c r="W146" i="14"/>
  <c r="X146" i="14"/>
  <c r="Y146" i="14"/>
  <c r="Z146" i="14"/>
  <c r="AA146" i="14"/>
  <c r="AB146" i="14"/>
  <c r="AC146" i="14"/>
  <c r="AD146" i="14"/>
  <c r="AE146" i="14"/>
  <c r="U147" i="14"/>
  <c r="V147" i="14"/>
  <c r="W147" i="14"/>
  <c r="X147" i="14"/>
  <c r="Y147" i="14"/>
  <c r="Z147" i="14"/>
  <c r="AA147" i="14"/>
  <c r="AB147" i="14"/>
  <c r="AC147" i="14"/>
  <c r="AD147" i="14"/>
  <c r="AE147" i="14"/>
  <c r="U148" i="14"/>
  <c r="V148" i="14"/>
  <c r="W148" i="14"/>
  <c r="X148" i="14"/>
  <c r="Y148" i="14"/>
  <c r="Z148" i="14"/>
  <c r="AA148" i="14"/>
  <c r="AB148" i="14"/>
  <c r="AC148" i="14"/>
  <c r="AD148" i="14"/>
  <c r="AE148" i="14"/>
  <c r="T146" i="14"/>
  <c r="T147" i="14"/>
  <c r="T148" i="14"/>
  <c r="T144" i="14"/>
  <c r="U120" i="14"/>
  <c r="V120" i="14"/>
  <c r="W120" i="14"/>
  <c r="X120" i="14"/>
  <c r="Y120" i="14"/>
  <c r="Z120" i="14"/>
  <c r="AA120" i="14"/>
  <c r="AB120" i="14"/>
  <c r="AC120" i="14"/>
  <c r="AD120" i="14"/>
  <c r="AE120" i="14"/>
  <c r="U121" i="14"/>
  <c r="V121" i="14"/>
  <c r="W121" i="14"/>
  <c r="X121" i="14"/>
  <c r="Y121" i="14"/>
  <c r="Z121" i="14"/>
  <c r="AA121" i="14"/>
  <c r="AB121" i="14"/>
  <c r="AC121" i="14"/>
  <c r="AD121" i="14"/>
  <c r="AE121" i="14"/>
  <c r="U122" i="14"/>
  <c r="V122" i="14"/>
  <c r="W122" i="14"/>
  <c r="X122" i="14"/>
  <c r="Y122" i="14"/>
  <c r="Z122" i="14"/>
  <c r="AA122" i="14"/>
  <c r="AB122" i="14"/>
  <c r="AC122" i="14"/>
  <c r="AD122" i="14"/>
  <c r="AE122" i="14"/>
  <c r="U123" i="14"/>
  <c r="V123" i="14"/>
  <c r="W123" i="14"/>
  <c r="X123" i="14"/>
  <c r="Y123" i="14"/>
  <c r="Z123" i="14"/>
  <c r="AA123" i="14"/>
  <c r="AB123" i="14"/>
  <c r="AC123" i="14"/>
  <c r="AD123" i="14"/>
  <c r="AE123" i="14"/>
  <c r="U124" i="14"/>
  <c r="V124" i="14"/>
  <c r="W124" i="14"/>
  <c r="X124" i="14"/>
  <c r="Y124" i="14"/>
  <c r="Z124" i="14"/>
  <c r="AA124" i="14"/>
  <c r="AB124" i="14"/>
  <c r="AC124" i="14"/>
  <c r="AD124" i="14"/>
  <c r="AE124" i="14"/>
  <c r="U125" i="14"/>
  <c r="V125" i="14"/>
  <c r="W125" i="14"/>
  <c r="X125" i="14"/>
  <c r="Y125" i="14"/>
  <c r="Z125" i="14"/>
  <c r="AA125" i="14"/>
  <c r="AB125" i="14"/>
  <c r="AC125" i="14"/>
  <c r="AD125" i="14"/>
  <c r="AE125" i="14"/>
  <c r="U126" i="14"/>
  <c r="V126" i="14"/>
  <c r="W126" i="14"/>
  <c r="X126" i="14"/>
  <c r="Y126" i="14"/>
  <c r="Z126" i="14"/>
  <c r="AA126" i="14"/>
  <c r="AB126" i="14"/>
  <c r="AC126" i="14"/>
  <c r="AD126" i="14"/>
  <c r="AE126" i="14"/>
  <c r="T121" i="14"/>
  <c r="T122" i="14"/>
  <c r="T123" i="14"/>
  <c r="T124" i="14"/>
  <c r="T125" i="14"/>
  <c r="AF125" i="14" s="1"/>
  <c r="T126" i="14"/>
  <c r="T120" i="14"/>
  <c r="T118" i="14"/>
  <c r="AF252" i="14" l="1"/>
  <c r="AF245" i="14"/>
  <c r="AF223" i="14"/>
  <c r="AF207" i="14"/>
  <c r="AF216" i="14"/>
  <c r="AF196" i="14"/>
  <c r="AF195" i="14"/>
  <c r="AF188" i="14"/>
  <c r="AF187" i="14"/>
  <c r="AF185" i="14"/>
  <c r="AF97" i="14"/>
  <c r="AF137" i="14"/>
  <c r="AF166" i="14"/>
  <c r="AF255" i="14"/>
  <c r="AF253" i="14"/>
  <c r="AF250" i="14"/>
  <c r="AF249" i="14"/>
  <c r="AF248" i="14"/>
  <c r="AF251" i="14"/>
  <c r="AF247" i="14"/>
  <c r="AF246" i="14"/>
  <c r="AF244" i="14"/>
  <c r="AF229" i="14"/>
  <c r="AF239" i="14"/>
  <c r="AF237" i="14"/>
  <c r="AF238" i="14"/>
  <c r="AF236" i="14"/>
  <c r="AF235" i="14"/>
  <c r="AF240" i="14"/>
  <c r="AF234" i="14"/>
  <c r="AF233" i="14"/>
  <c r="AF241" i="14"/>
  <c r="AF232" i="14"/>
  <c r="AF230" i="14"/>
  <c r="AF222" i="14"/>
  <c r="AF227" i="14"/>
  <c r="AF226" i="14"/>
  <c r="AF225" i="14"/>
  <c r="AF224" i="14"/>
  <c r="AF220" i="14"/>
  <c r="AF219" i="14"/>
  <c r="AF218" i="14"/>
  <c r="AF217" i="14"/>
  <c r="AF214" i="14"/>
  <c r="AF212" i="14"/>
  <c r="AF213" i="14"/>
  <c r="AF211" i="14"/>
  <c r="AF215" i="14"/>
  <c r="AF210" i="14"/>
  <c r="AF209" i="14"/>
  <c r="AF208" i="14"/>
  <c r="AF205" i="14"/>
  <c r="AF203" i="14"/>
  <c r="AF202" i="14"/>
  <c r="AF204" i="14"/>
  <c r="AF200" i="14"/>
  <c r="AF201" i="14"/>
  <c r="AF199" i="14"/>
  <c r="AF190" i="14"/>
  <c r="AF193" i="14"/>
  <c r="AF191" i="14"/>
  <c r="AF192" i="14"/>
  <c r="AF175" i="14"/>
  <c r="AF186" i="14"/>
  <c r="AF184" i="14"/>
  <c r="AF182" i="14"/>
  <c r="AF181" i="14"/>
  <c r="AF178" i="14"/>
  <c r="AF183" i="14"/>
  <c r="AF177" i="14"/>
  <c r="AF176" i="14"/>
  <c r="AF179" i="14"/>
  <c r="AF173" i="14"/>
  <c r="AF171" i="14"/>
  <c r="AF170" i="14"/>
  <c r="AF172" i="14"/>
  <c r="AF169" i="14"/>
  <c r="AF168" i="14"/>
  <c r="AF167" i="14"/>
  <c r="AF145" i="14"/>
  <c r="AF144" i="14"/>
  <c r="AF146" i="14"/>
  <c r="AF147" i="14"/>
  <c r="AF148" i="14"/>
  <c r="AF159" i="14"/>
  <c r="AF162" i="14"/>
  <c r="AF160" i="14"/>
  <c r="AF150" i="14"/>
  <c r="AF158" i="14"/>
  <c r="AF163" i="14"/>
  <c r="AF152" i="14"/>
  <c r="AF151" i="14"/>
  <c r="AF161" i="14"/>
  <c r="AF156" i="14"/>
  <c r="AF153" i="14"/>
  <c r="AF157" i="14"/>
  <c r="AF155" i="14"/>
  <c r="AF154" i="14"/>
  <c r="AF141" i="14"/>
  <c r="AF139" i="14"/>
  <c r="AF138" i="14"/>
  <c r="AF120" i="14"/>
  <c r="AF126" i="14"/>
  <c r="AF124" i="14"/>
  <c r="AF123" i="14"/>
  <c r="AF122" i="14"/>
  <c r="AF121" i="14"/>
  <c r="AF136" i="14"/>
  <c r="AF140" i="14"/>
  <c r="AF101" i="14"/>
  <c r="AF102" i="14"/>
  <c r="AF99" i="14"/>
  <c r="AF100" i="14"/>
  <c r="AF98" i="14"/>
  <c r="A174" i="14"/>
  <c r="A34" i="14"/>
  <c r="A143" i="14"/>
  <c r="A221" i="14"/>
  <c r="A242" i="14"/>
  <c r="A197" i="14"/>
  <c r="A198" i="14"/>
  <c r="A119" i="14"/>
  <c r="A149" i="14"/>
  <c r="A165" i="14"/>
  <c r="A164" i="14"/>
  <c r="A206" i="14"/>
  <c r="A189" i="14"/>
  <c r="A89" i="14"/>
  <c r="A104" i="14"/>
  <c r="A103" i="14"/>
  <c r="A12" i="14"/>
  <c r="A142" i="14"/>
  <c r="A57" i="14"/>
  <c r="A56" i="14" s="1"/>
  <c r="A228" i="14"/>
  <c r="U105" i="14"/>
  <c r="V105" i="14"/>
  <c r="W105" i="14"/>
  <c r="X105" i="14"/>
  <c r="Y105" i="14"/>
  <c r="Z105" i="14"/>
  <c r="AA105" i="14"/>
  <c r="AB105" i="14"/>
  <c r="AC105" i="14"/>
  <c r="AD105" i="14"/>
  <c r="AE105" i="14"/>
  <c r="U106" i="14"/>
  <c r="V106" i="14"/>
  <c r="W106" i="14"/>
  <c r="X106" i="14"/>
  <c r="Y106" i="14"/>
  <c r="Z106" i="14"/>
  <c r="AA106" i="14"/>
  <c r="AB106" i="14"/>
  <c r="AC106" i="14"/>
  <c r="AD106" i="14"/>
  <c r="AE106" i="14"/>
  <c r="U107" i="14"/>
  <c r="V107" i="14"/>
  <c r="W107" i="14"/>
  <c r="X107" i="14"/>
  <c r="Y107" i="14"/>
  <c r="Z107" i="14"/>
  <c r="AA107" i="14"/>
  <c r="AB107" i="14"/>
  <c r="AC107" i="14"/>
  <c r="AD107" i="14"/>
  <c r="AE107" i="14"/>
  <c r="U108" i="14"/>
  <c r="V108" i="14"/>
  <c r="W108" i="14"/>
  <c r="X108" i="14"/>
  <c r="Y108" i="14"/>
  <c r="Z108" i="14"/>
  <c r="AA108" i="14"/>
  <c r="AB108" i="14"/>
  <c r="AC108" i="14"/>
  <c r="AD108" i="14"/>
  <c r="AE108" i="14"/>
  <c r="U109" i="14"/>
  <c r="V109" i="14"/>
  <c r="W109" i="14"/>
  <c r="X109" i="14"/>
  <c r="Y109" i="14"/>
  <c r="Z109" i="14"/>
  <c r="AA109" i="14"/>
  <c r="AB109" i="14"/>
  <c r="AC109" i="14"/>
  <c r="AD109" i="14"/>
  <c r="AE109" i="14"/>
  <c r="U110" i="14"/>
  <c r="V110" i="14"/>
  <c r="W110" i="14"/>
  <c r="X110" i="14"/>
  <c r="Y110" i="14"/>
  <c r="Z110" i="14"/>
  <c r="AA110" i="14"/>
  <c r="AB110" i="14"/>
  <c r="AC110" i="14"/>
  <c r="AD110" i="14"/>
  <c r="AE110" i="14"/>
  <c r="U111" i="14"/>
  <c r="V111" i="14"/>
  <c r="W111" i="14"/>
  <c r="X111" i="14"/>
  <c r="Y111" i="14"/>
  <c r="Z111" i="14"/>
  <c r="AA111" i="14"/>
  <c r="AB111" i="14"/>
  <c r="AC111" i="14"/>
  <c r="AD111" i="14"/>
  <c r="AE111" i="14"/>
  <c r="U112" i="14"/>
  <c r="V112" i="14"/>
  <c r="W112" i="14"/>
  <c r="X112" i="14"/>
  <c r="Y112" i="14"/>
  <c r="Z112" i="14"/>
  <c r="AA112" i="14"/>
  <c r="AB112" i="14"/>
  <c r="AC112" i="14"/>
  <c r="AD112" i="14"/>
  <c r="AE112" i="14"/>
  <c r="U113" i="14"/>
  <c r="V113" i="14"/>
  <c r="W113" i="14"/>
  <c r="X113" i="14"/>
  <c r="Y113" i="14"/>
  <c r="Z113" i="14"/>
  <c r="AA113" i="14"/>
  <c r="AB113" i="14"/>
  <c r="AC113" i="14"/>
  <c r="AD113" i="14"/>
  <c r="AE113" i="14"/>
  <c r="U114" i="14"/>
  <c r="V114" i="14"/>
  <c r="W114" i="14"/>
  <c r="X114" i="14"/>
  <c r="Y114" i="14"/>
  <c r="Z114" i="14"/>
  <c r="AA114" i="14"/>
  <c r="AB114" i="14"/>
  <c r="AC114" i="14"/>
  <c r="AD114" i="14"/>
  <c r="AE114" i="14"/>
  <c r="U115" i="14"/>
  <c r="V115" i="14"/>
  <c r="W115" i="14"/>
  <c r="X115" i="14"/>
  <c r="Y115" i="14"/>
  <c r="Z115" i="14"/>
  <c r="AA115" i="14"/>
  <c r="AB115" i="14"/>
  <c r="AC115" i="14"/>
  <c r="AD115" i="14"/>
  <c r="AE115" i="14"/>
  <c r="U116" i="14"/>
  <c r="V116" i="14"/>
  <c r="W116" i="14"/>
  <c r="X116" i="14"/>
  <c r="Y116" i="14"/>
  <c r="Z116" i="14"/>
  <c r="AA116" i="14"/>
  <c r="AB116" i="14"/>
  <c r="AC116" i="14"/>
  <c r="AD116" i="14"/>
  <c r="AE116" i="14"/>
  <c r="U117" i="14"/>
  <c r="V117" i="14"/>
  <c r="W117" i="14"/>
  <c r="X117" i="14"/>
  <c r="Y117" i="14"/>
  <c r="Z117" i="14"/>
  <c r="AA117" i="14"/>
  <c r="AB117" i="14"/>
  <c r="AC117" i="14"/>
  <c r="AD117" i="14"/>
  <c r="AE117" i="14"/>
  <c r="U118" i="14"/>
  <c r="V118" i="14"/>
  <c r="W118" i="14"/>
  <c r="X118" i="14"/>
  <c r="Y118" i="14"/>
  <c r="Z118" i="14"/>
  <c r="AA118" i="14"/>
  <c r="AB118" i="14"/>
  <c r="AC118" i="14"/>
  <c r="AD118" i="14"/>
  <c r="AE118" i="14"/>
  <c r="T106" i="14"/>
  <c r="T107" i="14"/>
  <c r="T108" i="14"/>
  <c r="T109" i="14"/>
  <c r="T110" i="14"/>
  <c r="T111" i="14"/>
  <c r="T112" i="14"/>
  <c r="T113" i="14"/>
  <c r="T114" i="14"/>
  <c r="T115" i="14"/>
  <c r="T116" i="14"/>
  <c r="T117" i="14"/>
  <c r="T105" i="14"/>
  <c r="U90" i="14"/>
  <c r="V90" i="14"/>
  <c r="W90" i="14"/>
  <c r="X90" i="14"/>
  <c r="Y90" i="14"/>
  <c r="Z90" i="14"/>
  <c r="AA90" i="14"/>
  <c r="AB90" i="14"/>
  <c r="AC90" i="14"/>
  <c r="AD90" i="14"/>
  <c r="AE90" i="14"/>
  <c r="U91" i="14"/>
  <c r="V91" i="14"/>
  <c r="W91" i="14"/>
  <c r="X91" i="14"/>
  <c r="Y91" i="14"/>
  <c r="Z91" i="14"/>
  <c r="AA91" i="14"/>
  <c r="AB91" i="14"/>
  <c r="AC91" i="14"/>
  <c r="AD91" i="14"/>
  <c r="AE91" i="14"/>
  <c r="U92" i="14"/>
  <c r="V92" i="14"/>
  <c r="W92" i="14"/>
  <c r="X92" i="14"/>
  <c r="Y92" i="14"/>
  <c r="Z92" i="14"/>
  <c r="AA92" i="14"/>
  <c r="AB92" i="14"/>
  <c r="AC92" i="14"/>
  <c r="AD92" i="14"/>
  <c r="AE92" i="14"/>
  <c r="U93" i="14"/>
  <c r="V93" i="14"/>
  <c r="W93" i="14"/>
  <c r="X93" i="14"/>
  <c r="Y93" i="14"/>
  <c r="Z93" i="14"/>
  <c r="AA93" i="14"/>
  <c r="AB93" i="14"/>
  <c r="AC93" i="14"/>
  <c r="AD93" i="14"/>
  <c r="AE93" i="14"/>
  <c r="U94" i="14"/>
  <c r="V94" i="14"/>
  <c r="W94" i="14"/>
  <c r="X94" i="14"/>
  <c r="Y94" i="14"/>
  <c r="Z94" i="14"/>
  <c r="AA94" i="14"/>
  <c r="AB94" i="14"/>
  <c r="AC94" i="14"/>
  <c r="AD94" i="14"/>
  <c r="AE94" i="14"/>
  <c r="U95" i="14"/>
  <c r="V95" i="14"/>
  <c r="W95" i="14"/>
  <c r="X95" i="14"/>
  <c r="Y95" i="14"/>
  <c r="Z95" i="14"/>
  <c r="AA95" i="14"/>
  <c r="AB95" i="14"/>
  <c r="AC95" i="14"/>
  <c r="AD95" i="14"/>
  <c r="AE95" i="14"/>
  <c r="AF117" i="14" l="1"/>
  <c r="AF118" i="14"/>
  <c r="AF174" i="14"/>
  <c r="AF110" i="14"/>
  <c r="AF108" i="14"/>
  <c r="AF114" i="14"/>
  <c r="AF111" i="14"/>
  <c r="AF107" i="14"/>
  <c r="AF116" i="14"/>
  <c r="AF112" i="14"/>
  <c r="AF109" i="14"/>
  <c r="AF106" i="14"/>
  <c r="AF113" i="14"/>
  <c r="AF105" i="14"/>
  <c r="AF115" i="14"/>
  <c r="T91" i="14"/>
  <c r="AF91" i="14" s="1"/>
  <c r="T92" i="14"/>
  <c r="AF92" i="14" s="1"/>
  <c r="T93" i="14"/>
  <c r="AF93" i="14" s="1"/>
  <c r="T94" i="14"/>
  <c r="AF94" i="14" s="1"/>
  <c r="T95" i="14"/>
  <c r="AF95" i="14" s="1"/>
  <c r="T96" i="14"/>
  <c r="AF96" i="14" s="1"/>
  <c r="T90" i="14"/>
  <c r="AF90" i="14" s="1"/>
  <c r="AE73" i="14"/>
  <c r="AE74" i="14"/>
  <c r="AE75" i="14"/>
  <c r="AE76" i="14"/>
  <c r="AE77" i="14"/>
  <c r="AE78" i="14"/>
  <c r="AE79" i="14"/>
  <c r="AE80" i="14"/>
  <c r="AE81" i="14"/>
  <c r="AE82" i="14"/>
  <c r="AE83" i="14"/>
  <c r="AE84" i="14"/>
  <c r="AE85" i="14"/>
  <c r="AE86" i="14"/>
  <c r="AE87" i="14"/>
  <c r="AE88" i="14"/>
  <c r="AD73" i="14"/>
  <c r="AD74" i="14"/>
  <c r="AD75" i="14"/>
  <c r="AD76" i="14"/>
  <c r="AD77" i="14"/>
  <c r="AD78" i="14"/>
  <c r="AD79" i="14"/>
  <c r="AD80" i="14"/>
  <c r="AD81" i="14"/>
  <c r="AD82" i="14"/>
  <c r="AD83" i="14"/>
  <c r="AD84" i="14"/>
  <c r="AD85" i="14"/>
  <c r="AD86" i="14"/>
  <c r="AD87" i="14"/>
  <c r="AD88" i="14"/>
  <c r="AC73" i="14"/>
  <c r="AC74" i="14"/>
  <c r="AC75" i="14"/>
  <c r="AC76" i="14"/>
  <c r="AC77" i="14"/>
  <c r="AC78" i="14"/>
  <c r="AC79" i="14"/>
  <c r="AC80" i="14"/>
  <c r="AC81" i="14"/>
  <c r="AC82" i="14"/>
  <c r="AC83" i="14"/>
  <c r="AC84" i="14"/>
  <c r="AC85" i="14"/>
  <c r="AC86" i="14"/>
  <c r="AC87" i="14"/>
  <c r="AC88" i="14"/>
  <c r="AB73" i="14"/>
  <c r="AB74" i="14"/>
  <c r="AB75" i="14"/>
  <c r="AB76" i="14"/>
  <c r="AB77" i="14"/>
  <c r="AB78" i="14"/>
  <c r="AB79" i="14"/>
  <c r="AB80" i="14"/>
  <c r="AB81" i="14"/>
  <c r="AB82" i="14"/>
  <c r="AB83" i="14"/>
  <c r="AB84" i="14"/>
  <c r="AB85" i="14"/>
  <c r="AB86" i="14"/>
  <c r="AB87" i="14"/>
  <c r="AB88" i="14"/>
  <c r="AA73" i="14"/>
  <c r="AA74" i="14"/>
  <c r="AA75" i="14"/>
  <c r="AA76" i="14"/>
  <c r="AA77" i="14"/>
  <c r="AA78" i="14"/>
  <c r="AA79" i="14"/>
  <c r="AA80" i="14"/>
  <c r="AA81" i="14"/>
  <c r="AA82" i="14"/>
  <c r="AA83" i="14"/>
  <c r="AA84" i="14"/>
  <c r="AA85" i="14"/>
  <c r="AA86" i="14"/>
  <c r="AA87" i="14"/>
  <c r="AA88" i="14"/>
  <c r="Z73" i="14"/>
  <c r="Z74" i="14"/>
  <c r="Z75" i="14"/>
  <c r="Z76" i="14"/>
  <c r="Z77" i="14"/>
  <c r="Z78" i="14"/>
  <c r="Z79" i="14"/>
  <c r="Z80" i="14"/>
  <c r="Z81" i="14"/>
  <c r="Z82" i="14"/>
  <c r="Z83" i="14"/>
  <c r="Z84" i="14"/>
  <c r="Z85" i="14"/>
  <c r="Z86" i="14"/>
  <c r="Z87" i="14"/>
  <c r="Z88" i="14"/>
  <c r="Y73" i="14"/>
  <c r="Y74" i="14"/>
  <c r="Y75" i="14"/>
  <c r="Y76" i="14"/>
  <c r="Y77" i="14"/>
  <c r="Y78" i="14"/>
  <c r="Y79" i="14"/>
  <c r="Y80" i="14"/>
  <c r="Y81" i="14"/>
  <c r="Y82" i="14"/>
  <c r="Y83" i="14"/>
  <c r="Y84" i="14"/>
  <c r="Y85" i="14"/>
  <c r="Y86" i="14"/>
  <c r="Y87" i="14"/>
  <c r="Y88" i="14"/>
  <c r="X73" i="14"/>
  <c r="X74" i="14"/>
  <c r="X75" i="14"/>
  <c r="X76" i="14"/>
  <c r="X77" i="14"/>
  <c r="X78" i="14"/>
  <c r="X79" i="14"/>
  <c r="X80" i="14"/>
  <c r="X81" i="14"/>
  <c r="X82" i="14"/>
  <c r="X83" i="14"/>
  <c r="X84" i="14"/>
  <c r="X85" i="14"/>
  <c r="X86" i="14"/>
  <c r="X87" i="14"/>
  <c r="X88" i="14"/>
  <c r="W73" i="14"/>
  <c r="W74" i="14"/>
  <c r="W75" i="14"/>
  <c r="W76" i="14"/>
  <c r="W77" i="14"/>
  <c r="W78" i="14"/>
  <c r="W79" i="14"/>
  <c r="W80" i="14"/>
  <c r="W81" i="14"/>
  <c r="W82" i="14"/>
  <c r="W83" i="14"/>
  <c r="W84" i="14"/>
  <c r="W85" i="14"/>
  <c r="W86" i="14"/>
  <c r="W87" i="14"/>
  <c r="W88" i="14"/>
  <c r="V73" i="14"/>
  <c r="V74" i="14"/>
  <c r="V75" i="14"/>
  <c r="V76" i="14"/>
  <c r="V77" i="14"/>
  <c r="V78" i="14"/>
  <c r="V79" i="14"/>
  <c r="V80" i="14"/>
  <c r="V81" i="14"/>
  <c r="V82" i="14"/>
  <c r="V83" i="14"/>
  <c r="V84" i="14"/>
  <c r="V85" i="14"/>
  <c r="V86" i="14"/>
  <c r="V87" i="14"/>
  <c r="V88" i="14"/>
  <c r="U73" i="14"/>
  <c r="U74" i="14"/>
  <c r="U75" i="14"/>
  <c r="U76" i="14"/>
  <c r="U77" i="14"/>
  <c r="U78" i="14"/>
  <c r="U79" i="14"/>
  <c r="U80" i="14"/>
  <c r="U81" i="14"/>
  <c r="U82" i="14"/>
  <c r="U83" i="14"/>
  <c r="U84" i="14"/>
  <c r="U85" i="14"/>
  <c r="U86" i="14"/>
  <c r="U87" i="14"/>
  <c r="U88" i="14"/>
  <c r="U72" i="14"/>
  <c r="V72" i="14"/>
  <c r="W72" i="14"/>
  <c r="X72" i="14"/>
  <c r="Y72" i="14"/>
  <c r="Z72" i="14"/>
  <c r="AA72" i="14"/>
  <c r="AB72" i="14"/>
  <c r="AC72" i="14"/>
  <c r="AD72" i="14"/>
  <c r="AE72" i="14"/>
  <c r="U71" i="14"/>
  <c r="V71" i="14"/>
  <c r="W71" i="14"/>
  <c r="X71" i="14"/>
  <c r="Y71" i="14"/>
  <c r="Z71" i="14"/>
  <c r="AA71" i="14"/>
  <c r="AB71" i="14"/>
  <c r="AC71" i="14"/>
  <c r="AD71" i="14"/>
  <c r="AE71" i="14"/>
  <c r="U70" i="14"/>
  <c r="V70" i="14"/>
  <c r="W70" i="14"/>
  <c r="X70" i="14"/>
  <c r="Y70" i="14"/>
  <c r="Z70" i="14"/>
  <c r="AA70" i="14"/>
  <c r="AB70" i="14"/>
  <c r="AC70" i="14"/>
  <c r="AD70" i="14"/>
  <c r="AE70" i="14"/>
  <c r="U69" i="14"/>
  <c r="V69" i="14"/>
  <c r="W69" i="14"/>
  <c r="X69" i="14"/>
  <c r="Y69" i="14"/>
  <c r="Z69" i="14"/>
  <c r="AA69" i="14"/>
  <c r="AB69" i="14"/>
  <c r="AC69" i="14"/>
  <c r="AD69" i="14"/>
  <c r="AE69" i="14"/>
  <c r="U68" i="14"/>
  <c r="V68" i="14"/>
  <c r="W68" i="14"/>
  <c r="X68" i="14"/>
  <c r="Y68" i="14"/>
  <c r="Z68" i="14"/>
  <c r="AA68" i="14"/>
  <c r="AB68" i="14"/>
  <c r="AC68" i="14"/>
  <c r="AD68" i="14"/>
  <c r="AE68" i="14"/>
  <c r="U67" i="14"/>
  <c r="V67" i="14"/>
  <c r="W67" i="14"/>
  <c r="X67" i="14"/>
  <c r="Y67" i="14"/>
  <c r="Z67" i="14"/>
  <c r="AA67" i="14"/>
  <c r="AB67" i="14"/>
  <c r="AC67" i="14"/>
  <c r="AD67" i="14"/>
  <c r="AE67" i="14"/>
  <c r="U66" i="14"/>
  <c r="V66" i="14"/>
  <c r="W66" i="14"/>
  <c r="X66" i="14"/>
  <c r="Y66" i="14"/>
  <c r="Z66" i="14"/>
  <c r="AA66" i="14"/>
  <c r="AB66" i="14"/>
  <c r="AC66" i="14"/>
  <c r="AD66" i="14"/>
  <c r="AE66" i="14"/>
  <c r="U65" i="14"/>
  <c r="V65" i="14"/>
  <c r="W65" i="14"/>
  <c r="X65" i="14"/>
  <c r="Y65" i="14"/>
  <c r="Z65" i="14"/>
  <c r="AA65" i="14"/>
  <c r="AB65" i="14"/>
  <c r="AC65" i="14"/>
  <c r="AD65" i="14"/>
  <c r="AE65" i="14"/>
  <c r="U64" i="14"/>
  <c r="V64" i="14"/>
  <c r="W64" i="14"/>
  <c r="X64" i="14"/>
  <c r="Y64" i="14"/>
  <c r="Z64" i="14"/>
  <c r="AA64" i="14"/>
  <c r="AB64" i="14"/>
  <c r="AC64" i="14"/>
  <c r="AD64" i="14"/>
  <c r="AE64" i="14"/>
  <c r="U63" i="14"/>
  <c r="V63" i="14"/>
  <c r="W63" i="14"/>
  <c r="X63" i="14"/>
  <c r="Y63" i="14"/>
  <c r="Z63" i="14"/>
  <c r="AA63" i="14"/>
  <c r="AB63" i="14"/>
  <c r="AC63" i="14"/>
  <c r="AD63" i="14"/>
  <c r="AE63" i="14"/>
  <c r="U62" i="14"/>
  <c r="W62" i="14"/>
  <c r="X62" i="14"/>
  <c r="Y62" i="14"/>
  <c r="Z62" i="14"/>
  <c r="AA62" i="14"/>
  <c r="AB62" i="14"/>
  <c r="AC62" i="14"/>
  <c r="AD62" i="14"/>
  <c r="AE62" i="14"/>
  <c r="U61" i="14"/>
  <c r="V61" i="14"/>
  <c r="W61" i="14"/>
  <c r="X61" i="14"/>
  <c r="Y61" i="14"/>
  <c r="Z61" i="14"/>
  <c r="AA61" i="14"/>
  <c r="AB61" i="14"/>
  <c r="AC61" i="14"/>
  <c r="AD61" i="14"/>
  <c r="AE61" i="14"/>
  <c r="U60" i="14"/>
  <c r="V60" i="14"/>
  <c r="W60" i="14"/>
  <c r="X60" i="14"/>
  <c r="Y60" i="14"/>
  <c r="Z60" i="14"/>
  <c r="AA60" i="14"/>
  <c r="AB60" i="14"/>
  <c r="AC60" i="14"/>
  <c r="AD60" i="14"/>
  <c r="AE60" i="14"/>
  <c r="U59" i="14"/>
  <c r="V59" i="14"/>
  <c r="W59" i="14"/>
  <c r="X59" i="14"/>
  <c r="Y59" i="14"/>
  <c r="Z59" i="14"/>
  <c r="AA59" i="14"/>
  <c r="AB59" i="14"/>
  <c r="AC59" i="14"/>
  <c r="AD59" i="14"/>
  <c r="AE59"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AC58" i="14"/>
  <c r="U58" i="14"/>
  <c r="V58" i="14"/>
  <c r="W58" i="14"/>
  <c r="X58" i="14"/>
  <c r="Y58" i="14"/>
  <c r="Z58" i="14"/>
  <c r="AA58" i="14"/>
  <c r="AB58" i="14"/>
  <c r="AD58" i="14"/>
  <c r="AE58" i="14"/>
  <c r="T58" i="14"/>
  <c r="AF58" i="14" s="1"/>
  <c r="T53" i="14"/>
  <c r="AF53" i="14" s="1"/>
  <c r="AF82" i="14" l="1"/>
  <c r="AF62" i="14"/>
  <c r="AF61" i="14"/>
  <c r="AF79" i="14"/>
  <c r="AF59" i="14"/>
  <c r="AF78" i="14"/>
  <c r="AF77" i="14"/>
  <c r="AF76" i="14"/>
  <c r="AF73" i="14"/>
  <c r="AF72" i="14"/>
  <c r="AF81" i="14"/>
  <c r="AF70" i="14"/>
  <c r="AF71" i="14"/>
  <c r="AF69" i="14"/>
  <c r="AF68" i="14"/>
  <c r="AF80" i="14"/>
  <c r="AF74" i="14"/>
  <c r="AF67" i="14"/>
  <c r="AF66" i="14"/>
  <c r="AF60" i="14"/>
  <c r="AF88" i="14"/>
  <c r="AF85" i="14"/>
  <c r="AF87" i="14"/>
  <c r="AF84" i="14"/>
  <c r="AF75" i="14"/>
  <c r="AF86" i="14"/>
  <c r="AF65" i="14"/>
  <c r="AF64" i="14"/>
  <c r="AF83" i="14"/>
  <c r="AF63" i="14"/>
  <c r="U52" i="14"/>
  <c r="V52" i="14"/>
  <c r="W52" i="14"/>
  <c r="X52" i="14"/>
  <c r="Y52" i="14"/>
  <c r="Z52" i="14"/>
  <c r="AA52" i="14"/>
  <c r="AB52" i="14"/>
  <c r="AC52" i="14"/>
  <c r="AD52" i="14"/>
  <c r="AE52" i="14"/>
  <c r="T52" i="14"/>
  <c r="U51" i="14"/>
  <c r="V51" i="14"/>
  <c r="W51" i="14"/>
  <c r="X51" i="14"/>
  <c r="Y51" i="14"/>
  <c r="Z51" i="14"/>
  <c r="AA51" i="14"/>
  <c r="AB51" i="14"/>
  <c r="AC51" i="14"/>
  <c r="AD51" i="14"/>
  <c r="AE51" i="14"/>
  <c r="T51" i="14"/>
  <c r="U40" i="14"/>
  <c r="V40" i="14"/>
  <c r="W40" i="14"/>
  <c r="X40" i="14"/>
  <c r="Y40" i="14"/>
  <c r="Z40" i="14"/>
  <c r="AA40" i="14"/>
  <c r="AB40" i="14"/>
  <c r="AC40" i="14"/>
  <c r="AD40" i="14"/>
  <c r="AE40" i="14"/>
  <c r="U41" i="14"/>
  <c r="V41" i="14"/>
  <c r="W41" i="14"/>
  <c r="X41" i="14"/>
  <c r="Y41" i="14"/>
  <c r="Z41" i="14"/>
  <c r="AA41" i="14"/>
  <c r="AB41" i="14"/>
  <c r="AC41" i="14"/>
  <c r="AD41" i="14"/>
  <c r="AE41" i="14"/>
  <c r="T41" i="14"/>
  <c r="AF52" i="14" l="1"/>
  <c r="AF51" i="14"/>
  <c r="AF41" i="14"/>
  <c r="U38" i="14"/>
  <c r="V38" i="14"/>
  <c r="W38" i="14"/>
  <c r="X38" i="14"/>
  <c r="Y38" i="14"/>
  <c r="Z38" i="14"/>
  <c r="AA38" i="14"/>
  <c r="AB38" i="14"/>
  <c r="AC38" i="14"/>
  <c r="AD38" i="14"/>
  <c r="AE38" i="14"/>
  <c r="U37" i="14"/>
  <c r="V37" i="14"/>
  <c r="W37" i="14"/>
  <c r="X37" i="14"/>
  <c r="Y37" i="14"/>
  <c r="Z37" i="14"/>
  <c r="AA37" i="14"/>
  <c r="AB37" i="14"/>
  <c r="AC37" i="14"/>
  <c r="AD37" i="14"/>
  <c r="AE37" i="14"/>
  <c r="U39" i="14"/>
  <c r="V39" i="14"/>
  <c r="W39" i="14"/>
  <c r="X39" i="14"/>
  <c r="Y39" i="14"/>
  <c r="Z39" i="14"/>
  <c r="AA39" i="14"/>
  <c r="AB39" i="14"/>
  <c r="AC39" i="14"/>
  <c r="AD39" i="14"/>
  <c r="AE39" i="14"/>
  <c r="T36" i="14"/>
  <c r="AF36" i="14" s="1"/>
  <c r="T37" i="14"/>
  <c r="T38" i="14"/>
  <c r="AF38" i="14" s="1"/>
  <c r="T39" i="14"/>
  <c r="AF39" i="14" s="1"/>
  <c r="T40" i="14"/>
  <c r="AF40" i="14" s="1"/>
  <c r="U35" i="14"/>
  <c r="V35" i="14"/>
  <c r="W35" i="14"/>
  <c r="X35" i="14"/>
  <c r="Y35" i="14"/>
  <c r="Z35" i="14"/>
  <c r="AA35" i="14"/>
  <c r="AB35" i="14"/>
  <c r="AC35" i="14"/>
  <c r="AD35" i="14"/>
  <c r="AE35" i="14"/>
  <c r="T35" i="14"/>
  <c r="U17" i="14"/>
  <c r="V17" i="14"/>
  <c r="W17" i="14"/>
  <c r="X17" i="14"/>
  <c r="Y17" i="14"/>
  <c r="Z17" i="14"/>
  <c r="AA17" i="14"/>
  <c r="AB17" i="14"/>
  <c r="AC17" i="14"/>
  <c r="AD17" i="14"/>
  <c r="AE17" i="14"/>
  <c r="T17" i="14"/>
  <c r="T16" i="14"/>
  <c r="U16" i="14"/>
  <c r="V16" i="14"/>
  <c r="W16" i="14"/>
  <c r="X16" i="14"/>
  <c r="Y16" i="14"/>
  <c r="Z16" i="14"/>
  <c r="AA16" i="14"/>
  <c r="AB16" i="14"/>
  <c r="AC16" i="14"/>
  <c r="AD16" i="14"/>
  <c r="AE16" i="14"/>
  <c r="V15" i="14"/>
  <c r="W15" i="14"/>
  <c r="X15" i="14"/>
  <c r="Y15" i="14"/>
  <c r="Z15" i="14"/>
  <c r="AA15" i="14"/>
  <c r="AB15" i="14"/>
  <c r="AC15" i="14"/>
  <c r="AD15" i="14"/>
  <c r="AE15" i="14"/>
  <c r="U15" i="14"/>
  <c r="T15" i="14"/>
  <c r="AF15" i="14" s="1"/>
  <c r="U14" i="14"/>
  <c r="V14" i="14"/>
  <c r="W14" i="14"/>
  <c r="X14" i="14"/>
  <c r="Y14" i="14"/>
  <c r="Z14" i="14"/>
  <c r="AA14" i="14"/>
  <c r="AB14" i="14"/>
  <c r="AC14" i="14"/>
  <c r="AD14" i="14"/>
  <c r="AE14" i="14"/>
  <c r="T14" i="14"/>
  <c r="U13" i="14"/>
  <c r="V13" i="14"/>
  <c r="W13" i="14"/>
  <c r="X13" i="14"/>
  <c r="Y13" i="14"/>
  <c r="Z13" i="14"/>
  <c r="AA13" i="14"/>
  <c r="AB13" i="14"/>
  <c r="AC13" i="14"/>
  <c r="AD13" i="14"/>
  <c r="AE13" i="14"/>
  <c r="U11" i="14"/>
  <c r="V11" i="14"/>
  <c r="W11" i="14"/>
  <c r="X11" i="14"/>
  <c r="Y11" i="14"/>
  <c r="Z11" i="14"/>
  <c r="AA11" i="14"/>
  <c r="AB11" i="14"/>
  <c r="AC11" i="14"/>
  <c r="AD11" i="14"/>
  <c r="AE11" i="14"/>
  <c r="T11" i="14"/>
  <c r="U10" i="14"/>
  <c r="V10" i="14"/>
  <c r="W10" i="14"/>
  <c r="X10" i="14"/>
  <c r="Y10" i="14"/>
  <c r="Z10" i="14"/>
  <c r="AA10" i="14"/>
  <c r="AB10" i="14"/>
  <c r="AC10" i="14"/>
  <c r="AD10" i="14"/>
  <c r="AE10" i="14"/>
  <c r="T10" i="14"/>
  <c r="U9" i="14"/>
  <c r="V9" i="14"/>
  <c r="W9" i="14"/>
  <c r="X9" i="14"/>
  <c r="Y9" i="14"/>
  <c r="Z9" i="14"/>
  <c r="AA9" i="14"/>
  <c r="AB9" i="14"/>
  <c r="AC9" i="14"/>
  <c r="AD9" i="14"/>
  <c r="AE9" i="14"/>
  <c r="U8" i="14"/>
  <c r="V8" i="14"/>
  <c r="W8" i="14"/>
  <c r="X8" i="14"/>
  <c r="Y8" i="14"/>
  <c r="Z8" i="14"/>
  <c r="AA8" i="14"/>
  <c r="AB8" i="14"/>
  <c r="AC8" i="14"/>
  <c r="AD8" i="14"/>
  <c r="AE8" i="14"/>
  <c r="U7" i="14"/>
  <c r="V7" i="14"/>
  <c r="W7" i="14"/>
  <c r="X7" i="14"/>
  <c r="Y7" i="14"/>
  <c r="Z7" i="14"/>
  <c r="AA7" i="14"/>
  <c r="AB7" i="14"/>
  <c r="AC7" i="14"/>
  <c r="AD7" i="14"/>
  <c r="AE7" i="14"/>
  <c r="T7" i="14"/>
  <c r="T8" i="14"/>
  <c r="T9" i="14"/>
  <c r="U6" i="14"/>
  <c r="V6" i="14"/>
  <c r="W6" i="14"/>
  <c r="X6" i="14"/>
  <c r="Y6" i="14"/>
  <c r="Z6" i="14"/>
  <c r="AA6" i="14"/>
  <c r="AB6" i="14"/>
  <c r="AC6" i="14"/>
  <c r="AD6" i="14"/>
  <c r="AE6" i="14"/>
  <c r="T6" i="14"/>
  <c r="U5" i="14"/>
  <c r="V5" i="14"/>
  <c r="W5" i="14"/>
  <c r="X5" i="14"/>
  <c r="Y5" i="14"/>
  <c r="Z5" i="14"/>
  <c r="AA5" i="14"/>
  <c r="AB5" i="14"/>
  <c r="AC5" i="14"/>
  <c r="AD5" i="14"/>
  <c r="AE5" i="14"/>
  <c r="T5" i="14"/>
  <c r="V4" i="14"/>
  <c r="W4" i="14"/>
  <c r="X4" i="14"/>
  <c r="Y4" i="14"/>
  <c r="Z4" i="14"/>
  <c r="AA4" i="14"/>
  <c r="AB4" i="14"/>
  <c r="AC4" i="14"/>
  <c r="AD4" i="14"/>
  <c r="AE4" i="14"/>
  <c r="U4" i="14"/>
  <c r="T4" i="14"/>
  <c r="AF9" i="14" l="1"/>
  <c r="AF35" i="14"/>
  <c r="AF37" i="14"/>
  <c r="AF10" i="14"/>
  <c r="AF5" i="14"/>
  <c r="AF7" i="14"/>
  <c r="AF8" i="14"/>
  <c r="AF6" i="14"/>
  <c r="AF11" i="14"/>
  <c r="AF13" i="14"/>
  <c r="AF14" i="14"/>
  <c r="AF16" i="14"/>
  <c r="AF17" i="14"/>
  <c r="AF21" i="14"/>
  <c r="B17" i="6" s="1"/>
  <c r="AF18" i="14"/>
  <c r="B16" i="6" s="1"/>
  <c r="AF242" i="14"/>
  <c r="B28" i="6" s="1"/>
  <c r="AF198" i="14"/>
  <c r="AF221" i="14"/>
  <c r="B26" i="6" s="1"/>
  <c r="AF143" i="14"/>
  <c r="AF89" i="14"/>
  <c r="AF206" i="14"/>
  <c r="AF228" i="14"/>
  <c r="B27" i="6" s="1"/>
  <c r="AF119" i="14"/>
  <c r="AF165" i="14"/>
  <c r="AF189" i="14"/>
  <c r="AF149" i="14"/>
  <c r="AF57" i="14"/>
  <c r="AF104" i="14"/>
  <c r="AF3" i="14" l="1"/>
  <c r="B14" i="6" s="1"/>
  <c r="AF103" i="14"/>
  <c r="B20" i="6" s="1"/>
  <c r="AF34" i="14"/>
  <c r="B18" i="6" s="1"/>
  <c r="AF164" i="14"/>
  <c r="B22" i="6" s="1"/>
  <c r="AF197" i="14"/>
  <c r="B25" i="6" s="1"/>
  <c r="B23" i="6"/>
  <c r="B24" i="6"/>
  <c r="AF56" i="14"/>
  <c r="B19" i="6" s="1"/>
  <c r="AF12" i="14"/>
  <c r="B15" i="6" s="1"/>
  <c r="AF142" i="14"/>
  <c r="B21" i="6" s="1"/>
  <c r="G96" i="13"/>
  <c r="B29" i="6" l="1"/>
  <c r="AF62" i="13"/>
  <c r="AD62" i="13"/>
  <c r="AB62" i="13"/>
  <c r="Z62" i="13"/>
  <c r="T62" i="13"/>
  <c r="R62" i="13"/>
  <c r="P62" i="13"/>
  <c r="N62" i="13"/>
  <c r="L62" i="13"/>
  <c r="J62" i="13"/>
  <c r="J70" i="13"/>
  <c r="AF79" i="13"/>
  <c r="AG84" i="13"/>
  <c r="AG72" i="13"/>
  <c r="AG71" i="13"/>
  <c r="AG61" i="13"/>
  <c r="AG41" i="13"/>
  <c r="AG36" i="13"/>
  <c r="AG30" i="13"/>
  <c r="AG16" i="13"/>
  <c r="AG11" i="13"/>
  <c r="AF12" i="13"/>
  <c r="AD12" i="13"/>
  <c r="AB12" i="13"/>
  <c r="Z12" i="13"/>
  <c r="X12" i="13"/>
  <c r="V12" i="13"/>
  <c r="T12" i="13"/>
  <c r="R12" i="13"/>
  <c r="P12" i="13"/>
  <c r="N12" i="13"/>
  <c r="L12" i="13"/>
  <c r="I9" i="13"/>
  <c r="J9" i="13"/>
  <c r="AE9" i="13"/>
  <c r="AC9" i="13"/>
  <c r="AA9" i="13"/>
  <c r="Y9" i="13"/>
  <c r="W9" i="13"/>
  <c r="U9" i="13"/>
  <c r="S9" i="13"/>
  <c r="Q9" i="13"/>
  <c r="O9" i="13"/>
  <c r="M9" i="13"/>
  <c r="K9" i="13"/>
  <c r="AC62" i="13" l="1"/>
  <c r="AE62" i="13" s="1"/>
  <c r="AD64" i="13"/>
  <c r="AC63" i="13"/>
  <c r="AD63" i="13" s="1"/>
  <c r="AE64" i="13"/>
  <c r="AF64" i="13" s="1"/>
  <c r="AC64" i="13"/>
  <c r="AE67" i="13"/>
  <c r="AF67" i="13" s="1"/>
  <c r="AC67" i="13"/>
  <c r="AD67" i="13" s="1"/>
  <c r="AC68" i="13"/>
  <c r="AD68" i="13" s="1"/>
  <c r="AC69" i="13"/>
  <c r="AE69" i="13" s="1"/>
  <c r="AF69" i="13" s="1"/>
  <c r="AE70" i="13"/>
  <c r="AF70" i="13" s="1"/>
  <c r="AC70" i="13"/>
  <c r="AD70" i="13" s="1"/>
  <c r="AC79" i="13"/>
  <c r="AD79" i="13" s="1"/>
  <c r="AE82" i="13"/>
  <c r="AF82" i="13" s="1"/>
  <c r="AC82" i="13"/>
  <c r="AD82" i="13" s="1"/>
  <c r="AE83" i="13"/>
  <c r="AF83" i="13" s="1"/>
  <c r="AC83" i="13"/>
  <c r="AD83" i="13" s="1"/>
  <c r="AB63" i="13"/>
  <c r="Z63" i="13"/>
  <c r="AB64" i="13"/>
  <c r="Z64" i="13"/>
  <c r="AB83" i="13"/>
  <c r="Z83" i="13"/>
  <c r="X83" i="13"/>
  <c r="V83" i="13"/>
  <c r="T83" i="13"/>
  <c r="R83" i="13"/>
  <c r="P83" i="13"/>
  <c r="N83" i="13"/>
  <c r="J42" i="13"/>
  <c r="X64" i="13"/>
  <c r="V64" i="13"/>
  <c r="T64" i="13"/>
  <c r="R64" i="13"/>
  <c r="P64" i="13"/>
  <c r="N64" i="13"/>
  <c r="L64" i="13"/>
  <c r="J64" i="13"/>
  <c r="J83" i="13"/>
  <c r="AG83" i="13" s="1"/>
  <c r="L80" i="13"/>
  <c r="N80" i="13"/>
  <c r="P80" i="13"/>
  <c r="R80" i="13"/>
  <c r="T80" i="13"/>
  <c r="V80" i="13"/>
  <c r="X80" i="13"/>
  <c r="Z80" i="13"/>
  <c r="AB80" i="13"/>
  <c r="AD80" i="13"/>
  <c r="AF80" i="13"/>
  <c r="J31" i="13"/>
  <c r="AB79" i="13"/>
  <c r="Z79" i="13"/>
  <c r="X79" i="13"/>
  <c r="V79" i="13"/>
  <c r="T79" i="13"/>
  <c r="R79" i="13"/>
  <c r="P79" i="13"/>
  <c r="N79" i="13"/>
  <c r="L79" i="13"/>
  <c r="J79" i="13"/>
  <c r="AF76" i="13"/>
  <c r="AD76" i="13"/>
  <c r="AB76" i="13"/>
  <c r="Z76" i="13"/>
  <c r="X76" i="13"/>
  <c r="V76" i="13"/>
  <c r="T76" i="13"/>
  <c r="R76" i="13"/>
  <c r="P76" i="13"/>
  <c r="N76" i="13"/>
  <c r="L76" i="13"/>
  <c r="J76" i="13"/>
  <c r="AF73" i="13"/>
  <c r="AD73" i="13"/>
  <c r="AB73" i="13"/>
  <c r="Z73" i="13"/>
  <c r="X73" i="13"/>
  <c r="V73" i="13"/>
  <c r="T73" i="13"/>
  <c r="R73" i="13"/>
  <c r="P73" i="13"/>
  <c r="N73" i="13"/>
  <c r="L73" i="13"/>
  <c r="J73" i="13"/>
  <c r="AB70" i="13"/>
  <c r="Z70" i="13"/>
  <c r="X70" i="13"/>
  <c r="V70" i="13"/>
  <c r="T70" i="13"/>
  <c r="R70" i="13"/>
  <c r="P70" i="13"/>
  <c r="N70" i="13"/>
  <c r="L70" i="13"/>
  <c r="AF39" i="13"/>
  <c r="AD39" i="13"/>
  <c r="AB39" i="13"/>
  <c r="Z39" i="13"/>
  <c r="X39" i="13"/>
  <c r="V39" i="13"/>
  <c r="T39" i="13"/>
  <c r="R39" i="13"/>
  <c r="P39" i="13"/>
  <c r="N39" i="13"/>
  <c r="L39" i="13"/>
  <c r="J39" i="13"/>
  <c r="AF37" i="13"/>
  <c r="AD37" i="13"/>
  <c r="AB37" i="13"/>
  <c r="Z37" i="13"/>
  <c r="X37" i="13"/>
  <c r="V37" i="13"/>
  <c r="T37" i="13"/>
  <c r="R37" i="13"/>
  <c r="P37" i="13"/>
  <c r="N37" i="13"/>
  <c r="L37" i="13"/>
  <c r="J37" i="13"/>
  <c r="AF32" i="13"/>
  <c r="AD32" i="13"/>
  <c r="AB32" i="13"/>
  <c r="Z32" i="13"/>
  <c r="X32" i="13"/>
  <c r="V32" i="13"/>
  <c r="T32" i="13"/>
  <c r="R32" i="13"/>
  <c r="P32" i="13"/>
  <c r="N32" i="13"/>
  <c r="L32" i="13"/>
  <c r="J32" i="13"/>
  <c r="AF31" i="13"/>
  <c r="AD31" i="13"/>
  <c r="AB31" i="13"/>
  <c r="Z31" i="13"/>
  <c r="X31" i="13"/>
  <c r="V31" i="13"/>
  <c r="T31" i="13"/>
  <c r="R31" i="13"/>
  <c r="P31" i="13"/>
  <c r="N31" i="13"/>
  <c r="L31" i="13"/>
  <c r="J80" i="13"/>
  <c r="E45" i="9"/>
  <c r="J81" i="13"/>
  <c r="J82" i="13"/>
  <c r="AF84" i="13"/>
  <c r="AD84" i="13"/>
  <c r="AB84" i="13"/>
  <c r="Z84" i="13"/>
  <c r="X84" i="13"/>
  <c r="V84" i="13"/>
  <c r="T84" i="13"/>
  <c r="R84" i="13"/>
  <c r="P84" i="13"/>
  <c r="N84" i="13"/>
  <c r="L84" i="13"/>
  <c r="J84" i="13"/>
  <c r="AB82" i="13"/>
  <c r="Z82" i="13"/>
  <c r="X82" i="13"/>
  <c r="V82" i="13"/>
  <c r="T82" i="13"/>
  <c r="R82" i="13"/>
  <c r="P82" i="13"/>
  <c r="N82" i="13"/>
  <c r="L82" i="13"/>
  <c r="AF81" i="13"/>
  <c r="AD81" i="13"/>
  <c r="AB81" i="13"/>
  <c r="Z81" i="13"/>
  <c r="X81" i="13"/>
  <c r="V81" i="13"/>
  <c r="T81" i="13"/>
  <c r="R81" i="13"/>
  <c r="P81" i="13"/>
  <c r="N81" i="13"/>
  <c r="L81" i="13"/>
  <c r="AD69" i="13"/>
  <c r="AB69" i="13"/>
  <c r="Z69" i="13"/>
  <c r="X69" i="13"/>
  <c r="V69" i="13"/>
  <c r="T69" i="13"/>
  <c r="R69" i="13"/>
  <c r="P69" i="13"/>
  <c r="N69" i="13"/>
  <c r="L69" i="13"/>
  <c r="J69" i="13"/>
  <c r="AB68" i="13"/>
  <c r="Z68" i="13"/>
  <c r="X68" i="13"/>
  <c r="V68" i="13"/>
  <c r="T68" i="13"/>
  <c r="R68" i="13"/>
  <c r="P68" i="13"/>
  <c r="N68" i="13"/>
  <c r="L68" i="13"/>
  <c r="J68" i="13"/>
  <c r="AB67" i="13"/>
  <c r="Z67" i="13"/>
  <c r="X67" i="13"/>
  <c r="V67" i="13"/>
  <c r="T67" i="13"/>
  <c r="R67" i="13"/>
  <c r="P67" i="13"/>
  <c r="N67" i="13"/>
  <c r="L67" i="13"/>
  <c r="J67" i="13"/>
  <c r="AF66" i="13"/>
  <c r="AD66" i="13"/>
  <c r="AB66" i="13"/>
  <c r="Z66" i="13"/>
  <c r="X66" i="13"/>
  <c r="V66" i="13"/>
  <c r="T66" i="13"/>
  <c r="R66" i="13"/>
  <c r="P66" i="13"/>
  <c r="N66" i="13"/>
  <c r="L66" i="13"/>
  <c r="J66" i="13"/>
  <c r="AG66" i="13" s="1"/>
  <c r="AF65" i="13"/>
  <c r="AD65" i="13"/>
  <c r="AB65" i="13"/>
  <c r="Z65" i="13"/>
  <c r="X65" i="13"/>
  <c r="V65" i="13"/>
  <c r="T65" i="13"/>
  <c r="R65" i="13"/>
  <c r="P65" i="13"/>
  <c r="N65" i="13"/>
  <c r="L65" i="13"/>
  <c r="J65" i="13"/>
  <c r="X63" i="13"/>
  <c r="V63" i="13"/>
  <c r="T63" i="13"/>
  <c r="R63" i="13"/>
  <c r="P63" i="13"/>
  <c r="N63" i="13"/>
  <c r="L63" i="13"/>
  <c r="J63" i="13"/>
  <c r="X62" i="13"/>
  <c r="V62" i="13"/>
  <c r="AF61" i="13"/>
  <c r="AD61" i="13"/>
  <c r="AB61" i="13"/>
  <c r="Z61" i="13"/>
  <c r="X61" i="13"/>
  <c r="V61" i="13"/>
  <c r="T61" i="13"/>
  <c r="R61" i="13"/>
  <c r="P61" i="13"/>
  <c r="N61" i="13"/>
  <c r="L61" i="13"/>
  <c r="J61" i="13"/>
  <c r="AF60" i="13"/>
  <c r="AD60" i="13"/>
  <c r="AB60" i="13"/>
  <c r="Z60" i="13"/>
  <c r="X60" i="13"/>
  <c r="V60" i="13"/>
  <c r="T60" i="13"/>
  <c r="R60" i="13"/>
  <c r="P60" i="13"/>
  <c r="N60" i="13"/>
  <c r="L60" i="13"/>
  <c r="J60" i="13"/>
  <c r="AF58" i="13"/>
  <c r="AD58" i="13"/>
  <c r="AB58" i="13"/>
  <c r="Z58" i="13"/>
  <c r="X58" i="13"/>
  <c r="V58" i="13"/>
  <c r="T58" i="13"/>
  <c r="R58" i="13"/>
  <c r="P58" i="13"/>
  <c r="N58" i="13"/>
  <c r="L58" i="13"/>
  <c r="J58" i="13"/>
  <c r="AF56" i="13"/>
  <c r="AD56" i="13"/>
  <c r="AB56" i="13"/>
  <c r="Z56" i="13"/>
  <c r="X56" i="13"/>
  <c r="V56" i="13"/>
  <c r="T56" i="13"/>
  <c r="R56" i="13"/>
  <c r="P56" i="13"/>
  <c r="N56" i="13"/>
  <c r="L56" i="13"/>
  <c r="J56" i="13"/>
  <c r="AF54" i="13"/>
  <c r="AD54" i="13"/>
  <c r="AB54" i="13"/>
  <c r="Z54" i="13"/>
  <c r="X54" i="13"/>
  <c r="V54" i="13"/>
  <c r="T54" i="13"/>
  <c r="R54" i="13"/>
  <c r="P54" i="13"/>
  <c r="N54" i="13"/>
  <c r="L54" i="13"/>
  <c r="J54" i="13"/>
  <c r="AF52" i="13"/>
  <c r="AD52" i="13"/>
  <c r="AB52" i="13"/>
  <c r="Z52" i="13"/>
  <c r="X52" i="13"/>
  <c r="V52" i="13"/>
  <c r="T52" i="13"/>
  <c r="R52" i="13"/>
  <c r="P52" i="13"/>
  <c r="N52" i="13"/>
  <c r="L52" i="13"/>
  <c r="J52" i="13"/>
  <c r="AF51" i="13"/>
  <c r="AD51" i="13"/>
  <c r="AB51" i="13"/>
  <c r="Z51" i="13"/>
  <c r="X51" i="13"/>
  <c r="V51" i="13"/>
  <c r="T51" i="13"/>
  <c r="R51" i="13"/>
  <c r="P51" i="13"/>
  <c r="N51" i="13"/>
  <c r="L51" i="13"/>
  <c r="J51" i="13"/>
  <c r="AF50" i="13"/>
  <c r="AD50" i="13"/>
  <c r="AB50" i="13"/>
  <c r="Z50" i="13"/>
  <c r="X50" i="13"/>
  <c r="V50" i="13"/>
  <c r="T50" i="13"/>
  <c r="R50" i="13"/>
  <c r="P50" i="13"/>
  <c r="N50" i="13"/>
  <c r="L50" i="13"/>
  <c r="J50" i="13"/>
  <c r="AF49" i="13"/>
  <c r="AD49" i="13"/>
  <c r="AB49" i="13"/>
  <c r="Z49" i="13"/>
  <c r="X49" i="13"/>
  <c r="V49" i="13"/>
  <c r="T49" i="13"/>
  <c r="R49" i="13"/>
  <c r="P49" i="13"/>
  <c r="N49" i="13"/>
  <c r="L49" i="13"/>
  <c r="J49" i="13"/>
  <c r="AF48" i="13"/>
  <c r="AD48" i="13"/>
  <c r="AB48" i="13"/>
  <c r="Z48" i="13"/>
  <c r="X48" i="13"/>
  <c r="V48" i="13"/>
  <c r="T48" i="13"/>
  <c r="R48" i="13"/>
  <c r="P48" i="13"/>
  <c r="N48" i="13"/>
  <c r="L48" i="13"/>
  <c r="J48" i="13"/>
  <c r="AF47" i="13"/>
  <c r="AD47" i="13"/>
  <c r="AB47" i="13"/>
  <c r="Z47" i="13"/>
  <c r="X47" i="13"/>
  <c r="V47" i="13"/>
  <c r="T47" i="13"/>
  <c r="R47" i="13"/>
  <c r="P47" i="13"/>
  <c r="N47" i="13"/>
  <c r="L47" i="13"/>
  <c r="J47" i="13"/>
  <c r="AF46" i="13"/>
  <c r="AD46" i="13"/>
  <c r="AB46" i="13"/>
  <c r="Z46" i="13"/>
  <c r="X46" i="13"/>
  <c r="V46" i="13"/>
  <c r="T46" i="13"/>
  <c r="R46" i="13"/>
  <c r="P46" i="13"/>
  <c r="N46" i="13"/>
  <c r="L46" i="13"/>
  <c r="J46" i="13"/>
  <c r="AF45" i="13"/>
  <c r="AD45" i="13"/>
  <c r="AB45" i="13"/>
  <c r="Z45" i="13"/>
  <c r="X45" i="13"/>
  <c r="V45" i="13"/>
  <c r="T45" i="13"/>
  <c r="R45" i="13"/>
  <c r="P45" i="13"/>
  <c r="N45" i="13"/>
  <c r="L45" i="13"/>
  <c r="J45" i="13"/>
  <c r="AF44" i="13"/>
  <c r="AD44" i="13"/>
  <c r="AB44" i="13"/>
  <c r="Z44" i="13"/>
  <c r="X44" i="13"/>
  <c r="V44" i="13"/>
  <c r="T44" i="13"/>
  <c r="R44" i="13"/>
  <c r="P44" i="13"/>
  <c r="N44" i="13"/>
  <c r="L44" i="13"/>
  <c r="J44" i="13"/>
  <c r="AF43" i="13"/>
  <c r="AD43" i="13"/>
  <c r="AB43" i="13"/>
  <c r="Z43" i="13"/>
  <c r="X43" i="13"/>
  <c r="V43" i="13"/>
  <c r="T43" i="13"/>
  <c r="R43" i="13"/>
  <c r="P43" i="13"/>
  <c r="N43" i="13"/>
  <c r="L43" i="13"/>
  <c r="J43" i="13"/>
  <c r="AF42" i="13"/>
  <c r="AD42" i="13"/>
  <c r="AB42" i="13"/>
  <c r="Z42" i="13"/>
  <c r="X42" i="13"/>
  <c r="V42" i="13"/>
  <c r="T42" i="13"/>
  <c r="R42" i="13"/>
  <c r="P42" i="13"/>
  <c r="N42" i="13"/>
  <c r="L42" i="13"/>
  <c r="AF41" i="13"/>
  <c r="AD41" i="13"/>
  <c r="AB41" i="13"/>
  <c r="Z41" i="13"/>
  <c r="X41" i="13"/>
  <c r="V41" i="13"/>
  <c r="T41" i="13"/>
  <c r="R41" i="13"/>
  <c r="P41" i="13"/>
  <c r="N41" i="13"/>
  <c r="L41" i="13"/>
  <c r="J41" i="13"/>
  <c r="AF40" i="13"/>
  <c r="AD40" i="13"/>
  <c r="AB40" i="13"/>
  <c r="Z40" i="13"/>
  <c r="X40" i="13"/>
  <c r="V40" i="13"/>
  <c r="T40" i="13"/>
  <c r="R40" i="13"/>
  <c r="P40" i="13"/>
  <c r="N40" i="13"/>
  <c r="L40" i="13"/>
  <c r="J40" i="13"/>
  <c r="AF38" i="13"/>
  <c r="AD38" i="13"/>
  <c r="AB38" i="13"/>
  <c r="Z38" i="13"/>
  <c r="X38" i="13"/>
  <c r="V38" i="13"/>
  <c r="T38" i="13"/>
  <c r="R38" i="13"/>
  <c r="P38" i="13"/>
  <c r="N38" i="13"/>
  <c r="L38" i="13"/>
  <c r="J38" i="13"/>
  <c r="AF36" i="13"/>
  <c r="AD36" i="13"/>
  <c r="AB36" i="13"/>
  <c r="Z36" i="13"/>
  <c r="X36" i="13"/>
  <c r="V36" i="13"/>
  <c r="T36" i="13"/>
  <c r="R36" i="13"/>
  <c r="P36" i="13"/>
  <c r="N36" i="13"/>
  <c r="L36" i="13"/>
  <c r="J36" i="13"/>
  <c r="AF35" i="13"/>
  <c r="AD35" i="13"/>
  <c r="AB35" i="13"/>
  <c r="Z35" i="13"/>
  <c r="X35" i="13"/>
  <c r="V35" i="13"/>
  <c r="T35" i="13"/>
  <c r="R35" i="13"/>
  <c r="P35" i="13"/>
  <c r="N35" i="13"/>
  <c r="L35" i="13"/>
  <c r="J35" i="13"/>
  <c r="AF34" i="13"/>
  <c r="AD34" i="13"/>
  <c r="AB34" i="13"/>
  <c r="Z34" i="13"/>
  <c r="X34" i="13"/>
  <c r="V34" i="13"/>
  <c r="T34" i="13"/>
  <c r="R34" i="13"/>
  <c r="P34" i="13"/>
  <c r="N34" i="13"/>
  <c r="L34" i="13"/>
  <c r="J34" i="13"/>
  <c r="AF33" i="13"/>
  <c r="AD33" i="13"/>
  <c r="AB33" i="13"/>
  <c r="Z33" i="13"/>
  <c r="X33" i="13"/>
  <c r="V33" i="13"/>
  <c r="T33" i="13"/>
  <c r="R33" i="13"/>
  <c r="P33" i="13"/>
  <c r="N33" i="13"/>
  <c r="L33" i="13"/>
  <c r="J33" i="13"/>
  <c r="AF30" i="13"/>
  <c r="AD30" i="13"/>
  <c r="AB30" i="13"/>
  <c r="Z30" i="13"/>
  <c r="X30" i="13"/>
  <c r="V30" i="13"/>
  <c r="T30" i="13"/>
  <c r="R30" i="13"/>
  <c r="P30" i="13"/>
  <c r="N30" i="13"/>
  <c r="L30" i="13"/>
  <c r="J30" i="13"/>
  <c r="AF16" i="13"/>
  <c r="AD16" i="13"/>
  <c r="AB16" i="13"/>
  <c r="Z16" i="13"/>
  <c r="X16" i="13"/>
  <c r="V16" i="13"/>
  <c r="T16" i="13"/>
  <c r="R16" i="13"/>
  <c r="P16" i="13"/>
  <c r="N16" i="13"/>
  <c r="L16" i="13"/>
  <c r="J16" i="13"/>
  <c r="AF15" i="13"/>
  <c r="AD15" i="13"/>
  <c r="AB15" i="13"/>
  <c r="Z15" i="13"/>
  <c r="X15" i="13"/>
  <c r="V15" i="13"/>
  <c r="T15" i="13"/>
  <c r="R15" i="13"/>
  <c r="P15" i="13"/>
  <c r="N15" i="13"/>
  <c r="L15" i="13"/>
  <c r="J15" i="13"/>
  <c r="AF14" i="13"/>
  <c r="AD14" i="13"/>
  <c r="AB14" i="13"/>
  <c r="Z14" i="13"/>
  <c r="X14" i="13"/>
  <c r="V14" i="13"/>
  <c r="T14" i="13"/>
  <c r="R14" i="13"/>
  <c r="P14" i="13"/>
  <c r="N14" i="13"/>
  <c r="L14" i="13"/>
  <c r="J14" i="13"/>
  <c r="AF13" i="13"/>
  <c r="AD13" i="13"/>
  <c r="AB13" i="13"/>
  <c r="Z13" i="13"/>
  <c r="X13" i="13"/>
  <c r="V13" i="13"/>
  <c r="T13" i="13"/>
  <c r="R13" i="13"/>
  <c r="P13" i="13"/>
  <c r="N13" i="13"/>
  <c r="L13" i="13"/>
  <c r="J13" i="13"/>
  <c r="J12" i="13"/>
  <c r="AG12" i="13" s="1"/>
  <c r="AF11" i="13"/>
  <c r="AD11" i="13"/>
  <c r="AB11" i="13"/>
  <c r="Z11" i="13"/>
  <c r="X11" i="13"/>
  <c r="V11" i="13"/>
  <c r="T11" i="13"/>
  <c r="R11" i="13"/>
  <c r="P11" i="13"/>
  <c r="N11" i="13"/>
  <c r="L11" i="13"/>
  <c r="J11" i="13"/>
  <c r="AF10" i="13"/>
  <c r="AD10" i="13"/>
  <c r="AB10" i="13"/>
  <c r="Z10" i="13"/>
  <c r="X10" i="13"/>
  <c r="V10" i="13"/>
  <c r="T10" i="13"/>
  <c r="R10" i="13"/>
  <c r="P10" i="13"/>
  <c r="N10" i="13"/>
  <c r="L10" i="13"/>
  <c r="J10" i="13"/>
  <c r="AF9" i="13"/>
  <c r="AD9" i="13"/>
  <c r="AB9" i="13"/>
  <c r="Z9" i="13"/>
  <c r="X9" i="13"/>
  <c r="V9" i="13"/>
  <c r="T9" i="13"/>
  <c r="R9" i="13"/>
  <c r="P9" i="13"/>
  <c r="N9" i="13"/>
  <c r="L9" i="13"/>
  <c r="AF8" i="13"/>
  <c r="AD8" i="13"/>
  <c r="AB8" i="13"/>
  <c r="Z8" i="13"/>
  <c r="X8" i="13"/>
  <c r="V8" i="13"/>
  <c r="T8" i="13"/>
  <c r="R8" i="13"/>
  <c r="P8" i="13"/>
  <c r="N8" i="13"/>
  <c r="L8" i="13"/>
  <c r="J8" i="13"/>
  <c r="AF7" i="13"/>
  <c r="AD7" i="13"/>
  <c r="AB7" i="13"/>
  <c r="Z7" i="13"/>
  <c r="X7" i="13"/>
  <c r="V7" i="13"/>
  <c r="T7" i="13"/>
  <c r="R7" i="13"/>
  <c r="P7" i="13"/>
  <c r="N7" i="13"/>
  <c r="L7" i="13"/>
  <c r="J7" i="13"/>
  <c r="AF6" i="13"/>
  <c r="AD6" i="13"/>
  <c r="AB6" i="13"/>
  <c r="Z6" i="13"/>
  <c r="X6" i="13"/>
  <c r="V6" i="13"/>
  <c r="T6" i="13"/>
  <c r="R6" i="13"/>
  <c r="P6" i="13"/>
  <c r="N6" i="13"/>
  <c r="L6" i="13"/>
  <c r="J6" i="13"/>
  <c r="AF5" i="13"/>
  <c r="AD5" i="13"/>
  <c r="AB5" i="13"/>
  <c r="Z5" i="13"/>
  <c r="X5" i="13"/>
  <c r="V5" i="13"/>
  <c r="T5" i="13"/>
  <c r="R5" i="13"/>
  <c r="P5" i="13"/>
  <c r="N5" i="13"/>
  <c r="L5" i="13"/>
  <c r="J5" i="13"/>
  <c r="AF4" i="13"/>
  <c r="AD4" i="13"/>
  <c r="AB4" i="13"/>
  <c r="Z4" i="13"/>
  <c r="X4" i="13"/>
  <c r="V4" i="13"/>
  <c r="T4" i="13"/>
  <c r="R4" i="13"/>
  <c r="P4" i="13"/>
  <c r="N4" i="13"/>
  <c r="L4" i="13"/>
  <c r="J4" i="13"/>
  <c r="I2" i="13"/>
  <c r="K2" i="13" s="1"/>
  <c r="M2" i="13" s="1"/>
  <c r="O2" i="13" s="1"/>
  <c r="Q2" i="13" s="1"/>
  <c r="S2" i="13" s="1"/>
  <c r="U2" i="13" s="1"/>
  <c r="W2" i="13" s="1"/>
  <c r="Y2" i="13" s="1"/>
  <c r="AA2" i="13" s="1"/>
  <c r="AC2" i="13" s="1"/>
  <c r="AE2" i="13" s="1"/>
  <c r="J31" i="11"/>
  <c r="AG5" i="13" l="1"/>
  <c r="AG37" i="13"/>
  <c r="AG45" i="13"/>
  <c r="AG58" i="13"/>
  <c r="AG50" i="13"/>
  <c r="AG79" i="13"/>
  <c r="AG33" i="13"/>
  <c r="AG7" i="13"/>
  <c r="AG13" i="13"/>
  <c r="AG52" i="13"/>
  <c r="AG70" i="13"/>
  <c r="AG4" i="13"/>
  <c r="AG9" i="13"/>
  <c r="AG15" i="13"/>
  <c r="AG35" i="13"/>
  <c r="AG76" i="13"/>
  <c r="AG64" i="13"/>
  <c r="AG40" i="13"/>
  <c r="AG65" i="13"/>
  <c r="AG31" i="13"/>
  <c r="AG47" i="13"/>
  <c r="AG44" i="13"/>
  <c r="AG49" i="13"/>
  <c r="AG56" i="13"/>
  <c r="AG32" i="13"/>
  <c r="AG42" i="13"/>
  <c r="AG38" i="13"/>
  <c r="AG6" i="13"/>
  <c r="AG67" i="13"/>
  <c r="AG69" i="13"/>
  <c r="AG46" i="13"/>
  <c r="AG51" i="13"/>
  <c r="AG60" i="13"/>
  <c r="AG39" i="13"/>
  <c r="AG34" i="13"/>
  <c r="AG82" i="13"/>
  <c r="AG73" i="13"/>
  <c r="AG8" i="13"/>
  <c r="AG14" i="13"/>
  <c r="AG10" i="13"/>
  <c r="AG43" i="13"/>
  <c r="AG48" i="13"/>
  <c r="AG54" i="13"/>
  <c r="AG62" i="13"/>
  <c r="AE79" i="13"/>
  <c r="AE63" i="13"/>
  <c r="AF63" i="13" s="1"/>
  <c r="AG63" i="13" s="1"/>
  <c r="AE68" i="13"/>
  <c r="AF68" i="13" s="1"/>
  <c r="AG68" i="13" s="1"/>
  <c r="J40" i="11"/>
  <c r="J45" i="11"/>
  <c r="L44" i="11"/>
  <c r="J44" i="11"/>
  <c r="J43" i="11"/>
  <c r="L42" i="11"/>
  <c r="N42" i="11"/>
  <c r="P42" i="11"/>
  <c r="R42" i="11"/>
  <c r="T42" i="11"/>
  <c r="V42" i="11"/>
  <c r="X42" i="11"/>
  <c r="Z42" i="11"/>
  <c r="AB42" i="11"/>
  <c r="AD42" i="11"/>
  <c r="AF42" i="11"/>
  <c r="J42" i="11"/>
  <c r="J41" i="11"/>
  <c r="J39" i="11"/>
  <c r="J38" i="11"/>
  <c r="J36" i="11"/>
  <c r="J35" i="11"/>
  <c r="J34" i="11"/>
  <c r="J33" i="11"/>
  <c r="J32" i="11"/>
  <c r="AF39" i="11"/>
  <c r="AD39" i="11"/>
  <c r="AB39" i="11"/>
  <c r="Z39" i="11"/>
  <c r="AF38" i="11"/>
  <c r="AD38" i="11"/>
  <c r="AB38" i="11"/>
  <c r="Z38" i="11"/>
  <c r="X38" i="11"/>
  <c r="V38" i="11"/>
  <c r="T38" i="11"/>
  <c r="R38" i="11"/>
  <c r="P38" i="11"/>
  <c r="N38" i="11"/>
  <c r="L38" i="11"/>
  <c r="X39" i="11"/>
  <c r="V39" i="11"/>
  <c r="T39" i="11"/>
  <c r="R39" i="11"/>
  <c r="P39" i="11"/>
  <c r="N39" i="11"/>
  <c r="L39" i="11"/>
  <c r="AF81" i="11"/>
  <c r="AD81" i="11"/>
  <c r="AB81" i="11"/>
  <c r="Z81" i="11"/>
  <c r="X81" i="11"/>
  <c r="V81" i="11"/>
  <c r="T81" i="11"/>
  <c r="R81" i="11"/>
  <c r="P81" i="11"/>
  <c r="N81" i="11"/>
  <c r="L81" i="11"/>
  <c r="J81" i="11"/>
  <c r="J37" i="11" l="1"/>
  <c r="AF78" i="11"/>
  <c r="AD78" i="11"/>
  <c r="AB78" i="11"/>
  <c r="Z78" i="11"/>
  <c r="X78" i="11"/>
  <c r="V78" i="11"/>
  <c r="T78" i="11"/>
  <c r="R78" i="11"/>
  <c r="P78" i="11"/>
  <c r="N78" i="11"/>
  <c r="L78" i="11"/>
  <c r="J78" i="11"/>
  <c r="AF75" i="11"/>
  <c r="AD75" i="11"/>
  <c r="AB75" i="11"/>
  <c r="Z75" i="11"/>
  <c r="X75" i="11"/>
  <c r="V75" i="11"/>
  <c r="T75" i="11"/>
  <c r="R75" i="11"/>
  <c r="P75" i="11"/>
  <c r="N75" i="11"/>
  <c r="L75" i="11"/>
  <c r="J75" i="11"/>
  <c r="AF72" i="11"/>
  <c r="AD72" i="11"/>
  <c r="AB72" i="11"/>
  <c r="Z72" i="11"/>
  <c r="X72" i="11"/>
  <c r="V72" i="11"/>
  <c r="T72" i="11"/>
  <c r="R72" i="11"/>
  <c r="P72" i="11"/>
  <c r="N72" i="11"/>
  <c r="L72" i="11"/>
  <c r="J72" i="11"/>
  <c r="J56" i="11"/>
  <c r="AB37" i="11"/>
  <c r="AD37" i="11"/>
  <c r="AF37" i="11"/>
  <c r="Z37" i="11"/>
  <c r="X37" i="11"/>
  <c r="V37" i="11"/>
  <c r="T37" i="11"/>
  <c r="R37" i="11"/>
  <c r="P37" i="11"/>
  <c r="N37" i="11"/>
  <c r="L37" i="11"/>
  <c r="L35" i="11"/>
  <c r="N35" i="11"/>
  <c r="P35" i="11"/>
  <c r="R35" i="11"/>
  <c r="T35" i="11"/>
  <c r="V35" i="11"/>
  <c r="N34" i="11"/>
  <c r="L34" i="11"/>
  <c r="X33" i="11"/>
  <c r="Z33" i="11"/>
  <c r="AB33" i="11"/>
  <c r="AD33" i="11"/>
  <c r="AF33" i="11"/>
  <c r="L33" i="11"/>
  <c r="N33" i="11"/>
  <c r="AF32" i="11"/>
  <c r="AD32" i="11"/>
  <c r="AB32" i="11"/>
  <c r="Z32" i="11"/>
  <c r="X32" i="11"/>
  <c r="V32" i="11"/>
  <c r="T32" i="11"/>
  <c r="R32" i="11"/>
  <c r="P32" i="11"/>
  <c r="N32" i="11"/>
  <c r="L32" i="11"/>
  <c r="AB31" i="11"/>
  <c r="AD31" i="11"/>
  <c r="AF31" i="11"/>
  <c r="Z31" i="11"/>
  <c r="X31" i="11"/>
  <c r="V31" i="11"/>
  <c r="T31" i="11"/>
  <c r="R31" i="11"/>
  <c r="P31" i="11"/>
  <c r="N31" i="11"/>
  <c r="L31" i="11"/>
  <c r="J13" i="11"/>
  <c r="J12" i="11"/>
  <c r="J7" i="11"/>
  <c r="J83" i="11"/>
  <c r="AF83" i="11"/>
  <c r="AD83" i="11"/>
  <c r="AB83" i="11"/>
  <c r="Z83" i="11"/>
  <c r="X83" i="11"/>
  <c r="V83" i="11"/>
  <c r="T83" i="11"/>
  <c r="R83" i="11"/>
  <c r="P83" i="11"/>
  <c r="N83" i="11"/>
  <c r="L83" i="11"/>
  <c r="AB71" i="11"/>
  <c r="AD71" i="11"/>
  <c r="AF71" i="11"/>
  <c r="Z71" i="11"/>
  <c r="X71" i="11"/>
  <c r="V71" i="11"/>
  <c r="T71" i="11"/>
  <c r="R71" i="11"/>
  <c r="P71" i="11"/>
  <c r="N71" i="11"/>
  <c r="L71" i="11"/>
  <c r="J71" i="11"/>
  <c r="L70" i="11"/>
  <c r="N70" i="11"/>
  <c r="P70" i="11"/>
  <c r="R70" i="11"/>
  <c r="T70" i="11"/>
  <c r="V70" i="11"/>
  <c r="X70" i="11"/>
  <c r="Z70" i="11"/>
  <c r="AB70" i="11"/>
  <c r="AD70" i="11"/>
  <c r="AF70" i="11"/>
  <c r="J70" i="11"/>
  <c r="AB69" i="11"/>
  <c r="AD69" i="11"/>
  <c r="AF69" i="11"/>
  <c r="Z69" i="11"/>
  <c r="X69" i="11"/>
  <c r="V69" i="11"/>
  <c r="T69" i="11"/>
  <c r="L69" i="11"/>
  <c r="N69" i="11"/>
  <c r="P69" i="11"/>
  <c r="R69" i="11"/>
  <c r="J69" i="11"/>
  <c r="L68" i="11"/>
  <c r="N68" i="11"/>
  <c r="P68" i="11"/>
  <c r="R68" i="11"/>
  <c r="T68" i="11"/>
  <c r="V68" i="11"/>
  <c r="X68" i="11"/>
  <c r="Z68" i="11"/>
  <c r="AB68" i="11"/>
  <c r="AD68" i="11"/>
  <c r="AF68" i="11"/>
  <c r="J68" i="11"/>
  <c r="L67" i="11"/>
  <c r="N67" i="11"/>
  <c r="P67" i="11"/>
  <c r="R67" i="11"/>
  <c r="T67" i="11"/>
  <c r="V67" i="11"/>
  <c r="X67" i="11"/>
  <c r="Z67" i="11"/>
  <c r="AB67" i="11"/>
  <c r="AD67" i="11"/>
  <c r="AF67" i="11"/>
  <c r="J67" i="11"/>
  <c r="Z66" i="11"/>
  <c r="AB66" i="11"/>
  <c r="AD66" i="11"/>
  <c r="AF66" i="11"/>
  <c r="X66" i="11"/>
  <c r="V66" i="11"/>
  <c r="L66" i="11"/>
  <c r="N66" i="11"/>
  <c r="P66" i="11"/>
  <c r="R66" i="11"/>
  <c r="T66" i="11"/>
  <c r="J66" i="11"/>
  <c r="AB65" i="11"/>
  <c r="AD65" i="11"/>
  <c r="AF65" i="11"/>
  <c r="Z65" i="11"/>
  <c r="X65" i="11"/>
  <c r="V65" i="11"/>
  <c r="T65" i="11"/>
  <c r="R65" i="11"/>
  <c r="P65" i="11"/>
  <c r="N65" i="11"/>
  <c r="L65" i="11"/>
  <c r="J65" i="11"/>
  <c r="AB64" i="11"/>
  <c r="AD64" i="11"/>
  <c r="AF64" i="11"/>
  <c r="Z64" i="11"/>
  <c r="X64" i="11"/>
  <c r="V64" i="11"/>
  <c r="T64" i="11"/>
  <c r="R64" i="11"/>
  <c r="P64" i="11"/>
  <c r="N64" i="11"/>
  <c r="L64" i="11"/>
  <c r="J64" i="11"/>
  <c r="AB63" i="11"/>
  <c r="AD63" i="11"/>
  <c r="AF63" i="11"/>
  <c r="X63" i="11"/>
  <c r="V63" i="11"/>
  <c r="T63" i="11"/>
  <c r="R63" i="11"/>
  <c r="P63" i="11"/>
  <c r="N63" i="11"/>
  <c r="L63" i="11"/>
  <c r="J63" i="11"/>
  <c r="Z62" i="11"/>
  <c r="AB62" i="11"/>
  <c r="AD62" i="11"/>
  <c r="AF62" i="11"/>
  <c r="X62" i="11"/>
  <c r="V62" i="11"/>
  <c r="T62" i="11"/>
  <c r="R62" i="11"/>
  <c r="P62" i="11"/>
  <c r="N62" i="11"/>
  <c r="L62" i="11"/>
  <c r="J62" i="11"/>
  <c r="L54" i="11"/>
  <c r="N54" i="11"/>
  <c r="P54" i="11"/>
  <c r="R54" i="11"/>
  <c r="T54" i="11"/>
  <c r="V54" i="11"/>
  <c r="X54" i="11"/>
  <c r="Z54" i="11"/>
  <c r="AB54" i="11"/>
  <c r="AD54" i="11"/>
  <c r="AF54" i="11"/>
  <c r="L56" i="11"/>
  <c r="N56" i="11"/>
  <c r="P56" i="11"/>
  <c r="R56" i="11"/>
  <c r="T56" i="11"/>
  <c r="V56" i="11"/>
  <c r="X56" i="11"/>
  <c r="Z56" i="11"/>
  <c r="AB56" i="11"/>
  <c r="AD56" i="11"/>
  <c r="AF56" i="11"/>
  <c r="L58" i="11"/>
  <c r="N58" i="11"/>
  <c r="P58" i="11"/>
  <c r="R58" i="11"/>
  <c r="T58" i="11"/>
  <c r="V58" i="11"/>
  <c r="X58" i="11"/>
  <c r="Z58" i="11"/>
  <c r="AB58" i="11"/>
  <c r="AD58" i="11"/>
  <c r="AF58" i="11"/>
  <c r="L60" i="11"/>
  <c r="N60" i="11"/>
  <c r="P60" i="11"/>
  <c r="R60" i="11"/>
  <c r="T60" i="11"/>
  <c r="V60" i="11"/>
  <c r="X60" i="11"/>
  <c r="Z60" i="11"/>
  <c r="AB60" i="11"/>
  <c r="AD60" i="11"/>
  <c r="AF60" i="11"/>
  <c r="J58" i="11"/>
  <c r="J60" i="11"/>
  <c r="J52" i="11"/>
  <c r="J54" i="11"/>
  <c r="L48" i="11"/>
  <c r="N48" i="11"/>
  <c r="P48" i="11"/>
  <c r="R48" i="11"/>
  <c r="T48" i="11"/>
  <c r="V48" i="11"/>
  <c r="X48" i="11"/>
  <c r="Z48" i="11"/>
  <c r="AB48" i="11"/>
  <c r="AD48" i="11"/>
  <c r="AF48" i="11"/>
  <c r="L49" i="11"/>
  <c r="N49" i="11"/>
  <c r="P49" i="11"/>
  <c r="R49" i="11"/>
  <c r="T49" i="11"/>
  <c r="V49" i="11"/>
  <c r="X49" i="11"/>
  <c r="Z49" i="11"/>
  <c r="AB49" i="11"/>
  <c r="AD49" i="11"/>
  <c r="AF49" i="11"/>
  <c r="L50" i="11"/>
  <c r="N50" i="11"/>
  <c r="P50" i="11"/>
  <c r="R50" i="11"/>
  <c r="T50" i="11"/>
  <c r="V50" i="11"/>
  <c r="X50" i="11"/>
  <c r="Z50" i="11"/>
  <c r="AB50" i="11"/>
  <c r="AD50" i="11"/>
  <c r="AF50" i="11"/>
  <c r="L51" i="11"/>
  <c r="N51" i="11"/>
  <c r="P51" i="11"/>
  <c r="R51" i="11"/>
  <c r="T51" i="11"/>
  <c r="V51" i="11"/>
  <c r="X51" i="11"/>
  <c r="Z51" i="11"/>
  <c r="AB51" i="11"/>
  <c r="AD51" i="11"/>
  <c r="AF51" i="11"/>
  <c r="L52" i="11"/>
  <c r="N52" i="11"/>
  <c r="P52" i="11"/>
  <c r="R52" i="11"/>
  <c r="T52" i="11"/>
  <c r="V52" i="11"/>
  <c r="X52" i="11"/>
  <c r="Z52" i="11"/>
  <c r="AB52" i="11"/>
  <c r="AD52" i="11"/>
  <c r="AF52" i="11"/>
  <c r="J48" i="11"/>
  <c r="J49" i="11"/>
  <c r="J50" i="11"/>
  <c r="J51" i="11"/>
  <c r="AF47" i="11"/>
  <c r="AF46" i="11"/>
  <c r="AF45" i="11"/>
  <c r="AF44" i="11"/>
  <c r="AF43" i="11"/>
  <c r="AD47" i="11"/>
  <c r="AD46" i="11"/>
  <c r="AD45" i="11"/>
  <c r="AD44" i="11"/>
  <c r="AD43" i="11"/>
  <c r="AB47" i="11"/>
  <c r="AB46" i="11"/>
  <c r="AB45" i="11"/>
  <c r="AB44" i="11"/>
  <c r="AB43" i="11"/>
  <c r="Z47" i="11"/>
  <c r="Z46" i="11"/>
  <c r="Z45" i="11"/>
  <c r="Z44" i="11"/>
  <c r="Z43" i="11"/>
  <c r="X47" i="11"/>
  <c r="X46" i="11"/>
  <c r="X45" i="11"/>
  <c r="X44" i="11"/>
  <c r="X43" i="11"/>
  <c r="V47" i="11"/>
  <c r="V46" i="11"/>
  <c r="V45" i="11"/>
  <c r="V44" i="11"/>
  <c r="V43" i="11"/>
  <c r="T47" i="11"/>
  <c r="T46" i="11"/>
  <c r="T45" i="11"/>
  <c r="T44" i="11"/>
  <c r="T43" i="11"/>
  <c r="R47" i="11"/>
  <c r="R46" i="11"/>
  <c r="R45" i="11"/>
  <c r="R44" i="11"/>
  <c r="R43" i="11"/>
  <c r="P47" i="11"/>
  <c r="P46" i="11"/>
  <c r="P45" i="11"/>
  <c r="P44" i="11"/>
  <c r="P43" i="11"/>
  <c r="N47" i="11"/>
  <c r="N46" i="11"/>
  <c r="N45" i="11"/>
  <c r="N44" i="11"/>
  <c r="N43" i="11"/>
  <c r="L47" i="11"/>
  <c r="L46" i="11"/>
  <c r="L45" i="11"/>
  <c r="L43" i="11"/>
  <c r="J46" i="11"/>
  <c r="J47" i="11"/>
  <c r="L40" i="11"/>
  <c r="N40" i="11"/>
  <c r="P40" i="11"/>
  <c r="R40" i="11"/>
  <c r="T40" i="11"/>
  <c r="V40" i="11"/>
  <c r="X40" i="11"/>
  <c r="Z40" i="11"/>
  <c r="AB40" i="11"/>
  <c r="AD40" i="11"/>
  <c r="AF40" i="11"/>
  <c r="R34" i="11"/>
  <c r="T34" i="11"/>
  <c r="V34" i="11"/>
  <c r="X34" i="11"/>
  <c r="Z34" i="11"/>
  <c r="AB34" i="11"/>
  <c r="AD34" i="11"/>
  <c r="AF34" i="11"/>
  <c r="X35" i="11"/>
  <c r="Z35" i="11"/>
  <c r="AB35" i="11"/>
  <c r="AD35" i="11"/>
  <c r="AF35" i="11"/>
  <c r="P34" i="11"/>
  <c r="V33" i="11"/>
  <c r="T33" i="11"/>
  <c r="R33" i="11"/>
  <c r="P33" i="11"/>
  <c r="P30" i="11"/>
  <c r="R30" i="11"/>
  <c r="L30" i="11"/>
  <c r="N30" i="11"/>
  <c r="T30" i="11"/>
  <c r="V30" i="11"/>
  <c r="X30" i="11"/>
  <c r="Z30" i="11"/>
  <c r="AB30" i="11"/>
  <c r="AD30" i="11"/>
  <c r="AF30" i="11"/>
  <c r="L4" i="11"/>
  <c r="N4" i="11"/>
  <c r="P4" i="11"/>
  <c r="R4" i="11"/>
  <c r="T4" i="11"/>
  <c r="V4" i="11"/>
  <c r="X4" i="11"/>
  <c r="Z4" i="11"/>
  <c r="AB4" i="11"/>
  <c r="AD4" i="11"/>
  <c r="AF4" i="11"/>
  <c r="L5" i="11"/>
  <c r="N5" i="11"/>
  <c r="P5" i="11"/>
  <c r="R5" i="11"/>
  <c r="T5" i="11"/>
  <c r="V5" i="11"/>
  <c r="X5" i="11"/>
  <c r="Z5" i="11"/>
  <c r="AB5" i="11"/>
  <c r="AD5" i="11"/>
  <c r="AF5" i="11"/>
  <c r="L6" i="11"/>
  <c r="N6" i="11"/>
  <c r="P6" i="11"/>
  <c r="R6" i="11"/>
  <c r="T6" i="11"/>
  <c r="V6" i="11"/>
  <c r="X6" i="11"/>
  <c r="Z6" i="11"/>
  <c r="AB6" i="11"/>
  <c r="AD6" i="11"/>
  <c r="AF6" i="11"/>
  <c r="L7" i="11"/>
  <c r="N7" i="11"/>
  <c r="P7" i="11"/>
  <c r="R7" i="11"/>
  <c r="T7" i="11"/>
  <c r="V7" i="11"/>
  <c r="X7" i="11"/>
  <c r="Z7" i="11"/>
  <c r="AB7" i="11"/>
  <c r="AD7" i="11"/>
  <c r="AF7" i="11"/>
  <c r="L8" i="11"/>
  <c r="N8" i="11"/>
  <c r="P8" i="11"/>
  <c r="R8" i="11"/>
  <c r="T8" i="11"/>
  <c r="V8" i="11"/>
  <c r="X8" i="11"/>
  <c r="Z8" i="11"/>
  <c r="AB8" i="11"/>
  <c r="AD8" i="11"/>
  <c r="AF8" i="11"/>
  <c r="L9" i="11"/>
  <c r="N9" i="11"/>
  <c r="P9" i="11"/>
  <c r="R9" i="11"/>
  <c r="T9" i="11"/>
  <c r="V9" i="11"/>
  <c r="X9" i="11"/>
  <c r="Z9" i="11"/>
  <c r="AB9" i="11"/>
  <c r="AD9" i="11"/>
  <c r="AF9" i="11"/>
  <c r="L10" i="11"/>
  <c r="N10" i="11"/>
  <c r="P10" i="11"/>
  <c r="R10" i="11"/>
  <c r="T10" i="11"/>
  <c r="V10" i="11"/>
  <c r="X10" i="11"/>
  <c r="Z10" i="11"/>
  <c r="AB10" i="11"/>
  <c r="AD10" i="11"/>
  <c r="AF10" i="11"/>
  <c r="L11" i="11"/>
  <c r="N11" i="11"/>
  <c r="P11" i="11"/>
  <c r="R11" i="11"/>
  <c r="T11" i="11"/>
  <c r="V11" i="11"/>
  <c r="X11" i="11"/>
  <c r="Z11" i="11"/>
  <c r="AB11" i="11"/>
  <c r="AD11" i="11"/>
  <c r="AF11" i="11"/>
  <c r="L12" i="11"/>
  <c r="N12" i="11"/>
  <c r="P12" i="11"/>
  <c r="R12" i="11"/>
  <c r="T12" i="11"/>
  <c r="V12" i="11"/>
  <c r="X12" i="11"/>
  <c r="Z12" i="11"/>
  <c r="AB12" i="11"/>
  <c r="AD12" i="11"/>
  <c r="AF12" i="11"/>
  <c r="L13" i="11"/>
  <c r="N13" i="11"/>
  <c r="P13" i="11"/>
  <c r="R13" i="11"/>
  <c r="T13" i="11"/>
  <c r="V13" i="11"/>
  <c r="X13" i="11"/>
  <c r="Z13" i="11"/>
  <c r="AB13" i="11"/>
  <c r="AD13" i="11"/>
  <c r="AF13" i="11"/>
  <c r="L14" i="11"/>
  <c r="N14" i="11"/>
  <c r="P14" i="11"/>
  <c r="R14" i="11"/>
  <c r="T14" i="11"/>
  <c r="V14" i="11"/>
  <c r="X14" i="11"/>
  <c r="Z14" i="11"/>
  <c r="AB14" i="11"/>
  <c r="AD14" i="11"/>
  <c r="AF14" i="11"/>
  <c r="L15" i="11"/>
  <c r="N15" i="11"/>
  <c r="P15" i="11"/>
  <c r="R15" i="11"/>
  <c r="T15" i="11"/>
  <c r="V15" i="11"/>
  <c r="X15" i="11"/>
  <c r="Z15" i="11"/>
  <c r="AB15" i="11"/>
  <c r="AD15" i="11"/>
  <c r="AF15" i="11"/>
  <c r="L16" i="11"/>
  <c r="N16" i="11"/>
  <c r="P16" i="11"/>
  <c r="R16" i="11"/>
  <c r="T16" i="11"/>
  <c r="V16" i="11"/>
  <c r="X16" i="11"/>
  <c r="Z16" i="11"/>
  <c r="AB16" i="11"/>
  <c r="AD16" i="11"/>
  <c r="AF16" i="11"/>
  <c r="J15" i="11"/>
  <c r="J10" i="11"/>
  <c r="J9" i="11"/>
  <c r="J11" i="11"/>
  <c r="J16" i="11"/>
  <c r="J8" i="11"/>
  <c r="J14" i="11"/>
  <c r="J6" i="11"/>
  <c r="J5" i="11"/>
  <c r="J4" i="11"/>
  <c r="AF84" i="11" l="1"/>
  <c r="AD84" i="11"/>
  <c r="AB84" i="11"/>
  <c r="Z84" i="11"/>
  <c r="X84" i="11"/>
  <c r="V84" i="11"/>
  <c r="T84" i="11"/>
  <c r="R84" i="11"/>
  <c r="P84" i="11"/>
  <c r="N84" i="11"/>
  <c r="L84" i="11"/>
  <c r="J84" i="11"/>
  <c r="AF82" i="11"/>
  <c r="AD82" i="11"/>
  <c r="AB82" i="11"/>
  <c r="Z82" i="11"/>
  <c r="X82" i="11"/>
  <c r="V82" i="11"/>
  <c r="T82" i="11"/>
  <c r="R82" i="11"/>
  <c r="P82" i="11"/>
  <c r="N82" i="11"/>
  <c r="L82" i="11"/>
  <c r="J82" i="11"/>
  <c r="Z63" i="11"/>
  <c r="AF61" i="11"/>
  <c r="AD61" i="11"/>
  <c r="AB61" i="11"/>
  <c r="Z61" i="11"/>
  <c r="X61" i="11"/>
  <c r="V61" i="11"/>
  <c r="T61" i="11"/>
  <c r="R61" i="11"/>
  <c r="P61" i="11"/>
  <c r="N61" i="11"/>
  <c r="L61" i="11"/>
  <c r="J61" i="11"/>
  <c r="AF41" i="11"/>
  <c r="AD41" i="11"/>
  <c r="AB41" i="11"/>
  <c r="Z41" i="11"/>
  <c r="X41" i="11"/>
  <c r="V41" i="11"/>
  <c r="T41" i="11"/>
  <c r="R41" i="11"/>
  <c r="P41" i="11"/>
  <c r="N41" i="11"/>
  <c r="L41" i="11"/>
  <c r="AF36" i="11"/>
  <c r="AD36" i="11"/>
  <c r="AB36" i="11"/>
  <c r="Z36" i="11"/>
  <c r="X36" i="11"/>
  <c r="V36" i="11"/>
  <c r="T36" i="11"/>
  <c r="R36" i="11"/>
  <c r="P36" i="11"/>
  <c r="N36" i="11"/>
  <c r="L36" i="11"/>
  <c r="J30" i="11"/>
  <c r="I2" i="11"/>
  <c r="K2" i="11" s="1"/>
  <c r="M2" i="11" s="1"/>
  <c r="O2" i="11" s="1"/>
  <c r="Q2" i="11" s="1"/>
  <c r="S2" i="11" s="1"/>
  <c r="U2" i="11" s="1"/>
  <c r="W2" i="11" s="1"/>
  <c r="Y2" i="11" s="1"/>
  <c r="AA2" i="11" s="1"/>
  <c r="AC2" i="11" s="1"/>
  <c r="AE2" i="11" s="1"/>
</calcChain>
</file>

<file path=xl/sharedStrings.xml><?xml version="1.0" encoding="utf-8"?>
<sst xmlns="http://schemas.openxmlformats.org/spreadsheetml/2006/main" count="3662" uniqueCount="962">
  <si>
    <t>REWM Data Form</t>
  </si>
  <si>
    <t>Resource Efficiency &amp; Waste minimisation KPI Data Collection Form. Version 4</t>
  </si>
  <si>
    <t>Project Details</t>
  </si>
  <si>
    <t>Organisation</t>
  </si>
  <si>
    <t>Organisation that has entered data into form</t>
  </si>
  <si>
    <t>Contract</t>
  </si>
  <si>
    <t>Reporting Year</t>
  </si>
  <si>
    <t>2022/23</t>
  </si>
  <si>
    <t>Period of reporting</t>
  </si>
  <si>
    <t>Starting Month</t>
  </si>
  <si>
    <t>Jul</t>
  </si>
  <si>
    <t>First month of the reporting period</t>
  </si>
  <si>
    <t>Summary</t>
  </si>
  <si>
    <t>Nov</t>
  </si>
  <si>
    <t>Emission Group</t>
  </si>
  <si>
    <t>kgCO₂e</t>
  </si>
  <si>
    <t xml:space="preserve">Energy </t>
  </si>
  <si>
    <t>Transport</t>
  </si>
  <si>
    <t>Steel</t>
  </si>
  <si>
    <t>Aluminium</t>
  </si>
  <si>
    <t>Concrete</t>
  </si>
  <si>
    <t>Pavement</t>
  </si>
  <si>
    <t>Emission Sub-Group</t>
  </si>
  <si>
    <t>Emission Source</t>
  </si>
  <si>
    <t>Units</t>
  </si>
  <si>
    <t>Guidance</t>
  </si>
  <si>
    <t>Amount</t>
  </si>
  <si>
    <t>Units (Alternative)</t>
  </si>
  <si>
    <t>Data Source</t>
  </si>
  <si>
    <t>Data Reliability</t>
  </si>
  <si>
    <t>Notes</t>
  </si>
  <si>
    <t>Input</t>
  </si>
  <si>
    <r>
      <t>kgCO</t>
    </r>
    <r>
      <rPr>
        <b/>
        <sz val="15"/>
        <color theme="3"/>
        <rFont val="Calibri"/>
        <family val="2"/>
      </rPr>
      <t>₂</t>
    </r>
    <r>
      <rPr>
        <b/>
        <sz val="15"/>
        <color theme="3"/>
        <rFont val="Source Sans Pro"/>
        <family val="2"/>
      </rPr>
      <t>e</t>
    </r>
  </si>
  <si>
    <t>Liquid Fuel</t>
  </si>
  <si>
    <t>1.1.1</t>
  </si>
  <si>
    <t>Diesel</t>
  </si>
  <si>
    <t>L</t>
  </si>
  <si>
    <t>Fuel used on site for vehicles as well as generators/heating etc</t>
  </si>
  <si>
    <t>1.1.2</t>
  </si>
  <si>
    <t>Biodiesel</t>
  </si>
  <si>
    <t>1.1.3</t>
  </si>
  <si>
    <t>Unleaded Petrol</t>
  </si>
  <si>
    <t>Gas Fuel</t>
  </si>
  <si>
    <t>1.2.1</t>
  </si>
  <si>
    <t>LPG</t>
  </si>
  <si>
    <t>kg</t>
  </si>
  <si>
    <t>1.2.2</t>
  </si>
  <si>
    <t>Natural Gas</t>
  </si>
  <si>
    <t>kWh</t>
  </si>
  <si>
    <t>Electricity</t>
  </si>
  <si>
    <t>1.3.1</t>
  </si>
  <si>
    <t>On network</t>
  </si>
  <si>
    <t>Electricity use for streetlights etc on sight</t>
  </si>
  <si>
    <t>1.3.2</t>
  </si>
  <si>
    <t>Compounds, Depots, Offices</t>
  </si>
  <si>
    <t>On site offices (both temporary and etc using electricity)</t>
  </si>
  <si>
    <t>Other Emissions</t>
  </si>
  <si>
    <t>1.4.1</t>
  </si>
  <si>
    <t>Any other on-site energy calculated to kgCO₂e with workings included in notes</t>
  </si>
  <si>
    <t xml:space="preserve">Transport (if not 
included in 
Energy item 
above) </t>
  </si>
  <si>
    <t>2.1.1</t>
  </si>
  <si>
    <t>Diesel mobile combustion</t>
  </si>
  <si>
    <t>2.1.2</t>
  </si>
  <si>
    <t>Biodiesel mobile combustion</t>
  </si>
  <si>
    <t>2.1.3</t>
  </si>
  <si>
    <t>Petrol mobile combustion</t>
  </si>
  <si>
    <t>2.1.4</t>
  </si>
  <si>
    <t>Transport Articulated Truck</t>
  </si>
  <si>
    <t>tkm</t>
  </si>
  <si>
    <t>Tonne kilometre (approx), distance travelled by vehicle x weight loaded, for vehicles which are unloaded multiply by 1. Not required to fill if transport has been accounted for in mobile combustion emission sources above or in energy emissions group</t>
  </si>
  <si>
    <t>2.2.1</t>
  </si>
  <si>
    <t>Water</t>
  </si>
  <si>
    <t>3.1.1</t>
  </si>
  <si>
    <t>Potable water</t>
  </si>
  <si>
    <t>Litres of water used from potable mains for all activities</t>
  </si>
  <si>
    <t>3.1.2</t>
  </si>
  <si>
    <t>Non-Potable water</t>
  </si>
  <si>
    <t>Litres of water used from non-municipal sources for all activities</t>
  </si>
  <si>
    <t>Waste</t>
  </si>
  <si>
    <t>Landfill</t>
  </si>
  <si>
    <t>4.1.1</t>
  </si>
  <si>
    <t>Asphalt</t>
  </si>
  <si>
    <t>t</t>
  </si>
  <si>
    <t>Total tonnes of waste material generated by maintenance activities sent to landfill. Specify other materials in notes if known</t>
  </si>
  <si>
    <t>4.1.2</t>
  </si>
  <si>
    <t>4.1.3</t>
  </si>
  <si>
    <t>Other materials</t>
  </si>
  <si>
    <t>4.1.4</t>
  </si>
  <si>
    <t>Road side litter</t>
  </si>
  <si>
    <t>Litter picked up on the network and sent to landfill</t>
  </si>
  <si>
    <t>4.1.5</t>
  </si>
  <si>
    <t>Office/Depot</t>
  </si>
  <si>
    <t>Total tonnes of waste generated by offices and depots that is sent to landfill</t>
  </si>
  <si>
    <t>Cleanfill</t>
  </si>
  <si>
    <t>4.2.1</t>
  </si>
  <si>
    <t>Total tonnes of clean fill waste</t>
  </si>
  <si>
    <t>Managed fill</t>
  </si>
  <si>
    <t>4.3.1</t>
  </si>
  <si>
    <t>Total tonnes of managed fill waste</t>
  </si>
  <si>
    <t>Reuse / Recycle</t>
  </si>
  <si>
    <t>4.4.1</t>
  </si>
  <si>
    <t>Total tonnes of waste material that is reused (on any network) or sent to a plant to be recycled (not sent to landfill)</t>
  </si>
  <si>
    <t>4.4.2</t>
  </si>
  <si>
    <t>4.4.3</t>
  </si>
  <si>
    <t>4.4.4</t>
  </si>
  <si>
    <t>4.5.1</t>
  </si>
  <si>
    <t>Steel poles</t>
  </si>
  <si>
    <t>5.1.1</t>
  </si>
  <si>
    <t>Light poles - Steel</t>
  </si>
  <si>
    <t>m</t>
  </si>
  <si>
    <t>Sum of total metres  of poles used. 
i.e. ground height of poles (each type) x number of poles (each type)</t>
  </si>
  <si>
    <t>5.1.2</t>
  </si>
  <si>
    <t>ITS / Signs poles - Steel</t>
  </si>
  <si>
    <t>Steel Railings</t>
  </si>
  <si>
    <t>5.2.2</t>
  </si>
  <si>
    <t>W beam barrier</t>
  </si>
  <si>
    <t>Metres of W beam barrier</t>
  </si>
  <si>
    <t>5.2.3</t>
  </si>
  <si>
    <t>Wire rope barrier</t>
  </si>
  <si>
    <t>Metres of steel rope barrier</t>
  </si>
  <si>
    <t>Steel Other</t>
  </si>
  <si>
    <t>5.3.1</t>
  </si>
  <si>
    <t>Tonnes of steel used, if not accounted for anywhere else in the steel emissions group or in concrete reinforcement</t>
  </si>
  <si>
    <t>5.4.1</t>
  </si>
  <si>
    <t>Aluminium Signs</t>
  </si>
  <si>
    <t>6.1.1</t>
  </si>
  <si>
    <t>Signs - Aluminium</t>
  </si>
  <si>
    <t>m2</t>
  </si>
  <si>
    <t xml:space="preserve">Total m2 of aluminium signs used. </t>
  </si>
  <si>
    <t>Aluminium Poles</t>
  </si>
  <si>
    <t>6.2.1</t>
  </si>
  <si>
    <t>Light poles - Aluminium</t>
  </si>
  <si>
    <t xml:space="preserve">Sum of total meters of poles used. 
i.e. ground height of poles  (each type) x number of poles (each type)
</t>
  </si>
  <si>
    <t>6.2.2</t>
  </si>
  <si>
    <t>ITS / Signs poles - Aluminium</t>
  </si>
  <si>
    <t>Aluminium Other</t>
  </si>
  <si>
    <t>6.3.1</t>
  </si>
  <si>
    <t xml:space="preserve">Tonnes of aluminium </t>
  </si>
  <si>
    <t>6.4.1</t>
  </si>
  <si>
    <t>Concrete Barriers</t>
  </si>
  <si>
    <t>7.1.1</t>
  </si>
  <si>
    <t>F Shaped concrete barrier</t>
  </si>
  <si>
    <t xml:space="preserve">Total meters of concrete barrier (f-type and new jersey) </t>
  </si>
  <si>
    <t>Concrete Culverts</t>
  </si>
  <si>
    <t>7.2.1</t>
  </si>
  <si>
    <t>Culvert DN 300</t>
  </si>
  <si>
    <t>Total length of all culverts each Culvert DN 
i.e. Length of Culvert (each type) x number of Culverts (each type)
Select nearest size range</t>
  </si>
  <si>
    <t>7.2.2</t>
  </si>
  <si>
    <t>Culvert DN 600</t>
  </si>
  <si>
    <t>7.2.3</t>
  </si>
  <si>
    <t>Culvert DN 900</t>
  </si>
  <si>
    <t>7.2.4</t>
  </si>
  <si>
    <t>Culvert DN 1200</t>
  </si>
  <si>
    <t>7.2.5</t>
  </si>
  <si>
    <t>Culvert DN &gt;1200</t>
  </si>
  <si>
    <t>Concrete Manhole</t>
  </si>
  <si>
    <t>7.3.1</t>
  </si>
  <si>
    <t>Manhole Depth range &lt;2m</t>
  </si>
  <si>
    <t>each</t>
  </si>
  <si>
    <t>Number of manholes. Depth rounded to nearest whole number</t>
  </si>
  <si>
    <t>7.3.2</t>
  </si>
  <si>
    <t>Manhole Depth range 2-4m</t>
  </si>
  <si>
    <t>7.3.3</t>
  </si>
  <si>
    <t>Manhole Depth range 4-6m</t>
  </si>
  <si>
    <t>7.3.4</t>
  </si>
  <si>
    <t>Manhole Depth range 6-8m</t>
  </si>
  <si>
    <t>7.3.5</t>
  </si>
  <si>
    <t>Manhole Depth range &gt;8m</t>
  </si>
  <si>
    <t>Concrete Mix 1</t>
  </si>
  <si>
    <t>7.4.1</t>
  </si>
  <si>
    <t>Mix Type</t>
  </si>
  <si>
    <t>Lookup</t>
  </si>
  <si>
    <t>Material source: Allied, Firth or Other (please specify in notes)</t>
  </si>
  <si>
    <t>7.4.2</t>
  </si>
  <si>
    <t>Concrete Mass</t>
  </si>
  <si>
    <t>Mass of concrete used</t>
  </si>
  <si>
    <t>Concrete Mix 2</t>
  </si>
  <si>
    <t>7.5.1</t>
  </si>
  <si>
    <t>7.5.2</t>
  </si>
  <si>
    <t>Concrete Mix 3</t>
  </si>
  <si>
    <t>7.6.1</t>
  </si>
  <si>
    <t>7.6.2</t>
  </si>
  <si>
    <t>Concrete Mix 4</t>
  </si>
  <si>
    <t>7.7.1</t>
  </si>
  <si>
    <t>7.7.2</t>
  </si>
  <si>
    <t>7.8.1</t>
  </si>
  <si>
    <t>Concrete SW Channels</t>
  </si>
  <si>
    <t>SWC-Cement</t>
  </si>
  <si>
    <t>All channels have an estimated width of 300mm and depth of 200mm</t>
  </si>
  <si>
    <t>Aggregates</t>
  </si>
  <si>
    <t>8.1.1</t>
  </si>
  <si>
    <t>Crushed Rock</t>
  </si>
  <si>
    <t>t of crushed rock used for unsealed roads surafces, granular basecourse &amp; subbase pavement layers as well as in non-ashphaltic sealing chip i.e. chipseal</t>
  </si>
  <si>
    <t>PavementPivotTable - filter on Aggregates</t>
  </si>
  <si>
    <t>8.1.2</t>
  </si>
  <si>
    <t>Crushed blast furnace slag (Bitumen)</t>
  </si>
  <si>
    <t>t of crushed blast furnace slag used for pavement layers and non-asphaltic concrete sealing chip</t>
  </si>
  <si>
    <t>SurfacingPivotTable - filter on binder</t>
  </si>
  <si>
    <t>Crushed blast furnace slag (Emulsion)</t>
  </si>
  <si>
    <t>Crushed blast furnace slag (poly)</t>
  </si>
  <si>
    <t>8.1.3</t>
  </si>
  <si>
    <t>Recycled Crushed Concrete/Masonry</t>
  </si>
  <si>
    <t>t of crushed concrete for pavement layer</t>
  </si>
  <si>
    <t>8.1.4</t>
  </si>
  <si>
    <t>Crushed Limestone</t>
  </si>
  <si>
    <t>t of crushed limestone for pavement layer</t>
  </si>
  <si>
    <t xml:space="preserve"> Pavement Stabilisation</t>
  </si>
  <si>
    <t>8.2.1</t>
  </si>
  <si>
    <t>Foam Bitumen (3% water)</t>
  </si>
  <si>
    <t>Materials used for pavement stabilisation</t>
  </si>
  <si>
    <t>PavementBindersSummary - Bitumen column</t>
  </si>
  <si>
    <t>8.2.2</t>
  </si>
  <si>
    <t>Lime (hydraulic)</t>
  </si>
  <si>
    <t>8.2.3</t>
  </si>
  <si>
    <t>Cement</t>
  </si>
  <si>
    <t>PavementBindersSummary - Cement Column</t>
  </si>
  <si>
    <t>Asphalt Mix 1</t>
  </si>
  <si>
    <t>8.3.1</t>
  </si>
  <si>
    <t>Asphalt (AC Bitumen)</t>
  </si>
  <si>
    <t>m3</t>
  </si>
  <si>
    <t>m3 of asphalt used</t>
  </si>
  <si>
    <t>SurfacingPivotTable - Filter on asphalt columns and select all "B's" in surf_binder</t>
  </si>
  <si>
    <t>8.3.2</t>
  </si>
  <si>
    <t>Emulsified Bitumen</t>
  </si>
  <si>
    <t>y/n</t>
  </si>
  <si>
    <t>Yes is bitumen is emulsified, No otherwise</t>
  </si>
  <si>
    <t>No</t>
  </si>
  <si>
    <t>8.3.3</t>
  </si>
  <si>
    <t>RAP content</t>
  </si>
  <si>
    <t>%</t>
  </si>
  <si>
    <t>% of RAP content</t>
  </si>
  <si>
    <t>0%</t>
  </si>
  <si>
    <t>20%</t>
  </si>
  <si>
    <t>Only recycled material in Bitumen binders</t>
  </si>
  <si>
    <t>Asphalt Mix 2</t>
  </si>
  <si>
    <t>Asphalt (AC Emulsion)</t>
  </si>
  <si>
    <t>SurfacingPivotTable - Filter on asphalt columns and select all "E's" in surf_binder</t>
  </si>
  <si>
    <t>Yes</t>
  </si>
  <si>
    <t>Asphalt Mix 3</t>
  </si>
  <si>
    <t>8.4.1</t>
  </si>
  <si>
    <t>Asphalt (AC Poly)</t>
  </si>
  <si>
    <t>Poly (plastic) is another binder that is being used. May need another emission factor for this.</t>
  </si>
  <si>
    <t>8.4.2</t>
  </si>
  <si>
    <t>8.4.3</t>
  </si>
  <si>
    <t>Asphalt Pavement</t>
  </si>
  <si>
    <t>Asphalt Standard Mix (Hot mix 5.5% bitumen, default)</t>
  </si>
  <si>
    <t>Asphalt Cold Mix</t>
  </si>
  <si>
    <t>8.7.1</t>
  </si>
  <si>
    <t>m3 of cold mix used for maintenance activities</t>
  </si>
  <si>
    <t>Bitumen</t>
  </si>
  <si>
    <t>8.8.1</t>
  </si>
  <si>
    <t>t of residual bitumen used for spray seals, bandage seals and other maintenance items not covered in the asphalt mix or pavement stabilisation  sub-groups</t>
  </si>
  <si>
    <t>8.9.1</t>
  </si>
  <si>
    <r>
      <t>Total (kgCO</t>
    </r>
    <r>
      <rPr>
        <b/>
        <sz val="15"/>
        <color rgb="FF00456A"/>
        <rFont val="Calibri"/>
        <family val="2"/>
      </rPr>
      <t>₂</t>
    </r>
    <r>
      <rPr>
        <b/>
        <sz val="10.5"/>
        <color rgb="FF00456A"/>
        <rFont val="Source Sans Pro"/>
        <family val="2"/>
      </rPr>
      <t>e)</t>
    </r>
  </si>
  <si>
    <t>Electricity Streetlight</t>
  </si>
  <si>
    <t>Electricity Office</t>
  </si>
  <si>
    <t>Transport Diesel</t>
  </si>
  <si>
    <t>Transport petrol</t>
  </si>
  <si>
    <t>All channels have an estimated width of 450mm and depth of 200mm</t>
  </si>
  <si>
    <t>Surfacing</t>
  </si>
  <si>
    <t>Asphalt Pavement (RAP)</t>
  </si>
  <si>
    <t>Recycled Asphalt Pavement (Pavements)</t>
  </si>
  <si>
    <t>Bitumen (Surfacing)</t>
  </si>
  <si>
    <t>Surface emulsions</t>
  </si>
  <si>
    <t>asm</t>
  </si>
  <si>
    <t>Carbon Estimate (kgCO₂e)</t>
  </si>
  <si>
    <r>
      <t>Total (kgCO</t>
    </r>
    <r>
      <rPr>
        <sz val="11"/>
        <color theme="1"/>
        <rFont val="Calibri"/>
        <family val="2"/>
        <scheme val="minor"/>
      </rPr>
      <t>₂</t>
    </r>
    <r>
      <rPr>
        <sz val="10.5"/>
        <color theme="1"/>
        <rFont val="Calibri"/>
        <family val="2"/>
        <scheme val="minor"/>
      </rPr>
      <t>e)</t>
    </r>
  </si>
  <si>
    <t>Aug</t>
  </si>
  <si>
    <t>Sep</t>
  </si>
  <si>
    <t>Oct</t>
  </si>
  <si>
    <t>Dec</t>
  </si>
  <si>
    <t>Jan</t>
  </si>
  <si>
    <t>Feb</t>
  </si>
  <si>
    <t>Mar</t>
  </si>
  <si>
    <t>Apr</t>
  </si>
  <si>
    <t>May</t>
  </si>
  <si>
    <t>Jun</t>
  </si>
  <si>
    <t>Energy</t>
  </si>
  <si>
    <t>Cold Mix Asphalt</t>
  </si>
  <si>
    <t>Drainage</t>
  </si>
  <si>
    <t>Drainage- Second Order</t>
  </si>
  <si>
    <t>Kerb and Channel</t>
  </si>
  <si>
    <t>Standard Concrete Kerb and Channel</t>
  </si>
  <si>
    <t>Basalt Kerb and Concrete Channel</t>
  </si>
  <si>
    <t>Mountable Kerb and Channel</t>
  </si>
  <si>
    <t>Cycle Mountable Kerb</t>
  </si>
  <si>
    <t>V-Dish Channel</t>
  </si>
  <si>
    <t xml:space="preserve">Box Culvert </t>
  </si>
  <si>
    <t>2.5m (wide) x 2m (high)</t>
  </si>
  <si>
    <t>3m (wide) x 2.5m (high)</t>
  </si>
  <si>
    <t>4m (wide) x 3m (high)</t>
  </si>
  <si>
    <t>Swale</t>
  </si>
  <si>
    <t>2m wide swale with subsoil drain</t>
  </si>
  <si>
    <t>Manholes</t>
  </si>
  <si>
    <t>1050 mm</t>
  </si>
  <si>
    <t>No.</t>
  </si>
  <si>
    <t>1200 mm</t>
  </si>
  <si>
    <t>1500 mm</t>
  </si>
  <si>
    <t>1800 mm</t>
  </si>
  <si>
    <t>2050 mm</t>
  </si>
  <si>
    <t>2300 mm</t>
  </si>
  <si>
    <t>3000 mm</t>
  </si>
  <si>
    <t>Catchpit</t>
  </si>
  <si>
    <t>Street Catch Pit</t>
  </si>
  <si>
    <t>Super Pit</t>
  </si>
  <si>
    <t>Mega Pit</t>
  </si>
  <si>
    <t xml:space="preserve">2.4m Lintel Only </t>
  </si>
  <si>
    <t>Subsoil Drainage</t>
  </si>
  <si>
    <t>110 mm PE Pipe and Trench</t>
  </si>
  <si>
    <t>Wingwalls</t>
  </si>
  <si>
    <t xml:space="preserve"> 300 mm Nominal Dia</t>
  </si>
  <si>
    <t xml:space="preserve"> 600 mm Nominal Dia</t>
  </si>
  <si>
    <t>1,350 mm Nominal Dia</t>
  </si>
  <si>
    <t>1,800 mm Nominal Dia</t>
  </si>
  <si>
    <t>Raingarden</t>
  </si>
  <si>
    <t xml:space="preserve">3m x 1.5m </t>
  </si>
  <si>
    <t>Gross Pollutant Trap</t>
  </si>
  <si>
    <t>300 mm Nominal Dia</t>
  </si>
  <si>
    <t>900 mm Nominal Dia</t>
  </si>
  <si>
    <t>1,200 mm Nominal Dia</t>
  </si>
  <si>
    <t>Drainage Estimate per km</t>
  </si>
  <si>
    <t xml:space="preserve">Stormwater System Connection </t>
  </si>
  <si>
    <t>km</t>
  </si>
  <si>
    <t>Open Watercourse Drainage</t>
  </si>
  <si>
    <t>Drainage - Third Order</t>
  </si>
  <si>
    <t>Materials</t>
  </si>
  <si>
    <t>Aggregate</t>
  </si>
  <si>
    <t>Cement General</t>
  </si>
  <si>
    <t>Cement Holcim</t>
  </si>
  <si>
    <t>Cement Golden Bay</t>
  </si>
  <si>
    <t>Steel Reinforcing Bar</t>
  </si>
  <si>
    <t>Steel Reinforcing Mesh</t>
  </si>
  <si>
    <t>Steel Structural</t>
  </si>
  <si>
    <t>In-situ 20 MPa, (20% PFA)</t>
  </si>
  <si>
    <t>Pathways</t>
  </si>
  <si>
    <t>Pathways - Second Order</t>
  </si>
  <si>
    <t>Pathway</t>
  </si>
  <si>
    <t xml:space="preserve">100mm Concrete Footpath </t>
  </si>
  <si>
    <t>150mm Concrete Footpath</t>
  </si>
  <si>
    <t xml:space="preserve">Standard Asphalt Footpath </t>
  </si>
  <si>
    <t>Concrete Paver Path</t>
  </si>
  <si>
    <t>Timber Boardwalk</t>
  </si>
  <si>
    <t>Steel 663 Mesh Only</t>
  </si>
  <si>
    <t>Crossing</t>
  </si>
  <si>
    <t>Single Residential Vehicle Crossing</t>
  </si>
  <si>
    <t>Single Commercial Vehicle Crossing</t>
  </si>
  <si>
    <t>Cycle Separator</t>
  </si>
  <si>
    <t>Flexible Traffic Separator</t>
  </si>
  <si>
    <t>Cycle Lane Speed Cushion</t>
  </si>
  <si>
    <t>400mm Concrete Cycle Separator</t>
  </si>
  <si>
    <t>600mm Concrete Cycle Separator</t>
  </si>
  <si>
    <t>800mm Concrete Cycle Separator</t>
  </si>
  <si>
    <t>texture</t>
  </si>
  <si>
    <t>Green Surfacing</t>
  </si>
  <si>
    <t>Pathways - Third Order</t>
  </si>
  <si>
    <t>Street Lighting</t>
  </si>
  <si>
    <t>Street Lighting - Second Order</t>
  </si>
  <si>
    <t>Street lighting</t>
  </si>
  <si>
    <t>Standard 8m Lighting Pole and foundation Only</t>
  </si>
  <si>
    <t>Standard 12m Lighting Pole and foundation Only</t>
  </si>
  <si>
    <t>2m Outreach Arm Only</t>
  </si>
  <si>
    <t xml:space="preserve">Luminaire Only </t>
  </si>
  <si>
    <t>Road Lighting per km</t>
  </si>
  <si>
    <t>Street Lighting - Third Order</t>
  </si>
  <si>
    <t>Aluminium China</t>
  </si>
  <si>
    <t>Safety, Barriers and Fencing</t>
  </si>
  <si>
    <t>Safety, Barriers and Fencing - Second Order</t>
  </si>
  <si>
    <t>Safety Barriers and Fencing</t>
  </si>
  <si>
    <t>Barrier</t>
  </si>
  <si>
    <t>Steel Wire Rope Barrier</t>
  </si>
  <si>
    <t>W Beam Barrier</t>
  </si>
  <si>
    <t>F Shaped Concrete Barrier</t>
  </si>
  <si>
    <t>Silt Fence</t>
  </si>
  <si>
    <t>Wall</t>
  </si>
  <si>
    <t>Noise Wall</t>
  </si>
  <si>
    <t>Fence</t>
  </si>
  <si>
    <t>Chain Link Fence</t>
  </si>
  <si>
    <t>Steel Wire Fence</t>
  </si>
  <si>
    <t>Timber Fence</t>
  </si>
  <si>
    <t>Safety, Barriers and Fencing - Third Order</t>
  </si>
  <si>
    <t>Signage</t>
  </si>
  <si>
    <t>Post</t>
  </si>
  <si>
    <t>Small Aluminium Single Post</t>
  </si>
  <si>
    <t>Small Steel Single Post</t>
  </si>
  <si>
    <t>Sign</t>
  </si>
  <si>
    <t>Medium Sign</t>
  </si>
  <si>
    <t>Large Sign</t>
  </si>
  <si>
    <t>Gantry</t>
  </si>
  <si>
    <t>Single Gantry</t>
  </si>
  <si>
    <t>Double Gantry</t>
  </si>
  <si>
    <t>Street Furniture</t>
  </si>
  <si>
    <t>Street Furniture - Second Order</t>
  </si>
  <si>
    <t>Bus Shelter</t>
  </si>
  <si>
    <t>Minor Bus Shelter</t>
  </si>
  <si>
    <t>Intermediate Bus Shelter</t>
  </si>
  <si>
    <t>Major Bus Shelter</t>
  </si>
  <si>
    <t>Furniture</t>
  </si>
  <si>
    <t>Timber Seat</t>
  </si>
  <si>
    <t>Cycle Stand</t>
  </si>
  <si>
    <t xml:space="preserve">Steel Tilt Bin </t>
  </si>
  <si>
    <t>Concrete and Timber Bench</t>
  </si>
  <si>
    <t>Street Furniture - Third Order</t>
  </si>
  <si>
    <t>Steel Bollard</t>
  </si>
  <si>
    <t>Site Clearance and Earthworks</t>
  </si>
  <si>
    <t>Clearance</t>
  </si>
  <si>
    <t>Demolition of major structures</t>
  </si>
  <si>
    <t>Clearance of High Shrubs and Medium dense trees</t>
  </si>
  <si>
    <t>Strip and respread topsoil</t>
  </si>
  <si>
    <t>Earthworks</t>
  </si>
  <si>
    <t>Cut to waste</t>
  </si>
  <si>
    <t>Cut to fill</t>
  </si>
  <si>
    <t>Import and Place filling</t>
  </si>
  <si>
    <t>Bridge</t>
  </si>
  <si>
    <t>Retaining Wall</t>
  </si>
  <si>
    <t>In-situ 20 MPa, (OPC)</t>
  </si>
  <si>
    <t>NOC</t>
  </si>
  <si>
    <t>M</t>
  </si>
  <si>
    <t>O</t>
  </si>
  <si>
    <t>Emissions Group</t>
  </si>
  <si>
    <t>Emissions Sub-Group</t>
  </si>
  <si>
    <t>Tier 3</t>
  </si>
  <si>
    <t>Tier 2</t>
  </si>
  <si>
    <t>Tier 1</t>
  </si>
  <si>
    <t>Mandatory if applicable</t>
  </si>
  <si>
    <t>Optional</t>
  </si>
  <si>
    <t>Potable</t>
  </si>
  <si>
    <t>Non-Potable</t>
  </si>
  <si>
    <t>Name</t>
  </si>
  <si>
    <t>Emissions Factor</t>
  </si>
  <si>
    <t>Input Unit</t>
  </si>
  <si>
    <t>Comments</t>
  </si>
  <si>
    <t>Waka Kotahi Large Bridge</t>
  </si>
  <si>
    <t>Super T bridge &gt; 14m width</t>
  </si>
  <si>
    <t>Bridge Abutment Width</t>
  </si>
  <si>
    <t>tCO2-e/m</t>
  </si>
  <si>
    <t>Total length of all abutments in project is required, if two abutments of 20m width then 40m value is input</t>
  </si>
  <si>
    <t>Waka Kotahi Medium Bridge</t>
  </si>
  <si>
    <t>Super T bridge 7m - 14m width</t>
  </si>
  <si>
    <t>Bridge Piers</t>
  </si>
  <si>
    <t>Total Length over which Piers are required across entire project. Assumes a Pier every 30m</t>
  </si>
  <si>
    <t>Waka Kotahi Small Bridge</t>
  </si>
  <si>
    <t>Super T bridge 3m- 7m width</t>
  </si>
  <si>
    <t>Concrete, 20 MPa, in-situ, no reinforcement</t>
  </si>
  <si>
    <t>Includes concrete materials  e.g. cement, aggregate, fines</t>
  </si>
  <si>
    <t>Concrete, 30 MPa, in-situ, no reinforcement</t>
  </si>
  <si>
    <t>Concrete, 40 MPa, in-situ, no reinforcement</t>
  </si>
  <si>
    <t>Concrete, 50 MPa, in-situ, no reinforcement</t>
  </si>
  <si>
    <t>Concrete, 30 MPa, precast, no reinforcement</t>
  </si>
  <si>
    <t>Concrete, 45 MPa, precast, no reinforcement</t>
  </si>
  <si>
    <t>tCO2-e/t</t>
  </si>
  <si>
    <t>Portland Cement</t>
  </si>
  <si>
    <t>Grout</t>
  </si>
  <si>
    <t>Mortar</t>
  </si>
  <si>
    <t>Underpass/Box Culvert</t>
  </si>
  <si>
    <t>Internally 4m wide x 3m high</t>
  </si>
  <si>
    <t>Steel Coil</t>
  </si>
  <si>
    <t>Large AT Bridge</t>
  </si>
  <si>
    <t>AT Medium Bridge</t>
  </si>
  <si>
    <t>Hollowcore beam bridge 7m - 14m width</t>
  </si>
  <si>
    <t>AT Small Rural Bridge</t>
  </si>
  <si>
    <t>AT Steel Pedestrian Overbridge</t>
  </si>
  <si>
    <t>Steel Girder Overbridge 3m- 7m width</t>
  </si>
  <si>
    <t>Abutment Width</t>
  </si>
  <si>
    <t>Includes lift shaft and stairs</t>
  </si>
  <si>
    <t>Concrete Pedestrian Raised Boardwalk</t>
  </si>
  <si>
    <t>Concrete Girder with 3-5m width</t>
  </si>
  <si>
    <t>Hollowcore Concrete Pedestrian Bridge</t>
  </si>
  <si>
    <t>Dimensions</t>
  </si>
  <si>
    <t>Carriageway width is the total paved surface including median and shoulders - excludes intersection</t>
  </si>
  <si>
    <t>Minor Road Resurfacing (Chipseal)</t>
  </si>
  <si>
    <t>20mm Chipseal, Bitumen at 2.0 l/m2 for resurfacing as part of the initial construction of the project</t>
  </si>
  <si>
    <t>Sealing Chip</t>
  </si>
  <si>
    <t>Sealing Chip (Tertiary Crushing &amp; Screening, Washed)</t>
  </si>
  <si>
    <t>Bitumen typically applied at 2L/m2 (first/prime coat) or  0.5L/ m2 (tack coat)</t>
  </si>
  <si>
    <t>Hot mix asphalt, 5.5% virgin bitumen (0% RAP)</t>
  </si>
  <si>
    <t>Standard hot asphaltic concrete mix</t>
  </si>
  <si>
    <t>Warm mix asphalt, 5.5% virgin bitumen (0% RAP)</t>
  </si>
  <si>
    <t>Standard warm asphaltic concrete mix</t>
  </si>
  <si>
    <t>20MPa In-situ Concrete</t>
  </si>
  <si>
    <t>Concrete used for pavement strengthening (lean mix)</t>
  </si>
  <si>
    <t>Lime</t>
  </si>
  <si>
    <t>Lime used for subgrade stabilisation</t>
  </si>
  <si>
    <t>Major Urban</t>
  </si>
  <si>
    <t>A Major Urban Road is considered a arterial  or high volume  collector with 55mm AC14, 180mm AC20, 200mm CTB, 100mm AP40</t>
  </si>
  <si>
    <t>Minor Urban</t>
  </si>
  <si>
    <t>A Minor Urban road is considered a low volume collector or local road with 55mm AC14, 220mm  CTB, 250mm GAP65</t>
  </si>
  <si>
    <t xml:space="preserve">Urban Resurfacing </t>
  </si>
  <si>
    <t>55mm AC14</t>
  </si>
  <si>
    <t>Major Rural</t>
  </si>
  <si>
    <t>A Major Rural road is considered a rural arterial or high volume collector with Two Coat Chipseal, 200mm CTB, 250mm GAP 65</t>
  </si>
  <si>
    <t>Minor Rural</t>
  </si>
  <si>
    <t>A Minor Rural Road is considered a low volume collector or local road with Two Coat Chipseal, 200mm Foamed Bitumen, 200mm GAP 65</t>
  </si>
  <si>
    <t>Rural Resurfacing</t>
  </si>
  <si>
    <t>Two Coat Chipseal</t>
  </si>
  <si>
    <t>Hot mix asphalt, standard mix, 5.5% virgin bitumen (0% RAP)</t>
  </si>
  <si>
    <t>Warm mix asphalt, standard mix, 5.5% virgin bitumen (0% RAP)</t>
  </si>
  <si>
    <t>Standard Concrete Kerb and Channel  (Type 1) from AT TDM</t>
  </si>
  <si>
    <t>Standard Basalt  Kerb and Concrete Channel  (400mm x 140mm x 220mm block)</t>
  </si>
  <si>
    <t>Mountable Kerb and Channel (Type 2A) from AT TDM</t>
  </si>
  <si>
    <t>Extruded Cycle Mountable kerb (Type 15) from AT TDM</t>
  </si>
  <si>
    <t>V-Dish Channel Under Traffic (Type 18) from AT TDM</t>
  </si>
  <si>
    <t>Precast box culverts including reinforcement and basecourse. Internal measurements are given</t>
  </si>
  <si>
    <t>Includes 750mm permeable soil and subsoil drain embedded in aggregate from ATCOP</t>
  </si>
  <si>
    <t>Concrete manhole with standard 600mm dia hole, 1.2m riser and flanged base with cast iron lid and reinforcing</t>
  </si>
  <si>
    <t>Standard Street Catch Pit from AT TDM . Includes reinforcement, cast iron frame and grate</t>
  </si>
  <si>
    <t>Kerb block that sits behind grate</t>
  </si>
  <si>
    <t>Includes drainage aggregate in trench</t>
  </si>
  <si>
    <t>Standard one piece wingwall unit with reinforcing and allowance for basecourse</t>
  </si>
  <si>
    <t>Standard precast concrete structure to contain treatment and media and vegetation. Includes reinforcing, basecourse. Internal dimensions</t>
  </si>
  <si>
    <t>Precast reinforced concrete including lid and basecourse</t>
  </si>
  <si>
    <t>A 1,500mm manhole every 50m is assumed</t>
  </si>
  <si>
    <t>A 600mm wingwall and Rockbed every 50m is assumed</t>
  </si>
  <si>
    <t>20MPa concrete with 200mm aggregate for basecourse and subgrade improvement (from AT TDM)</t>
  </si>
  <si>
    <t>25mm of asphalt concrete with 250mm aggregate for basecourse and subgrade improvement (from AT TDM)</t>
  </si>
  <si>
    <t>80mm concrete paver with 40mm bedding sand and 200mm basecourse (from AT COP)</t>
  </si>
  <si>
    <t>At grade timber boardwalk. 150mm dia.  posts, 150x50mm  joists, 200x50mm  bearers, 150x50mm Pine decking</t>
  </si>
  <si>
    <t>Single layer of reinforcing mesh with weight of 4kg/m2</t>
  </si>
  <si>
    <t xml:space="preserve">150mm thick 20 MPa concrete including channel and basecourse. No reinforcing  (from AT TDM) </t>
  </si>
  <si>
    <t xml:space="preserve">200mm thick 20 MPa concrete including channel and basecourse. With reinforcing  (from AT TDM) </t>
  </si>
  <si>
    <t>Continuous flexible rubber traffic separator 80mm high with posts 900mm high</t>
  </si>
  <si>
    <t>Continuous rubber speed cushion 50mm high</t>
  </si>
  <si>
    <t>Standard precast concrete cycle separator island 400mm wide, 5m long, 150mm high</t>
  </si>
  <si>
    <t>Standard precast concrete cycle separator island 600mm wide, 5m long, 150mm high</t>
  </si>
  <si>
    <t>Standard precast concrete cycle separator island 800mm wide, 5m long, 150mm high</t>
  </si>
  <si>
    <t>Mixture of paint and recycled crushed glass for bus lanes or cycleways</t>
  </si>
  <si>
    <t>8m  steel light pole with concrete foundation. Excludes luminaire</t>
  </si>
  <si>
    <t>12m  steel light pole with concrete foundation. Excludes luminaire</t>
  </si>
  <si>
    <t>2m steel pole used for additional reach. Excludes luminaire</t>
  </si>
  <si>
    <t>12.5kg aluminium luminaire</t>
  </si>
  <si>
    <t xml:space="preserve">Assumes 8m pole and luminaire on both sides of road every 30m </t>
  </si>
  <si>
    <t>Conventional Traffic Island in-situ concrete</t>
  </si>
  <si>
    <t>180mm thick in-situ 20Mpa unreinforced concrete with precast kerb - typical width of 2m (from AT TDM)</t>
  </si>
  <si>
    <t>Conventional Traffic Island precast concrete</t>
  </si>
  <si>
    <t>150mm thick precast concrete with reinforcing typical with of 2m  (from AT TDM)</t>
  </si>
  <si>
    <t>Central Median Pedestrian Refuge Island (8m x 1.8m )</t>
  </si>
  <si>
    <t>180mm thick in-situ 20Mpa unreinforced concrete with precast kerb - refuge with gap (from AT TDM)</t>
  </si>
  <si>
    <t>Slip Lane Pedestrian Refuge Triangle  (15m x 5m)</t>
  </si>
  <si>
    <t>180mm thick in-situ 20Mpa unreinforced concrete with precast kerb - islands with gaps (from AT TDM)</t>
  </si>
  <si>
    <t>Planted Side Island</t>
  </si>
  <si>
    <t>180mm thick in-situ 20Mpa unreinforced concrete with precast kerb - includes topsoil  (from AT TDM)</t>
  </si>
  <si>
    <t>Median Planting bed. 1.8m width.</t>
  </si>
  <si>
    <t>Concrete Speed Table (includes ramps)</t>
  </si>
  <si>
    <t>300mm thick 40Mpa concrete with 2 layers of 663 mesh (from AT TDM)</t>
  </si>
  <si>
    <t>Asphalt Speed Table (includes ramps)</t>
  </si>
  <si>
    <t>150mm thick asphalt concrete (from AT TDM)</t>
  </si>
  <si>
    <t>Liquid fuel combustion from demolition of existing structures using conventional plant (based on house demolition)</t>
  </si>
  <si>
    <t>Liquid fuel combustion from vegetation removal  using conventional plant</t>
  </si>
  <si>
    <t>Liquid fuel combustion from earthworks using conventional plant</t>
  </si>
  <si>
    <t>500mm x 500 mm x 500 mm Stonebox unit</t>
  </si>
  <si>
    <t xml:space="preserve">No. </t>
  </si>
  <si>
    <t>Gabion box with steel wire</t>
  </si>
  <si>
    <t>Concrete Block Small</t>
  </si>
  <si>
    <t>Area of retained face &lt;50m2  includes face material, backfill and drainage</t>
  </si>
  <si>
    <t xml:space="preserve">Concrete Block Medium </t>
  </si>
  <si>
    <t>Area of retained face 50-100 m2 includes face material, backfill and drainage</t>
  </si>
  <si>
    <t>Concrete Block Large</t>
  </si>
  <si>
    <t>Area of retained face &gt;100 m2 includes face material, backfill and drainage</t>
  </si>
  <si>
    <t>MSE Small</t>
  </si>
  <si>
    <t>MSE Medium</t>
  </si>
  <si>
    <t>MSE Large</t>
  </si>
  <si>
    <t>Timber Pole Small</t>
  </si>
  <si>
    <t>Timber Pole Medium</t>
  </si>
  <si>
    <t>Timber Pole Large</t>
  </si>
  <si>
    <t>Nail/Anchor Cut Face with Shotcrete Facing Small</t>
  </si>
  <si>
    <t>Nail/Anchor Cut Face with Shotcrete Facing Medium</t>
  </si>
  <si>
    <t>Nail/Anchor Cut Face with Shotcrete Facing Large</t>
  </si>
  <si>
    <t>Wooden Lagging Steel Pile Small</t>
  </si>
  <si>
    <t>Wooden Lagging Steel Pile Medium</t>
  </si>
  <si>
    <t>Wooden Lagging Steel Pile Large</t>
  </si>
  <si>
    <t>Concrete Panel Steel Pile Small</t>
  </si>
  <si>
    <t>Concrete Panel Steel Pile Medium</t>
  </si>
  <si>
    <t>Concrete Panel Steel Pile Large</t>
  </si>
  <si>
    <t>Concrete Secant Pile Small</t>
  </si>
  <si>
    <t>Concrete Secant Pile Medium</t>
  </si>
  <si>
    <t>Concrete Secant Pile Large</t>
  </si>
  <si>
    <t>L Shape Concrete Small</t>
  </si>
  <si>
    <t>L Shape Concrete Medium</t>
  </si>
  <si>
    <t>L Shape Concrete Large</t>
  </si>
  <si>
    <t>225 mm</t>
  </si>
  <si>
    <t>Reinforced Concrete Rubber Ring Jointed (RCRRJ Class 4) includes reinforcement and trench aggregate allowance</t>
  </si>
  <si>
    <t>300 mm</t>
  </si>
  <si>
    <t>375 mm</t>
  </si>
  <si>
    <t>450 mm</t>
  </si>
  <si>
    <t>525 mm</t>
  </si>
  <si>
    <t>600 mm</t>
  </si>
  <si>
    <t>675 mm</t>
  </si>
  <si>
    <t>750 mm</t>
  </si>
  <si>
    <t>900 mm</t>
  </si>
  <si>
    <t>1350 mm</t>
  </si>
  <si>
    <t>100 mm</t>
  </si>
  <si>
    <t>Unplasticised Poly Vinyl Chloride (uPVC) pressure pipe for use in transmission, distribution and reticulation water supply,</t>
  </si>
  <si>
    <t>150 mm</t>
  </si>
  <si>
    <t>pressure sewer infrastructure, wastewater and irrigation. Includes trench aggregate allowance</t>
  </si>
  <si>
    <t>200 mm</t>
  </si>
  <si>
    <t>250 mm</t>
  </si>
  <si>
    <t>175 mm</t>
  </si>
  <si>
    <t>culverts and transmission, reticulation drainage of sewerage, and municipal or industrial wastewater</t>
  </si>
  <si>
    <t>475 mm</t>
  </si>
  <si>
    <t>500 mm</t>
  </si>
  <si>
    <t>20 mm</t>
  </si>
  <si>
    <t xml:space="preserve">Polyethylene (PE) pipes for bulk water transmission, distribution and reticulation, pressure sewers, and trenchless </t>
  </si>
  <si>
    <t>25 mm</t>
  </si>
  <si>
    <t>installations for pipeline renewals or replacements. Includes trench aggregate allowance</t>
  </si>
  <si>
    <t>32 mm</t>
  </si>
  <si>
    <t>40 mm</t>
  </si>
  <si>
    <t>50 mm</t>
  </si>
  <si>
    <t>63 mm</t>
  </si>
  <si>
    <t>75 mm</t>
  </si>
  <si>
    <t>90 mm</t>
  </si>
  <si>
    <t>110 mm</t>
  </si>
  <si>
    <t>125 mm</t>
  </si>
  <si>
    <t>140 mm</t>
  </si>
  <si>
    <t>160 mm</t>
  </si>
  <si>
    <t>180 mm</t>
  </si>
  <si>
    <t>280 mm</t>
  </si>
  <si>
    <t>315 mm</t>
  </si>
  <si>
    <t>355 mm</t>
  </si>
  <si>
    <t>400 mm</t>
  </si>
  <si>
    <t>560 mm</t>
  </si>
  <si>
    <t>630 mm</t>
  </si>
  <si>
    <t>710 mm</t>
  </si>
  <si>
    <t>4  steel wire ropes barrier  with posts every 3m (flexible barrier)</t>
  </si>
  <si>
    <t>Steel W beam with posts every 1.9m (semi-rigid barrier)</t>
  </si>
  <si>
    <t>Precast reinforced concrete barrier with footing</t>
  </si>
  <si>
    <t xml:space="preserve">Plastic woven silt sediment control fabric with steel y posts every 2m </t>
  </si>
  <si>
    <t>Concrete noise wall with UC posts, concrete panel and footings with a height of 3m</t>
  </si>
  <si>
    <t>1.8m high chain-link fence with concrete footings</t>
  </si>
  <si>
    <t>1.3m high wire fence (AT TDM)</t>
  </si>
  <si>
    <t>2.1m high timber fence</t>
  </si>
  <si>
    <t>1m2 sign face with 3m aluminium pole</t>
  </si>
  <si>
    <t>1m2 sign face with 3m steel pole</t>
  </si>
  <si>
    <t>&lt;6m2 sign face with 3m steel pole and framing</t>
  </si>
  <si>
    <t>&lt;9m2 sign face with 3m steel pole and framing</t>
  </si>
  <si>
    <t>8m high pole with 10m overhang, piles and sign area of &lt;16m2</t>
  </si>
  <si>
    <t>7m high pole crossing corridor with piles and sign area of &lt;30m2</t>
  </si>
  <si>
    <t>Local Streets</t>
  </si>
  <si>
    <t>Based on estimate of 32 small signs, and 1 medium sign per km</t>
  </si>
  <si>
    <t>Urban Connectors</t>
  </si>
  <si>
    <t>Based on estimate of 38 small signs, and 1 medium sign per km</t>
  </si>
  <si>
    <t>Urban State Highway</t>
  </si>
  <si>
    <t>Based on estimate of 22 small signs, 15 medium signs and 1 large sign per km</t>
  </si>
  <si>
    <t>Urban Motorway</t>
  </si>
  <si>
    <t>Based on estimate of 14 small signs, 2 medium signs, 2 large signs ,  1 single gantry and 1 double gantry per km</t>
  </si>
  <si>
    <t>1500 minor shelter including slab base</t>
  </si>
  <si>
    <t>1500 intermediate  shelter including slab base</t>
  </si>
  <si>
    <t>1.8m long timber seat</t>
  </si>
  <si>
    <t>0.9m high U shape steel cycle stand</t>
  </si>
  <si>
    <t>1m high 60L steel tilt bin</t>
  </si>
  <si>
    <t>2.4m wide 0 .45m high</t>
  </si>
  <si>
    <t>0.9m high 110mm diameter steel pole</t>
  </si>
  <si>
    <t>RipRap</t>
  </si>
  <si>
    <t>RipRap used for backfilling</t>
  </si>
  <si>
    <t>Topsoil</t>
  </si>
  <si>
    <t>Topsoil used for landscaping</t>
  </si>
  <si>
    <t>General</t>
  </si>
  <si>
    <t>1mm layer of paint</t>
  </si>
  <si>
    <t>100mm Line</t>
  </si>
  <si>
    <t>300mm Line</t>
  </si>
  <si>
    <t>Small Symbol (&lt;1m2)</t>
  </si>
  <si>
    <t>i.e. Cycle symbols, fire hydrants, disability symbols</t>
  </si>
  <si>
    <t>Medium Symbol (1-2.5m2)</t>
  </si>
  <si>
    <t xml:space="preserve">i.e.  Intersection arrows </t>
  </si>
  <si>
    <t>Large Symbol (&gt;2.5m2)</t>
  </si>
  <si>
    <t>i.e. give way symbols, lettering</t>
  </si>
  <si>
    <t>Traffic Signal (standard) (4m)</t>
  </si>
  <si>
    <t>Type 1 Nasra Pole, 100NB hot dipped galv steel pipe with concrete footing</t>
  </si>
  <si>
    <t>Traffic Signal (JUMA) (8m)</t>
  </si>
  <si>
    <t>Type 3s and 5s Joint Use Mast Arm (JUMA), 100NB hot dipped galv steel pipe with concrete footing</t>
  </si>
  <si>
    <t>Traffic Signal (JUSP) (12m)</t>
  </si>
  <si>
    <t>Nominal 12.1m Steel Octagonal Joint Use Streetlighting Pole (JUSP) including concrete footing</t>
  </si>
  <si>
    <t>1 Aspect Traffic Lantern</t>
  </si>
  <si>
    <t>1 light with aluminium housing</t>
  </si>
  <si>
    <t>2 Aspect Traffic Lantern</t>
  </si>
  <si>
    <t>2 light with aluminium housing</t>
  </si>
  <si>
    <t>3 Aspect Traffic Lantern</t>
  </si>
  <si>
    <t>3 light with aluminium housing</t>
  </si>
  <si>
    <t>4 Aspect Traffic Lantern</t>
  </si>
  <si>
    <t>4 light with aluminium housing</t>
  </si>
  <si>
    <t>5 Aspect Traffic Lantern</t>
  </si>
  <si>
    <t>5 light with aluminium housing</t>
  </si>
  <si>
    <t>6 Aspect Traffic Lantern</t>
  </si>
  <si>
    <t>6 light with aluminium housing</t>
  </si>
  <si>
    <t>Standard Rail</t>
  </si>
  <si>
    <t xml:space="preserve">Standard single track rail 50.6kg/m, includes ballast and structural fill </t>
  </si>
  <si>
    <t>Double Rail</t>
  </si>
  <si>
    <t>Standard double track rail 50.6kg/m</t>
  </si>
  <si>
    <t>Concrete posts</t>
  </si>
  <si>
    <t>6.5m post with foundation</t>
  </si>
  <si>
    <t>250 UC steel posts</t>
  </si>
  <si>
    <t>310 UC steel posts</t>
  </si>
  <si>
    <t xml:space="preserve">Double Steel Gantry </t>
  </si>
  <si>
    <t>310 UC masts with post across track and foundation and base plates</t>
  </si>
  <si>
    <t>Catenary Wires</t>
  </si>
  <si>
    <t>Copper, aluminium and steel wire cables for contact wires, catenary wire and earth wire</t>
  </si>
  <si>
    <t>Standard Cess Drain</t>
  </si>
  <si>
    <t>Surface drainage on both sides of the track, includes sump &amp; lead every 50m</t>
  </si>
  <si>
    <t>Subsurface Drain</t>
  </si>
  <si>
    <t>Subsurface drainage on both sides of the track, includes sump &amp; lead every 50m</t>
  </si>
  <si>
    <t xml:space="preserve">Large Precast Concrete Trough length (with piers) </t>
  </si>
  <si>
    <t>Based off 4.5m wide concrete trough bridge, input length of bridge</t>
  </si>
  <si>
    <t>Large Steel Girder Bridge length (with piers)</t>
  </si>
  <si>
    <t>Based off 4.5m wide steel girder bridge,  input length of entire bridge</t>
  </si>
  <si>
    <t>Medium Steel Girder Bridge length (no piers)</t>
  </si>
  <si>
    <t>Based off 4.5m wide steel  girder bridge, input length of entire bridge</t>
  </si>
  <si>
    <t>Small Super-T Bridge length (no piers)</t>
  </si>
  <si>
    <t>Based off 4.5m wide Super-T bridge, input length of entire bridge</t>
  </si>
  <si>
    <t>Standard 3m x 3m Precast Concrete Culvert</t>
  </si>
  <si>
    <t>Per m quantity based off length of culvert with additional allowance added for wingwalls and apron slab</t>
  </si>
  <si>
    <t>Diesel 5% Biodiesel Blend</t>
  </si>
  <si>
    <t>Petrol</t>
  </si>
  <si>
    <t>Asphalt &amp; Bitumen</t>
  </si>
  <si>
    <t xml:space="preserve">km </t>
  </si>
  <si>
    <t>Only accounts for travel within NZ</t>
  </si>
  <si>
    <t xml:space="preserve">Concrete and Cement </t>
  </si>
  <si>
    <t>Metal</t>
  </si>
  <si>
    <t>Plastic</t>
  </si>
  <si>
    <t>Wood</t>
  </si>
  <si>
    <t>Other</t>
  </si>
  <si>
    <t>Ballast</t>
  </si>
  <si>
    <t>Natural Sand</t>
  </si>
  <si>
    <t>Recycled Crushed Glass</t>
  </si>
  <si>
    <t>Recycled Crushed Concrete</t>
  </si>
  <si>
    <t>HMA 5.5% B, 0% RAP</t>
  </si>
  <si>
    <t>Hot Mix Asphalt, Virgin Bitumen %, Recycled Asphalt Pavement (RAP) %</t>
  </si>
  <si>
    <t>HMA 4.5% B, 20% RAP</t>
  </si>
  <si>
    <t>HMA 4% B, 30% RAP</t>
  </si>
  <si>
    <t>HMA 3.5% B, 40% RAP</t>
  </si>
  <si>
    <t>If both m3 and t are input, the m3 input will be progressed in the calculations</t>
  </si>
  <si>
    <t>HMA 3% B, 40-60% RAP</t>
  </si>
  <si>
    <t>HMA &lt;2.5% B, &gt;60% RAP</t>
  </si>
  <si>
    <t>WMA 5.5% B, 0% RAP</t>
  </si>
  <si>
    <t>Warm Mix Asphalt, Virgin Bitumen %, Recycled Asphalt Pavement (RAP) %</t>
  </si>
  <si>
    <t>WMA 4.5% B, 20% RAP</t>
  </si>
  <si>
    <t>WMA 4.5% B, 30% RAP</t>
  </si>
  <si>
    <t>WMA 3.5% B, 40% RAP</t>
  </si>
  <si>
    <t>WMA 3% B, 40-60% RAP</t>
  </si>
  <si>
    <t>WMA &lt;2.5% B, &gt;60% RAP</t>
  </si>
  <si>
    <t>Cement use for discrete applications e.g. basecourse cement stabilisation (do not include cement used in concrete volumes which is included below)</t>
  </si>
  <si>
    <t>In-situ 20 MPa, (30% PFA)</t>
  </si>
  <si>
    <t>In-situ 20 MPa, (35% PFA)</t>
  </si>
  <si>
    <t>In-situ 30 MPa, (OPC)</t>
  </si>
  <si>
    <t>OPC - Ordinary Portland Cement</t>
  </si>
  <si>
    <t>In-situ 30 MPa, (20% PFA)</t>
  </si>
  <si>
    <t>PFA - Pulverised Fuel Ash (Fly Ash)</t>
  </si>
  <si>
    <t>In-situ 30 MPa, (30% PFA)</t>
  </si>
  <si>
    <t>In-situ 30 MPa, (35% PFA)</t>
  </si>
  <si>
    <t>In-situ 40 MPa, (OPC)</t>
  </si>
  <si>
    <t>In-situ 40 MPa, (20% PFA)</t>
  </si>
  <si>
    <t>In-situ 40 MPa, (30% PFA)</t>
  </si>
  <si>
    <t>In-situ 40 MPa, (35% PFA)</t>
  </si>
  <si>
    <t>In-situ 50 MPa, (OPC)</t>
  </si>
  <si>
    <t>In-situ 50 MPa, (20% PFA)</t>
  </si>
  <si>
    <t>In-situ 50 MPa, (30% PFA)</t>
  </si>
  <si>
    <t>In-situ 50 MPa, (35% PFA)</t>
  </si>
  <si>
    <t>In-situ Concrete (Generic)</t>
  </si>
  <si>
    <t>Precast 30 MPa, (OPC)</t>
  </si>
  <si>
    <t>Precast 30 MPa, (20% PFA)</t>
  </si>
  <si>
    <t>Precast 30 MPa, (30% PFA)</t>
  </si>
  <si>
    <t>Precast 30 MPa, (35% PFA)</t>
  </si>
  <si>
    <t>Precast 45 MPa, (OPC)</t>
  </si>
  <si>
    <t>Precast 45 MPa, (20% PFA)</t>
  </si>
  <si>
    <t>Precast 45 MPa, (30% PFA)</t>
  </si>
  <si>
    <t>Precast 45 MPa, (35% PFA)</t>
  </si>
  <si>
    <t>Precast Concrete (Generic)</t>
  </si>
  <si>
    <t>Aluminium Australia</t>
  </si>
  <si>
    <t>Iron</t>
  </si>
  <si>
    <t>Rail products</t>
  </si>
  <si>
    <t>Steel Reinforcing Bar (Aus)</t>
  </si>
  <si>
    <t>Steel Coil (Aus)</t>
  </si>
  <si>
    <t>Steel Reinforcing Mesh (Aus)</t>
  </si>
  <si>
    <t>HDPE</t>
  </si>
  <si>
    <t>PE Pipe</t>
  </si>
  <si>
    <t>PVC Pressure Pipe</t>
  </si>
  <si>
    <t>PVC Gravity Pipe</t>
  </si>
  <si>
    <t>Timber Sustainable</t>
  </si>
  <si>
    <t>From sustainable forest management practices (BRANZ, 2022)</t>
  </si>
  <si>
    <t>Timber Unsustainable</t>
  </si>
  <si>
    <t>From unsustainable forest management practices (BRANZ, 2022)</t>
  </si>
  <si>
    <t>Glass</t>
  </si>
  <si>
    <t>Paint - solvent based</t>
  </si>
  <si>
    <t>Paint - water based</t>
  </si>
  <si>
    <t>Reporting year</t>
  </si>
  <si>
    <t>Reporting Quarter</t>
  </si>
  <si>
    <t>Concrete material source</t>
  </si>
  <si>
    <t>Data Relibaility</t>
  </si>
  <si>
    <t>Month</t>
  </si>
  <si>
    <t>year/month</t>
  </si>
  <si>
    <t>RAP</t>
  </si>
  <si>
    <t>Headings</t>
  </si>
  <si>
    <t>Q1</t>
  </si>
  <si>
    <t>Allied</t>
  </si>
  <si>
    <t>Good</t>
  </si>
  <si>
    <t>2023/24</t>
  </si>
  <si>
    <t>Q2</t>
  </si>
  <si>
    <t>Firth</t>
  </si>
  <si>
    <t>Fair</t>
  </si>
  <si>
    <t>2024/25</t>
  </si>
  <si>
    <t>Q3</t>
  </si>
  <si>
    <t>Poor</t>
  </si>
  <si>
    <t>40%</t>
  </si>
  <si>
    <t>2025/26</t>
  </si>
  <si>
    <t>Q4</t>
  </si>
  <si>
    <t>Not Available</t>
  </si>
  <si>
    <t>60%</t>
  </si>
  <si>
    <t>2026/27</t>
  </si>
  <si>
    <t>&gt;60%</t>
  </si>
  <si>
    <t>2027/28</t>
  </si>
  <si>
    <t>2028/29</t>
  </si>
  <si>
    <t>2029/30</t>
  </si>
  <si>
    <t>2030/31</t>
  </si>
  <si>
    <t>2031/32</t>
  </si>
  <si>
    <t>2032/33</t>
  </si>
  <si>
    <t>2033/34</t>
  </si>
  <si>
    <t>2034/35</t>
  </si>
  <si>
    <t>Select Month</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</si>
  <si>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</si>
  <si>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</si>
  <si>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</si>
  <si>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</si>
  <si>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</si>
  <si>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</si>
  <si>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</si>
  <si>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</si>
  <si>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</si>
  <si>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</si>
  <si>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</si>
  <si>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</si>
  <si>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</si>
  <si>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</si>
  <si>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</si>
  <si>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</si>
  <si>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</si>
  <si>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</si>
  <si>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</si>
  <si>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</si>
  <si>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</si>
  <si>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Category</t>
  </si>
  <si>
    <t>Lookup codes</t>
  </si>
  <si>
    <t>Description</t>
  </si>
  <si>
    <t>Source</t>
  </si>
  <si>
    <t>Column1</t>
  </si>
  <si>
    <t>Material</t>
  </si>
  <si>
    <t>Density used in calculator (t/m3)</t>
  </si>
  <si>
    <t>kgCO2e</t>
  </si>
  <si>
    <t>WSP Estimate</t>
  </si>
  <si>
    <t>ISCA Materials Calculator NZ V2.0</t>
  </si>
  <si>
    <t>Timber, Structural (hardwood)</t>
  </si>
  <si>
    <t>No0%</t>
  </si>
  <si>
    <t>kgCO2e/t</t>
  </si>
  <si>
    <t>Fuel</t>
  </si>
  <si>
    <t>kgCO2e/l</t>
  </si>
  <si>
    <t>MfE 2020</t>
  </si>
  <si>
    <t>Copper</t>
  </si>
  <si>
    <t>Just bitumen</t>
  </si>
  <si>
    <t>tCO2e/t</t>
  </si>
  <si>
    <t>National-Asphalt-EPD-090721.pdf (boral.com.au)</t>
  </si>
  <si>
    <t>Timber, Structural (softwood)</t>
  </si>
  <si>
    <t>For all of NZ, assumes 50MPa strength</t>
  </si>
  <si>
    <t xml:space="preserve">MfE 2020 </t>
  </si>
  <si>
    <t>Crushed Blast Furnace Slag</t>
  </si>
  <si>
    <t>Manufactured Sand</t>
  </si>
  <si>
    <t>Gravel</t>
  </si>
  <si>
    <t>Asphalt (RAP), applied as base, aggregate or fill material</t>
  </si>
  <si>
    <t>Concrete Culvert, Assuming 3% rebar, 97% 40MPa concrete, similar to ISCA 0.29</t>
  </si>
  <si>
    <t>kgCO2e/m</t>
  </si>
  <si>
    <t>Sand</t>
  </si>
  <si>
    <t>Reclaimed timber</t>
  </si>
  <si>
    <t>Diesel - Transport</t>
  </si>
  <si>
    <t>tCO2-e/l</t>
  </si>
  <si>
    <t>Electricity emission factor including transmission and distribution losses</t>
  </si>
  <si>
    <t>kgCO2e/kWh</t>
  </si>
  <si>
    <t>MfE 2018</t>
  </si>
  <si>
    <t>Uses 2018 emission factor. Includes transmission and distribution losses.</t>
  </si>
  <si>
    <t>CLT (Cross-Laminated Timber)</t>
  </si>
  <si>
    <t>Safety</t>
  </si>
  <si>
    <t>Construction of barrier</t>
  </si>
  <si>
    <t>QS Analysis Estimate</t>
  </si>
  <si>
    <t>Plywood</t>
  </si>
  <si>
    <t>Foam bitumen (3% water)</t>
  </si>
  <si>
    <t>Hot mix asphalt, &lt;2.5% virgin bitumen (&gt;60% RAP)</t>
  </si>
  <si>
    <t>No&gt;60%</t>
  </si>
  <si>
    <t>Hot mix asphalt, 2.5-3.4% virgin bitumen (40-60% RAP)</t>
  </si>
  <si>
    <t>No60%</t>
  </si>
  <si>
    <t>Hot mix asphalt, 3.5% virgin bitumen (40% RAP)</t>
  </si>
  <si>
    <t>No40%</t>
  </si>
  <si>
    <t>Hot mix asphalt, 4.5% virgin bitumen (20% RAP)</t>
  </si>
  <si>
    <t>No20%</t>
  </si>
  <si>
    <t>Hydraulic Lime</t>
  </si>
  <si>
    <t>tCO2-e/kg</t>
  </si>
  <si>
    <t>Zinc</t>
  </si>
  <si>
    <t>Petrol emission factor</t>
  </si>
  <si>
    <t>General Fill, Spoil</t>
  </si>
  <si>
    <t>Structural, columns and beams</t>
  </si>
  <si>
    <t>MfE 2020, BlueScope Steel (2015)</t>
  </si>
  <si>
    <t>Steel, structural, columns and beams</t>
  </si>
  <si>
    <t>wire rope barrier</t>
  </si>
  <si>
    <t>Paint</t>
  </si>
  <si>
    <t>Articulated Truck</t>
  </si>
  <si>
    <t>tCO2-e/km/t</t>
  </si>
  <si>
    <t>MDF (Medium Density Fibreboard)</t>
  </si>
  <si>
    <t>Particleboard</t>
  </si>
  <si>
    <t>Warm mix asphalt, &lt;2.5% virgin bitumen (&gt;60% RAP)</t>
  </si>
  <si>
    <t>Yes&gt;60%</t>
  </si>
  <si>
    <t>Warm mix asphalt, 2.5-3.4% virgin bitumen (40-60% RAP)</t>
  </si>
  <si>
    <t>Yes60%</t>
  </si>
  <si>
    <t>Warm mix asphalt, 3.5% virgin bitumen (40% RAP)</t>
  </si>
  <si>
    <t>Yes40%</t>
  </si>
  <si>
    <t>Warm mix asphalt, 4.5% virgin bitumen (20% RAP)</t>
  </si>
  <si>
    <t>Yes20%</t>
  </si>
  <si>
    <t>Yes0%</t>
  </si>
  <si>
    <t>LCAP model</t>
  </si>
  <si>
    <t>Bitumen, 60%+  RAP, Emulsified</t>
  </si>
  <si>
    <t>Bitumen, 40-60%  RAP, Emulsified</t>
  </si>
  <si>
    <t>Bitumen, 20-40% RAP, Emulsified</t>
  </si>
  <si>
    <t>Bitumen, 0-20%  RAP, Emulsified</t>
  </si>
  <si>
    <t>Bitumen, 0%  RAP, Emulsified</t>
  </si>
  <si>
    <t>Bitumen, 60%+  RAP</t>
  </si>
  <si>
    <t>Bitumen, 40-60%  RAP</t>
  </si>
  <si>
    <t>Bitumen, 0%  RAP</t>
  </si>
  <si>
    <t>Bitumen, 0-20%  RAP</t>
  </si>
  <si>
    <t>Bitumen, 20-40%  RAP</t>
  </si>
  <si>
    <t>Asphalt Mix 4</t>
  </si>
  <si>
    <t>Asphalt Mix 5</t>
  </si>
  <si>
    <t>Asphalt Mix 6</t>
  </si>
  <si>
    <t>Asphalt Mix 7</t>
  </si>
  <si>
    <t>Asphalt Mix 8</t>
  </si>
  <si>
    <t>Asphalt Mix 9</t>
  </si>
  <si>
    <t>kgCO2e/m3</t>
  </si>
  <si>
    <t>kgCO2-e/t</t>
  </si>
  <si>
    <t xml:space="preserve">kgCO2-e/km </t>
  </si>
  <si>
    <t>kgCO2-e/m2</t>
  </si>
  <si>
    <t>kgCO2-e/kWh</t>
  </si>
  <si>
    <t>kgCO2-e/m</t>
  </si>
  <si>
    <t>kgCO2-e/L</t>
  </si>
  <si>
    <t>kgCO2-e/m3</t>
  </si>
  <si>
    <t>kgCO2-e/No.</t>
  </si>
  <si>
    <t>Selected</t>
  </si>
  <si>
    <t>Sign Area (m2)</t>
  </si>
  <si>
    <t>kgCO2e/m2</t>
  </si>
  <si>
    <t>Aluminium Australia * Aluminium Density * (depth 5mm)</t>
  </si>
  <si>
    <t>Group</t>
  </si>
  <si>
    <t>Drainage - Second Order</t>
  </si>
  <si>
    <t>Street Lighting -Second Order</t>
  </si>
  <si>
    <t>Safety Barriers and Fencing - Second Order</t>
  </si>
  <si>
    <t>Safety Barriers and Fencing - Third Order</t>
  </si>
  <si>
    <t>Street Funiture - Third Order</t>
  </si>
  <si>
    <t>Total</t>
  </si>
  <si>
    <t>Contract Type</t>
  </si>
  <si>
    <t>Contract Tier</t>
  </si>
  <si>
    <t>Reporting Period</t>
  </si>
  <si>
    <t>Period</t>
  </si>
  <si>
    <t>Monthly</t>
  </si>
  <si>
    <t>Type</t>
  </si>
  <si>
    <t>Maintenance</t>
  </si>
  <si>
    <t>Construction</t>
  </si>
  <si>
    <t>Emissions units</t>
  </si>
  <si>
    <t xml:space="preserve">Street Lighting </t>
  </si>
  <si>
    <t>Contract tier 1-3 depending on the dollar spend of the project or contract</t>
  </si>
  <si>
    <t>Either a construction project or maintenance and operations reporting</t>
  </si>
  <si>
    <t>Name of the project or contract</t>
  </si>
  <si>
    <t>Annual</t>
  </si>
  <si>
    <t>Monthly reporting splits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</si>
</sst>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mmm"/>
    <numFmt numFmtId="166" formatCode="_-* #,##0_-;\-* #,##0_-;_-* &quot;-&quot;?_-;_-@_-"/>
    <numFmt numFmtId="167" formatCode="0.000"/>
    <numFmt numFmtId="168" formatCode="_-* #,##0.0000_-;\-* #,##0.0000_-;_-* &quot;-&quot;??_-;_-@_-"/>
    <numFmt numFmtId="169" formatCode="_-* #,##0.0_-;\-* #,##0.0_-;_-* &quot;-&quot;??_-;_-@_-"/>
  </numFmts>
  <fonts count="29" x14ac:knownFonts="1">
    <font>
      <sz val="11"/>
      <color theme="1"/>
      <name val="Calibri"/>
      <family val="2"/>
      <scheme val="minor"/>
    </font>
    <font>
      <b/>
      <sz val="15"/>
      <color theme="3"/>
      <name val="Calibri"/>
      <family val="2"/>
      <scheme val="minor"/>
    </font>
    <font>
      <sz val="11"/>
      <color rgb="FF3F3F76"/>
      <name val="Calibri"/>
      <family val="2"/>
      <scheme val="minor"/>
    </font>
    <font>
      <sz val="11"/>
      <name val="Source Sans Pro"/>
      <family val="2"/>
    </font>
    <font>
      <b/>
      <sz val="15"/>
      <color theme="3"/>
      <name val="Source Sans Pro"/>
      <family val="2"/>
    </font>
    <font>
      <sz val="11"/>
      <color theme="1"/>
      <name val="Source Sans Pro"/>
      <family val="2"/>
    </font>
    <font>
      <sz val="11"/>
      <color rgb="FF000000"/>
      <name val="Source Sans Pro"/>
      <family val="2"/>
    </font>
    <font>
      <sz val="12"/>
      <color rgb="FF000000"/>
      <name val="Source Sans Pro"/>
      <family val="2"/>
    </font>
    <font>
      <b/>
      <u/>
      <sz val="48"/>
      <color rgb="FF00456A"/>
      <name val="Source Sans Pro"/>
      <family val="2"/>
    </font>
    <font>
      <sz val="14"/>
      <color theme="1"/>
      <name val="Source Sans Pro"/>
      <family val="2"/>
    </font>
    <font>
      <i/>
      <sz val="10"/>
      <color theme="1"/>
      <name val="Source Sans Pro"/>
      <family val="2"/>
    </font>
    <font>
      <sz val="8"/>
      <name val="Calibri"/>
      <family val="2"/>
      <scheme val="minor"/>
    </font>
    <font>
      <sz val="15"/>
      <color rgb="FF000000"/>
      <name val="Source Sans Pro"/>
      <family val="2"/>
    </font>
    <font>
      <u/>
      <sz val="11"/>
      <color theme="10"/>
      <name val="Calibri"/>
      <family val="2"/>
      <scheme val="minor"/>
    </font>
    <font>
      <b/>
      <sz val="15"/>
      <color rgb="FF00456A"/>
      <name val="Source Sans Pro"/>
      <family val="2"/>
    </font>
    <font>
      <sz val="14"/>
      <color theme="1"/>
      <name val="Calibri"/>
      <family val="2"/>
      <scheme val="minor"/>
    </font>
    <font>
      <sz val="14"/>
      <name val="Source Sans Pro"/>
      <family val="2"/>
    </font>
    <font>
      <sz val="11"/>
      <color theme="1"/>
      <name val="Calibri"/>
      <family val="2"/>
      <scheme val="minor"/>
    </font>
    <font>
      <b/>
      <sz val="15"/>
      <color theme="3"/>
      <name val="Calibri"/>
      <family val="2"/>
    </font>
    <font>
      <b/>
      <sz val="11"/>
      <color theme="0"/>
      <name val="Calibri"/>
      <family val="2"/>
    </font>
    <font>
      <sz val="11"/>
      <color theme="1"/>
      <name val="Calibri"/>
      <family val="2"/>
    </font>
    <font>
      <sz val="10"/>
      <color theme="1"/>
      <name val="Arial"/>
      <family val="2"/>
    </font>
    <font>
      <sz val="11"/>
      <color rgb="FF000000"/>
      <name val="Calibri"/>
      <family val="2"/>
      <scheme val="minor"/>
    </font>
    <font>
      <b/>
      <sz val="15"/>
      <color rgb="FF00456A"/>
      <name val="Calibri"/>
      <family val="2"/>
    </font>
    <font>
      <b/>
      <sz val="10.5"/>
      <color rgb="FF00456A"/>
      <name val="Source Sans Pro"/>
      <family val="2"/>
    </font>
    <font>
      <sz val="10.5"/>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s>
  <fills count="20">
    <fill>
      <patternFill patternType="none"/>
    </fill>
    <fill>
      <patternFill patternType="gray125"/>
    </fill>
    <fill>
      <patternFill patternType="solid">
        <fgColor rgb="FFFFCC99"/>
      </patternFill>
    </fill>
    <fill>
      <patternFill patternType="solid">
        <fgColor rgb="FFE8F0AE"/>
        <bgColor indexed="64"/>
      </patternFill>
    </fill>
    <fill>
      <patternFill patternType="solid">
        <fgColor theme="0" tint="-4.9989318521683403E-2"/>
        <bgColor indexed="64"/>
      </patternFill>
    </fill>
    <fill>
      <patternFill patternType="solid">
        <fgColor rgb="FFDDEBF7"/>
        <bgColor rgb="FF000000"/>
      </patternFill>
    </fill>
    <fill>
      <patternFill patternType="solid">
        <fgColor rgb="FFC9DB41"/>
        <bgColor indexed="64"/>
      </patternFill>
    </fill>
    <fill>
      <patternFill patternType="solid">
        <fgColor rgb="FFBDD7EE"/>
        <bgColor rgb="FF000000"/>
      </patternFill>
    </fill>
    <fill>
      <patternFill patternType="solid">
        <fgColor theme="4"/>
        <bgColor theme="4"/>
      </patternFill>
    </fill>
    <fill>
      <patternFill patternType="solid">
        <fgColor theme="0" tint="-0.14996795556505021"/>
        <bgColor indexed="64"/>
      </patternFill>
    </fill>
    <fill>
      <patternFill patternType="solid">
        <fgColor theme="1" tint="0.499984740745262"/>
        <bgColor indexed="64"/>
      </patternFill>
    </fill>
    <fill>
      <patternFill patternType="solid">
        <fgColor rgb="FFFFFF00"/>
        <bgColor rgb="FF000000"/>
      </patternFill>
    </fill>
    <fill>
      <patternFill patternType="solid">
        <fgColor rgb="FFED7D31"/>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theme="9" tint="0.79998168889431442"/>
        <bgColor theme="9" tint="0.79998168889431442"/>
      </patternFill>
    </fill>
    <fill>
      <patternFill patternType="solid">
        <fgColor rgb="FFC6EFCE"/>
        <bgColor indexed="64"/>
      </patternFill>
    </fill>
    <fill>
      <patternFill patternType="solid">
        <fgColor rgb="FFFFEB9C"/>
        <bgColor indexed="64"/>
      </patternFill>
    </fill>
    <fill>
      <patternFill patternType="solid">
        <fgColor rgb="FFDDEBF7"/>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00456A"/>
      </left>
      <right style="thin">
        <color rgb="FF00456A"/>
      </right>
      <top style="thin">
        <color rgb="FF00456A"/>
      </top>
      <bottom style="thin">
        <color rgb="FF00456A"/>
      </bottom>
      <diagonal/>
    </border>
    <border>
      <left/>
      <right/>
      <top/>
      <bottom style="thick">
        <color auto="1"/>
      </bottom>
      <diagonal/>
    </border>
    <border>
      <left/>
      <right style="thin">
        <color rgb="FF7F7F7F"/>
      </right>
      <top/>
      <bottom style="thin">
        <color rgb="FF7F7F7F"/>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theme="4"/>
      </left>
      <right/>
      <top/>
      <bottom/>
      <diagonal/>
    </border>
    <border>
      <left style="thin">
        <color theme="4" tint="0.59996337778862885"/>
      </left>
      <right style="thin">
        <color theme="4" tint="0.59996337778862885"/>
      </right>
      <top/>
      <bottom style="thin">
        <color theme="4" tint="0.59996337778862885"/>
      </bottom>
      <diagonal/>
    </border>
    <border>
      <left/>
      <right style="thin">
        <color indexed="64"/>
      </right>
      <top style="thin">
        <color indexed="64"/>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top style="thick">
        <color theme="4"/>
      </top>
      <bottom style="thin">
        <color indexed="64"/>
      </bottom>
      <diagonal/>
    </border>
    <border>
      <left/>
      <right style="thin">
        <color rgb="FF7F7F7F"/>
      </right>
      <top/>
      <bottom style="thin">
        <color indexed="64"/>
      </bottom>
      <diagonal/>
    </border>
    <border>
      <left style="thin">
        <color theme="4"/>
      </left>
      <right/>
      <top style="thin">
        <color theme="4"/>
      </top>
      <bottom style="thin">
        <color theme="9" tint="0.39997558519241921"/>
      </bottom>
      <diagonal/>
    </border>
    <border>
      <left/>
      <right/>
      <top style="thin">
        <color theme="4"/>
      </top>
      <bottom style="thin">
        <color theme="9" tint="0.39997558519241921"/>
      </bottom>
      <diagonal/>
    </border>
  </borders>
  <cellStyleXfs count="9">
    <xf numFmtId="0" fontId="0" fillId="0" borderId="0"/>
    <xf numFmtId="0" fontId="1" fillId="0" borderId="7" applyNumberFormat="0" applyFill="0" applyAlignment="0" applyProtection="0"/>
    <xf numFmtId="0" fontId="2" fillId="2" borderId="8" applyNumberFormat="0" applyAlignment="0" applyProtection="0"/>
    <xf numFmtId="0" fontId="13" fillId="0" borderId="0" applyNumberFormat="0" applyFill="0" applyBorder="0" applyAlignment="0" applyProtection="0"/>
    <xf numFmtId="0" fontId="17" fillId="0" borderId="0"/>
    <xf numFmtId="0" fontId="21" fillId="9" borderId="2">
      <alignment horizontal="center" vertical="center"/>
    </xf>
    <xf numFmtId="0" fontId="27" fillId="14" borderId="0" applyNumberFormat="0" applyBorder="0" applyAlignment="0" applyProtection="0"/>
    <xf numFmtId="0" fontId="28" fillId="15" borderId="0" applyNumberFormat="0" applyBorder="0" applyAlignment="0" applyProtection="0"/>
    <xf numFmtId="43" fontId="17" fillId="0" borderId="0" applyFont="0" applyFill="0" applyBorder="0" applyAlignment="0" applyProtection="0"/>
  </cellStyleXfs>
  <cellXfs count="141">
    <xf numFmtId="0" fontId="0" fillId="0" borderId="0" xfId="0"/>
    <xf numFmtId="0" fontId="0" fillId="0" borderId="0" xfId="0" applyAlignment="1">
      <alignment horizontal="left"/>
    </xf>
    <xf numFmtId="0" fontId="0" fillId="0" borderId="0" xfId="0" applyAlignment="1">
      <alignment wrapText="1"/>
    </xf>
    <xf numFmtId="164" fontId="3" fillId="3" borderId="9" xfId="2" applyNumberFormat="1" applyFont="1" applyFill="1" applyBorder="1" applyAlignment="1" applyProtection="1">
      <alignment horizontal="center" vertical="center"/>
      <protection locked="0"/>
    </xf>
    <xf numFmtId="0" fontId="6" fillId="4" borderId="2" xfId="0" applyFont="1" applyFill="1" applyBorder="1" applyAlignment="1">
      <alignment vertical="center" wrapText="1"/>
    </xf>
    <xf numFmtId="0" fontId="6" fillId="5" borderId="1"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8" fillId="0" borderId="0" xfId="0" applyFont="1"/>
    <xf numFmtId="0" fontId="9" fillId="0" borderId="0" xfId="0" applyFont="1"/>
    <xf numFmtId="0" fontId="4" fillId="0" borderId="0" xfId="1" applyFont="1" applyBorder="1" applyAlignment="1">
      <alignment horizontal="left"/>
    </xf>
    <xf numFmtId="0" fontId="3" fillId="6" borderId="10" xfId="0" applyFont="1" applyFill="1" applyBorder="1"/>
    <xf numFmtId="0" fontId="10" fillId="0" borderId="0" xfId="0" applyFont="1"/>
    <xf numFmtId="164" fontId="3" fillId="0" borderId="0" xfId="2" applyNumberFormat="1" applyFont="1" applyFill="1" applyBorder="1" applyAlignment="1" applyProtection="1">
      <alignment horizontal="center" vertical="center"/>
      <protection locked="0"/>
    </xf>
    <xf numFmtId="0" fontId="6" fillId="5" borderId="2" xfId="0" applyFont="1" applyFill="1" applyBorder="1" applyAlignment="1">
      <alignment horizontal="center" vertical="center" wrapText="1"/>
    </xf>
    <xf numFmtId="14" fontId="0" fillId="0" borderId="0" xfId="0" applyNumberFormat="1"/>
    <xf numFmtId="165" fontId="4" fillId="0" borderId="11" xfId="1" applyNumberFormat="1" applyFont="1" applyBorder="1" applyAlignment="1">
      <alignment horizontal="center" vertical="center" wrapText="1"/>
    </xf>
    <xf numFmtId="0" fontId="15" fillId="0" borderId="0" xfId="0" applyFont="1"/>
    <xf numFmtId="164" fontId="5" fillId="4" borderId="2" xfId="0" applyNumberFormat="1" applyFont="1" applyFill="1" applyBorder="1" applyAlignment="1">
      <alignment vertical="center" wrapText="1"/>
    </xf>
    <xf numFmtId="0" fontId="5" fillId="10" borderId="2" xfId="0" applyFont="1" applyFill="1" applyBorder="1" applyAlignment="1">
      <alignment vertical="center" wrapText="1"/>
    </xf>
    <xf numFmtId="0" fontId="4" fillId="0" borderId="7" xfId="1" applyFont="1" applyAlignment="1"/>
    <xf numFmtId="0" fontId="4" fillId="0" borderId="7" xfId="1" applyFont="1" applyAlignment="1">
      <alignment horizontal="right"/>
    </xf>
    <xf numFmtId="166" fontId="5" fillId="4" borderId="2" xfId="0" applyNumberFormat="1" applyFont="1" applyFill="1" applyBorder="1" applyAlignment="1">
      <alignment vertical="center" wrapText="1"/>
    </xf>
    <xf numFmtId="49" fontId="0" fillId="0" borderId="0" xfId="0" applyNumberFormat="1"/>
    <xf numFmtId="49" fontId="0" fillId="0" borderId="0" xfId="0" applyNumberFormat="1" applyAlignment="1">
      <alignment horizontal="left"/>
    </xf>
    <xf numFmtId="43" fontId="5" fillId="4" borderId="2" xfId="0" applyNumberFormat="1" applyFont="1" applyFill="1" applyBorder="1" applyAlignment="1">
      <alignment vertical="center" wrapText="1"/>
    </xf>
    <xf numFmtId="0" fontId="7" fillId="7" borderId="2" xfId="0" applyFont="1" applyFill="1" applyBorder="1" applyAlignment="1">
      <alignment horizontal="left" vertical="center" wrapText="1"/>
    </xf>
    <xf numFmtId="0" fontId="5" fillId="4" borderId="2" xfId="0" applyFont="1" applyFill="1" applyBorder="1" applyAlignment="1">
      <alignment vertical="center" wrapText="1"/>
    </xf>
    <xf numFmtId="0" fontId="7" fillId="7" borderId="2" xfId="0" applyFont="1" applyFill="1" applyBorder="1" applyAlignment="1">
      <alignment horizontal="center" vertical="center" wrapText="1"/>
    </xf>
    <xf numFmtId="0" fontId="6" fillId="11" borderId="2" xfId="0" applyFont="1" applyFill="1" applyBorder="1" applyAlignment="1">
      <alignment horizontal="left" vertical="center" wrapText="1"/>
    </xf>
    <xf numFmtId="164" fontId="3" fillId="3" borderId="12" xfId="2" applyNumberFormat="1" applyFont="1" applyFill="1" applyBorder="1" applyAlignment="1" applyProtection="1">
      <alignment horizontal="center" vertical="center" wrapText="1"/>
      <protection locked="0"/>
    </xf>
    <xf numFmtId="164" fontId="3" fillId="3" borderId="9" xfId="2" applyNumberFormat="1" applyFont="1" applyFill="1" applyBorder="1" applyAlignment="1" applyProtection="1">
      <alignment horizontal="center" vertical="center" wrapText="1"/>
      <protection locked="0"/>
    </xf>
    <xf numFmtId="0" fontId="16" fillId="7" borderId="6" xfId="3" applyFont="1" applyFill="1" applyBorder="1" applyAlignment="1">
      <alignment horizontal="center" vertical="center" wrapText="1"/>
    </xf>
    <xf numFmtId="0" fontId="12" fillId="7" borderId="6" xfId="0" applyFont="1" applyFill="1" applyBorder="1" applyAlignment="1">
      <alignment horizontal="center" vertical="center" wrapText="1"/>
    </xf>
    <xf numFmtId="2" fontId="7" fillId="7" borderId="2" xfId="0" applyNumberFormat="1" applyFont="1" applyFill="1" applyBorder="1" applyAlignment="1">
      <alignment horizontal="center" vertical="center" wrapText="1"/>
    </xf>
    <xf numFmtId="164" fontId="5" fillId="4" borderId="1" xfId="0" applyNumberFormat="1" applyFont="1" applyFill="1" applyBorder="1" applyAlignment="1">
      <alignment vertical="center" wrapText="1"/>
    </xf>
    <xf numFmtId="164" fontId="3" fillId="3" borderId="16" xfId="2" applyNumberFormat="1" applyFont="1" applyFill="1" applyBorder="1" applyAlignment="1" applyProtection="1">
      <alignment horizontal="center" vertical="center" wrapText="1"/>
      <protection locked="0"/>
    </xf>
    <xf numFmtId="0" fontId="6" fillId="4" borderId="5" xfId="0" applyFont="1" applyFill="1" applyBorder="1" applyAlignment="1">
      <alignment vertical="center" wrapText="1"/>
    </xf>
    <xf numFmtId="164" fontId="3" fillId="3" borderId="2" xfId="2" applyNumberFormat="1" applyFont="1" applyFill="1" applyBorder="1" applyAlignment="1" applyProtection="1">
      <alignment horizontal="center" vertical="center" wrapText="1"/>
      <protection locked="0"/>
    </xf>
    <xf numFmtId="168" fontId="5" fillId="4" borderId="2" xfId="0" applyNumberFormat="1" applyFont="1" applyFill="1" applyBorder="1" applyAlignment="1">
      <alignment vertical="center" wrapText="1"/>
    </xf>
    <xf numFmtId="0" fontId="6" fillId="12" borderId="2" xfId="0" applyFont="1" applyFill="1" applyBorder="1" applyAlignment="1">
      <alignment horizontal="left" vertical="center" wrapText="1"/>
    </xf>
    <xf numFmtId="0" fontId="6" fillId="12" borderId="2" xfId="0" applyFont="1" applyFill="1" applyBorder="1" applyAlignment="1">
      <alignment horizontal="center" vertical="center" wrapText="1"/>
    </xf>
    <xf numFmtId="0" fontId="6" fillId="12" borderId="5" xfId="0" applyFont="1" applyFill="1" applyBorder="1" applyAlignment="1">
      <alignment vertical="center" wrapText="1"/>
    </xf>
    <xf numFmtId="164" fontId="3" fillId="12" borderId="16" xfId="2" applyNumberFormat="1" applyFont="1" applyFill="1" applyBorder="1" applyAlignment="1" applyProtection="1">
      <alignment horizontal="center" vertical="center" wrapText="1"/>
      <protection locked="0"/>
    </xf>
    <xf numFmtId="43" fontId="5" fillId="12" borderId="2" xfId="0" applyNumberFormat="1" applyFont="1" applyFill="1" applyBorder="1" applyAlignment="1">
      <alignment vertical="center" wrapText="1"/>
    </xf>
    <xf numFmtId="164" fontId="3" fillId="12" borderId="2" xfId="2" applyNumberFormat="1" applyFont="1" applyFill="1" applyBorder="1" applyAlignment="1" applyProtection="1">
      <alignment horizontal="center" vertical="center" wrapText="1"/>
      <protection locked="0"/>
    </xf>
    <xf numFmtId="164" fontId="3" fillId="12" borderId="9" xfId="2" applyNumberFormat="1" applyFont="1" applyFill="1" applyBorder="1" applyAlignment="1" applyProtection="1">
      <alignment horizontal="center" vertical="center" wrapText="1"/>
      <protection locked="0"/>
    </xf>
    <xf numFmtId="0" fontId="0" fillId="12" borderId="0" xfId="0" applyFill="1" applyAlignment="1">
      <alignment wrapText="1"/>
    </xf>
    <xf numFmtId="0" fontId="5" fillId="12" borderId="2" xfId="0" applyFont="1" applyFill="1" applyBorder="1" applyAlignment="1">
      <alignment vertical="center" wrapText="1"/>
    </xf>
    <xf numFmtId="49" fontId="3" fillId="12" borderId="2" xfId="2" applyNumberFormat="1" applyFont="1" applyFill="1" applyBorder="1" applyAlignment="1" applyProtection="1">
      <alignment horizontal="center" vertical="center" wrapText="1"/>
      <protection locked="0"/>
    </xf>
    <xf numFmtId="0" fontId="19" fillId="8" borderId="21" xfId="0" applyFont="1" applyFill="1" applyBorder="1"/>
    <xf numFmtId="0" fontId="20" fillId="0" borderId="13" xfId="4" applyFont="1" applyBorder="1" applyAlignment="1">
      <alignment wrapText="1"/>
    </xf>
    <xf numFmtId="0" fontId="20" fillId="0" borderId="14" xfId="4" applyFont="1" applyBorder="1" applyAlignment="1">
      <alignment wrapText="1"/>
    </xf>
    <xf numFmtId="167" fontId="20" fillId="0" borderId="14" xfId="4" applyNumberFormat="1" applyFont="1" applyBorder="1" applyAlignment="1">
      <alignment wrapText="1"/>
    </xf>
    <xf numFmtId="0" fontId="20" fillId="0" borderId="14" xfId="0" applyFont="1" applyBorder="1" applyAlignment="1">
      <alignment wrapText="1"/>
    </xf>
    <xf numFmtId="0" fontId="20" fillId="0" borderId="15" xfId="4" applyFont="1" applyBorder="1" applyAlignment="1">
      <alignment wrapText="1"/>
    </xf>
    <xf numFmtId="0" fontId="0" fillId="0" borderId="13" xfId="0" applyBorder="1" applyAlignment="1">
      <alignment wrapText="1"/>
    </xf>
    <xf numFmtId="0" fontId="0" fillId="0" borderId="14" xfId="0" applyBorder="1" applyAlignment="1">
      <alignment wrapText="1"/>
    </xf>
    <xf numFmtId="0" fontId="13" fillId="0" borderId="14" xfId="3" applyBorder="1" applyAlignment="1">
      <alignment wrapText="1"/>
    </xf>
    <xf numFmtId="0" fontId="20" fillId="0" borderId="0" xfId="4" applyFont="1" applyAlignment="1">
      <alignment wrapText="1"/>
    </xf>
    <xf numFmtId="0" fontId="20" fillId="0" borderId="20" xfId="4" applyFont="1" applyBorder="1" applyAlignment="1">
      <alignment wrapText="1"/>
    </xf>
    <xf numFmtId="11" fontId="22" fillId="0" borderId="0" xfId="0" applyNumberFormat="1" applyFont="1" applyAlignment="1">
      <alignment wrapText="1"/>
    </xf>
    <xf numFmtId="164" fontId="5" fillId="4" borderId="4" xfId="0" applyNumberFormat="1" applyFont="1" applyFill="1" applyBorder="1" applyAlignment="1">
      <alignment vertical="center" wrapText="1"/>
    </xf>
    <xf numFmtId="0" fontId="5" fillId="10" borderId="2" xfId="0" applyFont="1" applyFill="1" applyBorder="1" applyAlignment="1">
      <alignment horizontal="center" vertical="center" wrapText="1"/>
    </xf>
    <xf numFmtId="164" fontId="3" fillId="3" borderId="28" xfId="2" applyNumberFormat="1" applyFont="1" applyFill="1" applyBorder="1" applyAlignment="1" applyProtection="1">
      <alignment horizontal="center" vertical="center" wrapText="1"/>
      <protection locked="0"/>
    </xf>
    <xf numFmtId="165" fontId="4" fillId="0" borderId="27" xfId="1" applyNumberFormat="1" applyFont="1" applyBorder="1" applyAlignment="1">
      <alignment vertical="center" wrapText="1"/>
    </xf>
    <xf numFmtId="164" fontId="3" fillId="3" borderId="2" xfId="2" applyNumberFormat="1" applyFont="1" applyFill="1" applyBorder="1" applyAlignment="1" applyProtection="1">
      <alignment vertical="center" wrapText="1"/>
      <protection locked="0"/>
    </xf>
    <xf numFmtId="164" fontId="3" fillId="13" borderId="2" xfId="2" applyNumberFormat="1" applyFont="1" applyFill="1" applyBorder="1" applyAlignment="1" applyProtection="1">
      <alignment vertical="center" wrapText="1"/>
      <protection locked="0"/>
    </xf>
    <xf numFmtId="169" fontId="3" fillId="13" borderId="2" xfId="2" applyNumberFormat="1" applyFont="1" applyFill="1" applyBorder="1" applyAlignment="1" applyProtection="1">
      <alignment vertical="center" wrapText="1"/>
      <protection locked="0"/>
    </xf>
    <xf numFmtId="0" fontId="26" fillId="0" borderId="0" xfId="0" applyFont="1"/>
    <xf numFmtId="0" fontId="20" fillId="0" borderId="14" xfId="0" applyFont="1" applyBorder="1"/>
    <xf numFmtId="0" fontId="7" fillId="7" borderId="2" xfId="0" applyFont="1" applyFill="1" applyBorder="1" applyAlignment="1">
      <alignment vertical="center" wrapText="1"/>
    </xf>
    <xf numFmtId="0" fontId="20" fillId="0" borderId="29" xfId="4" applyFont="1" applyBorder="1"/>
    <xf numFmtId="167" fontId="20" fillId="0" borderId="30" xfId="4" applyNumberFormat="1" applyFont="1" applyBorder="1"/>
    <xf numFmtId="0" fontId="20" fillId="0" borderId="30" xfId="0" applyFont="1" applyBorder="1"/>
    <xf numFmtId="167" fontId="20" fillId="16" borderId="30" xfId="4" applyNumberFormat="1" applyFont="1" applyFill="1" applyBorder="1"/>
    <xf numFmtId="0" fontId="20" fillId="0" borderId="30" xfId="4" applyFont="1" applyBorder="1"/>
    <xf numFmtId="0" fontId="20" fillId="16" borderId="30" xfId="4" applyFont="1" applyFill="1" applyBorder="1"/>
    <xf numFmtId="0" fontId="27" fillId="17" borderId="0" xfId="6" applyFill="1"/>
    <xf numFmtId="0" fontId="28" fillId="18" borderId="0" xfId="7" applyFill="1"/>
    <xf numFmtId="0" fontId="0" fillId="0" borderId="2" xfId="0" applyBorder="1" applyAlignment="1">
      <alignment wrapText="1"/>
    </xf>
    <xf numFmtId="0" fontId="0" fillId="0" borderId="2" xfId="0" applyBorder="1"/>
    <xf numFmtId="0" fontId="0" fillId="19" borderId="2" xfId="0" applyFill="1" applyBorder="1"/>
    <xf numFmtId="0" fontId="20" fillId="0" borderId="20" xfId="4" applyFont="1" applyBorder="1"/>
    <xf numFmtId="0" fontId="20" fillId="0" borderId="0" xfId="0" applyFont="1"/>
    <xf numFmtId="0" fontId="20" fillId="0" borderId="0" xfId="4" applyFont="1"/>
    <xf numFmtId="165" fontId="4" fillId="0" borderId="0" xfId="1" applyNumberFormat="1" applyFont="1" applyFill="1" applyBorder="1" applyAlignment="1">
      <alignment vertical="center" wrapText="1"/>
    </xf>
    <xf numFmtId="164" fontId="3" fillId="3" borderId="9" xfId="2" applyNumberFormat="1" applyFont="1" applyFill="1" applyBorder="1" applyAlignment="1" applyProtection="1">
      <alignment horizontal="left" vertical="center"/>
      <protection locked="0"/>
    </xf>
    <xf numFmtId="0" fontId="27" fillId="14" borderId="2" xfId="6" applyBorder="1"/>
    <xf numFmtId="0" fontId="28" fillId="15" borderId="2" xfId="7" applyBorder="1"/>
    <xf numFmtId="0" fontId="6" fillId="7" borderId="2" xfId="0" applyFont="1" applyFill="1" applyBorder="1" applyAlignment="1">
      <alignment horizontal="left" vertical="center" wrapText="1"/>
    </xf>
    <xf numFmtId="0" fontId="6" fillId="5" borderId="2" xfId="0" applyFont="1" applyFill="1" applyBorder="1" applyAlignment="1">
      <alignment horizontal="right" vertical="center" wrapText="1"/>
    </xf>
    <xf numFmtId="3" fontId="6" fillId="5" borderId="2" xfId="8" applyNumberFormat="1" applyFont="1" applyFill="1" applyBorder="1" applyAlignment="1">
      <alignment horizontal="right" vertical="center" wrapText="1"/>
    </xf>
    <xf numFmtId="0" fontId="4" fillId="0" borderId="7" xfId="1" applyFont="1" applyAlignment="1">
      <alignment horizontal="left"/>
    </xf>
    <xf numFmtId="164" fontId="3" fillId="12" borderId="17" xfId="2" applyNumberFormat="1" applyFont="1" applyFill="1" applyBorder="1" applyAlignment="1" applyProtection="1">
      <alignment horizontal="center" vertical="center" wrapText="1"/>
      <protection locked="0"/>
    </xf>
    <xf numFmtId="164" fontId="3" fillId="12" borderId="18" xfId="2" applyNumberFormat="1" applyFont="1" applyFill="1" applyBorder="1" applyAlignment="1" applyProtection="1">
      <alignment horizontal="center" vertical="center" wrapText="1"/>
      <protection locked="0"/>
    </xf>
    <xf numFmtId="164" fontId="3" fillId="12" borderId="19" xfId="2" applyNumberFormat="1" applyFont="1" applyFill="1" applyBorder="1" applyAlignment="1" applyProtection="1">
      <alignment horizontal="center" vertical="center" wrapText="1"/>
      <protection locked="0"/>
    </xf>
    <xf numFmtId="0" fontId="5" fillId="4" borderId="2" xfId="0" applyFont="1" applyFill="1" applyBorder="1" applyAlignment="1">
      <alignment vertical="center" wrapText="1"/>
    </xf>
    <xf numFmtId="0" fontId="7" fillId="12" borderId="2" xfId="0" applyFont="1" applyFill="1" applyBorder="1" applyAlignment="1">
      <alignment horizontal="center" vertical="center" wrapText="1"/>
    </xf>
    <xf numFmtId="0" fontId="7" fillId="12" borderId="2" xfId="0" applyFont="1" applyFill="1" applyBorder="1" applyAlignment="1">
      <alignment horizontal="left" vertical="center" wrapText="1"/>
    </xf>
    <xf numFmtId="0" fontId="16" fillId="7" borderId="4" xfId="3" applyFont="1" applyFill="1" applyBorder="1" applyAlignment="1">
      <alignment horizontal="center" vertical="center" wrapText="1"/>
    </xf>
    <xf numFmtId="0" fontId="16" fillId="7" borderId="6" xfId="3" applyFont="1" applyFill="1" applyBorder="1" applyAlignment="1">
      <alignment horizontal="center" vertical="center" wrapText="1"/>
    </xf>
    <xf numFmtId="0" fontId="16" fillId="7" borderId="1"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left" vertical="center" wrapText="1"/>
    </xf>
    <xf numFmtId="0" fontId="5"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12" fillId="7" borderId="4" xfId="0" applyFont="1" applyFill="1" applyBorder="1" applyAlignment="1">
      <alignment vertical="center" wrapText="1"/>
    </xf>
    <xf numFmtId="0" fontId="12" fillId="7" borderId="6" xfId="0" applyFont="1" applyFill="1" applyBorder="1" applyAlignment="1">
      <alignment vertical="center" wrapText="1"/>
    </xf>
    <xf numFmtId="0" fontId="12" fillId="7" borderId="1" xfId="0" applyFont="1" applyFill="1" applyBorder="1" applyAlignment="1">
      <alignment vertical="center" wrapText="1"/>
    </xf>
    <xf numFmtId="0" fontId="7"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4" xfId="0" applyFont="1" applyFill="1" applyBorder="1" applyAlignment="1">
      <alignment horizontal="left" vertical="center" wrapText="1"/>
    </xf>
    <xf numFmtId="0" fontId="7" fillId="7" borderId="1" xfId="0" applyFont="1" applyFill="1" applyBorder="1" applyAlignment="1">
      <alignment horizontal="left" vertical="center" wrapText="1"/>
    </xf>
    <xf numFmtId="0" fontId="16" fillId="7" borderId="2" xfId="3" applyFont="1" applyFill="1" applyBorder="1" applyAlignment="1">
      <alignment horizontal="center" vertical="center" wrapText="1"/>
    </xf>
    <xf numFmtId="0" fontId="12" fillId="7" borderId="2" xfId="0" applyFont="1" applyFill="1" applyBorder="1" applyAlignment="1">
      <alignment vertical="center" wrapText="1"/>
    </xf>
    <xf numFmtId="165" fontId="4"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4" fillId="0" borderId="11" xfId="1" applyFont="1" applyBorder="1" applyAlignment="1">
      <alignment horizontal="center" vertical="center" wrapText="1"/>
    </xf>
    <xf numFmtId="0" fontId="7" fillId="7" borderId="6" xfId="0" applyFont="1" applyFill="1" applyBorder="1" applyAlignment="1">
      <alignment horizontal="center" vertical="center" wrapText="1"/>
    </xf>
    <xf numFmtId="0" fontId="5" fillId="4" borderId="1" xfId="0" applyFont="1" applyFill="1" applyBorder="1" applyAlignment="1">
      <alignment vertical="center" wrapText="1"/>
    </xf>
    <xf numFmtId="0" fontId="14" fillId="0" borderId="0" xfId="3" applyFont="1" applyBorder="1" applyAlignment="1">
      <alignment horizontal="center" vertical="center" wrapText="1"/>
    </xf>
    <xf numFmtId="0" fontId="14" fillId="0" borderId="11" xfId="3" applyFont="1" applyBorder="1" applyAlignment="1">
      <alignment horizontal="center" vertical="center" wrapText="1"/>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12" fillId="7" borderId="2" xfId="0" applyFont="1" applyFill="1" applyBorder="1" applyAlignment="1">
      <alignment horizontal="center" vertical="center" wrapText="1"/>
    </xf>
    <xf numFmtId="0" fontId="16" fillId="7" borderId="22" xfId="3" applyFont="1" applyFill="1" applyBorder="1" applyAlignment="1">
      <alignment horizontal="center" vertical="center" wrapText="1"/>
    </xf>
    <xf numFmtId="0" fontId="16" fillId="7" borderId="23" xfId="3" applyFont="1" applyFill="1" applyBorder="1" applyAlignment="1">
      <alignment horizontal="center" vertical="center" wrapText="1"/>
    </xf>
    <xf numFmtId="0" fontId="16" fillId="7" borderId="26" xfId="3"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1" fillId="0" borderId="7" xfId="1" applyFill="1" applyAlignment="1">
      <alignment horizontal="center"/>
    </xf>
    <xf numFmtId="164" fontId="3" fillId="3" borderId="9" xfId="2" applyNumberFormat="1" applyFont="1" applyFill="1" applyBorder="1" applyAlignment="1" applyProtection="1">
      <alignment horizontal="center" vertical="center"/>
    </xf>
  </cellXfs>
  <cellStyles count="9">
    <cellStyle name="Comma" xfId="8" builtinId="3"/>
    <cellStyle name="Good" xfId="6" builtinId="26"/>
    <cellStyle name="Heading 1" xfId="1" builtinId="16"/>
    <cellStyle name="Hyperlink" xfId="3" builtinId="8"/>
    <cellStyle name="Input" xfId="2" builtinId="20"/>
    <cellStyle name="Neutral" xfId="7" builtinId="28"/>
    <cellStyle name="Normal" xfId="0" builtinId="0"/>
    <cellStyle name="Normal 2" xfId="4" xr:uid="{E1220FE1-BB7F-4F7F-BA28-9F1F228B8E94}"/>
    <cellStyle name="WSP Text (Item, Symbol, Unit)" xfId="5" xr:uid="{BD3BB8E7-C080-41E9-9813-C58FEF1E408D}"/>
  </cellStyles>
  <dxfs count="121">
    <dxf>
      <fill>
        <patternFill>
          <bgColor rgb="FFFFEB9C"/>
        </patternFill>
      </fill>
    </dxf>
    <dxf>
      <fill>
        <patternFill>
          <bgColor rgb="FFC6EFCE"/>
        </patternFill>
      </fill>
    </dxf>
    <dxf>
      <fill>
        <patternFill>
          <bgColor rgb="FFFFC7CE"/>
        </patternFill>
      </fill>
    </dxf>
    <dxf>
      <fill>
        <patternFill>
          <bgColor theme="2" tint="-9.9948118533890809E-2"/>
        </patternFill>
      </fill>
    </dxf>
    <dxf>
      <fill>
        <patternFill>
          <bgColor rgb="FFE8F0AE"/>
        </patternFill>
      </fill>
    </dxf>
    <dxf>
      <fill>
        <patternFill>
          <bgColor theme="2"/>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rgb="FFE8F0AE"/>
        </patternFill>
      </fill>
    </dxf>
    <dxf>
      <fill>
        <patternFill>
          <bgColor theme="2"/>
        </patternFill>
      </fill>
    </dxf>
    <dxf>
      <fill>
        <patternFill>
          <bgColor rgb="FFE8F0AE"/>
        </patternFill>
      </fill>
    </dxf>
    <dxf>
      <fill>
        <patternFill>
          <bgColor theme="2"/>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rgb="FFE8F0AE"/>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theme="2"/>
        </patternFill>
      </fill>
    </dxf>
    <dxf>
      <fill>
        <patternFill>
          <bgColor theme="2"/>
        </patternFill>
      </fill>
    </dxf>
    <dxf>
      <fill>
        <patternFill>
          <bgColor rgb="FFE8F0AE"/>
        </patternFill>
      </fill>
    </dxf>
    <dxf>
      <fill>
        <patternFill>
          <bgColor theme="2"/>
        </patternFill>
      </fill>
    </dxf>
    <dxf>
      <fill>
        <patternFill>
          <bgColor rgb="FFE8F0AE"/>
        </patternFill>
      </fill>
    </dxf>
    <dxf>
      <fill>
        <patternFill>
          <bgColor rgb="FFE8F0AE"/>
        </patternFill>
      </fill>
    </dxf>
    <dxf>
      <fill>
        <patternFill>
          <bgColor theme="2"/>
        </patternFill>
      </fill>
    </dxf>
    <dxf>
      <fill>
        <patternFill>
          <bgColor theme="2"/>
        </patternFill>
      </fill>
    </dxf>
    <dxf>
      <fill>
        <patternFill>
          <bgColor theme="2"/>
        </patternFill>
      </fill>
    </dxf>
    <dxf>
      <fill>
        <patternFill>
          <bgColor rgb="FFE8F0AE"/>
        </patternFill>
      </fill>
    </dxf>
    <dxf>
      <fill>
        <patternFill>
          <bgColor rgb="FFE8F0AE"/>
        </patternFill>
      </fill>
    </dxf>
    <dxf>
      <fill>
        <patternFill>
          <bgColor theme="2"/>
        </patternFill>
      </fill>
    </dxf>
    <dxf>
      <fill>
        <patternFill>
          <bgColor theme="2"/>
        </patternFill>
      </fill>
    </dxf>
    <dxf>
      <fill>
        <patternFill>
          <bgColor rgb="FFE8F0AE"/>
        </patternFill>
      </fill>
    </dxf>
    <dxf>
      <fill>
        <patternFill>
          <bgColor rgb="FFE8F0A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C6EFCE"/>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EB9C"/>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EB9C"/>
        </patternFill>
      </fill>
    </dxf>
    <dxf>
      <fill>
        <patternFill>
          <bgColor rgb="FFFFC7CE"/>
        </patternFill>
      </fill>
    </dxf>
    <dxf>
      <fill>
        <patternFill>
          <bgColor rgb="FFC6EF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numFmt numFmtId="167" formatCode="0.000"/>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style="thin">
          <color theme="4"/>
        </left>
        <right/>
        <top style="thin">
          <color theme="4"/>
        </top>
        <bottom/>
      </border>
    </dxf>
    <dxf>
      <border outline="0">
        <top style="thin">
          <color theme="4" tint="0.59996337778862885"/>
        </top>
      </border>
    </dxf>
    <dxf>
      <alignment horizontal="general" vertical="bottom" textRotation="0" wrapText="1" indent="0" justifyLastLine="0" shrinkToFit="0" readingOrder="0"/>
    </dxf>
    <dxf>
      <border outline="0">
        <bottom style="thin">
          <color theme="4" tint="0.59996337778862885"/>
        </bottom>
      </border>
    </dxf>
    <dxf>
      <font>
        <b/>
        <i val="0"/>
        <strike val="0"/>
        <condense val="0"/>
        <extend val="0"/>
        <outline val="0"/>
        <shadow val="0"/>
        <u val="none"/>
        <vertAlign val="baseline"/>
        <sz val="11"/>
        <color theme="0"/>
        <name val="Calibri"/>
        <family val="2"/>
        <scheme val="none"/>
      </font>
      <fill>
        <patternFill patternType="solid">
          <fgColor theme="4"/>
          <bgColor theme="4"/>
        </patternFill>
      </fill>
      <alignment horizontal="general" vertical="bottom" textRotation="0" wrapText="0" indent="0" justifyLastLine="0" shrinkToFit="0" readingOrder="0"/>
      <border diagonalUp="0" diagonalDown="0" outline="0">
        <left style="thin">
          <color theme="4" tint="0.59996337778862885"/>
        </left>
        <right style="thin">
          <color theme="4" tint="0.59996337778862885"/>
        </right>
        <top/>
        <bottom/>
      </border>
    </dxf>
  </dxfs>
  <tableStyles count="0" defaultTableStyle="TableStyleMedium2" defaultPivotStyle="PivotStyleLight16"/>
  <colors>
    <mruColors>
      <color rgb="FFE8F0AE"/>
      <color rgb="FFDDEBF7"/>
      <color rgb="FFFFC7CE"/>
      <color rgb="FFC6EFCE"/>
      <color rgb="FFFFEB9C"/>
      <color rgb="FF00456A"/>
      <color rgb="FFBDD7EE"/>
      <color rgb="FFC9DB41"/>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Lookup!$I$3</c:f>
          <c:strCache>
            <c:ptCount val="1"/>
            <c:pt idx="0">
              <c:v>Emissions Profile: Tier 3 Maintenance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'Project Details'!$B$13</c:f>
              <c:strCache>
                <c:ptCount val="1"/>
                <c:pt idx="0">
                  <c:v>kgCO₂e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6F-47D0-8853-8A188E9BB3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6F-47D0-8853-8A188E9BB3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6F-47D0-8853-8A188E9BB3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6F-47D0-8853-8A188E9BB3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6F-47D0-8853-8A188E9BB3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6F-47D0-8853-8A188E9BB3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6BE-4506-97CC-45B59BF2C9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6BE-4506-97CC-45B59BF2C9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6BE-4506-97CC-45B59BF2C95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6BE-4506-97CC-45B59BF2C95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6BE-4506-97CC-45B59BF2C95E}"/>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6BE-4506-97CC-45B59BF2C95E}"/>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96BE-4506-97CC-45B59BF2C95E}"/>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96BE-4506-97CC-45B59BF2C95E}"/>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96BE-4506-97CC-45B59BF2C95E}"/>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96BE-4506-97CC-45B59BF2C95E}"/>
              </c:ext>
            </c:extLst>
          </c:dPt>
          <c:cat>
            <c:strRef>
              <c:f>'Project Details'!$A$14:$A$29</c:f>
              <c:strCache>
                <c:ptCount val="16"/>
                <c:pt idx="0">
                  <c:v>Energy</c:v>
                </c:pt>
                <c:pt idx="1">
                  <c:v>Transport</c:v>
                </c:pt>
                <c:pt idx="2">
                  <c:v>Water</c:v>
                </c:pt>
                <c:pt idx="3">
                  <c:v>Waste</c:v>
                </c:pt>
                <c:pt idx="4">
                  <c:v>Pavement</c:v>
                </c:pt>
                <c:pt idx="5">
                  <c:v>Drainage</c:v>
                </c:pt>
                <c:pt idx="6">
                  <c:v>Pathways</c:v>
                </c:pt>
                <c:pt idx="7">
                  <c:v>Street Lighting</c:v>
                </c:pt>
                <c:pt idx="8">
                  <c:v>Safety Barriers and Fencing</c:v>
                </c:pt>
                <c:pt idx="9">
                  <c:v>Street Lighting </c:v>
                </c:pt>
                <c:pt idx="10">
                  <c:v>Signage</c:v>
                </c:pt>
                <c:pt idx="11">
                  <c:v>Street Furniture</c:v>
                </c:pt>
                <c:pt idx="12">
                  <c:v>Site Clearance and Earthworks</c:v>
                </c:pt>
                <c:pt idx="13">
                  <c:v>Bridge</c:v>
                </c:pt>
                <c:pt idx="14">
                  <c:v>Retaining Wall</c:v>
                </c:pt>
                <c:pt idx="15">
                  <c:v>Total</c:v>
                </c:pt>
              </c:strCache>
            </c:strRef>
          </c:cat>
          <c:val>
            <c:numRef>
              <c:f>'Project Details'!$B$14:$B$29</c:f>
              <c:numCache>
                <c:formatCode>#,##0</c:formatCode>
                <c:ptCount val="16"/>
                <c:pt idx="0">
                  <c:v>5119802.3389192214</c:v>
                </c:pt>
                <c:pt idx="1">
                  <c:v>9873311.8284045793</c:v>
                </c:pt>
                <c:pt idx="2">
                  <c:v>0</c:v>
                </c:pt>
                <c:pt idx="3">
                  <c:v>0</c:v>
                </c:pt>
                <c:pt idx="4">
                  <c:v>16598928.746694453</c:v>
                </c:pt>
                <c:pt idx="5">
                  <c:v>0</c:v>
                </c:pt>
                <c:pt idx="6">
                  <c:v>5067254.8814362772</c:v>
                </c:pt>
                <c:pt idx="7">
                  <c:v>0</c:v>
                </c:pt>
                <c:pt idx="8">
                  <c:v>0</c:v>
                </c:pt>
                <c:pt idx="9">
                  <c:v>0</c:v>
                </c:pt>
                <c:pt idx="10">
                  <c:v>0</c:v>
                </c:pt>
                <c:pt idx="11">
                  <c:v>0</c:v>
                </c:pt>
                <c:pt idx="12">
                  <c:v>0</c:v>
                </c:pt>
                <c:pt idx="13">
                  <c:v>0</c:v>
                </c:pt>
                <c:pt idx="14">
                  <c:v>0</c:v>
                </c:pt>
                <c:pt idx="15">
                  <c:v>36659297.795454532</c:v>
                </c:pt>
              </c:numCache>
            </c:numRef>
          </c:val>
          <c:extLst>
            <c:ext xmlns:c16="http://schemas.microsoft.com/office/drawing/2014/chart" uri="{C3380CC4-5D6E-409C-BE32-E72D297353CC}">
              <c16:uniqueId val="{00000000-3126-4E30-9B6D-67A8993D615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Emissions</a:t>
            </a:r>
            <a:r>
              <a:rPr lang="en-US" baseline="0"/>
              <a:t>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9"/>
          <c:order val="0"/>
          <c:tx>
            <c:strRef>
              <c:f>'Graphing Data'!$A$21</c:f>
              <c:strCache>
                <c:ptCount val="1"/>
                <c:pt idx="0">
                  <c:v>Total</c:v>
                </c:pt>
              </c:strCache>
            </c:strRef>
          </c:tx>
          <c:spPr>
            <a:ln w="28575" cap="rnd">
              <a:solidFill>
                <a:schemeClr val="accent2">
                  <a:lumMod val="8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Data'!$B$21:$M$21</c:f>
              <c:numCache>
                <c:formatCode>General</c:formatCode>
                <c:ptCount val="12"/>
                <c:pt idx="0">
                  <c:v>4039687.4721942358</c:v>
                </c:pt>
                <c:pt idx="1">
                  <c:v>4016132.1696633394</c:v>
                </c:pt>
                <c:pt idx="2">
                  <c:v>4015296.225837593</c:v>
                </c:pt>
                <c:pt idx="3">
                  <c:v>4108309.9774062005</c:v>
                </c:pt>
                <c:pt idx="4">
                  <c:v>4139515.738127803</c:v>
                </c:pt>
                <c:pt idx="5">
                  <c:v>4070159.7574629467</c:v>
                </c:pt>
                <c:pt idx="6">
                  <c:v>4065219.4454198377</c:v>
                </c:pt>
                <c:pt idx="7">
                  <c:v>4073625.6655956907</c:v>
                </c:pt>
                <c:pt idx="8">
                  <c:v>4139423.2005376732</c:v>
                </c:pt>
                <c:pt idx="9">
                  <c:v>4035595.9935856191</c:v>
                </c:pt>
                <c:pt idx="10">
                  <c:v>4018247.5768078412</c:v>
                </c:pt>
                <c:pt idx="11">
                  <c:v>3998282.6651967308</c:v>
                </c:pt>
              </c:numCache>
            </c:numRef>
          </c:val>
          <c:smooth val="0"/>
          <c:extLst>
            <c:ext xmlns:c16="http://schemas.microsoft.com/office/drawing/2014/chart" uri="{C3380CC4-5D6E-409C-BE32-E72D297353CC}">
              <c16:uniqueId val="{00000000-D85D-4638-8EDE-EB81223FB9B3}"/>
            </c:ext>
          </c:extLst>
        </c:ser>
        <c:dLbls>
          <c:showLegendKey val="0"/>
          <c:showVal val="0"/>
          <c:showCatName val="0"/>
          <c:showSerName val="0"/>
          <c:showPercent val="0"/>
          <c:showBubbleSize val="0"/>
        </c:dLbls>
        <c:smooth val="0"/>
        <c:axId val="1050460856"/>
        <c:axId val="573271848"/>
      </c:lineChart>
      <c:catAx>
        <c:axId val="105046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271848"/>
        <c:crosses val="autoZero"/>
        <c:auto val="1"/>
        <c:lblAlgn val="ctr"/>
        <c:lblOffset val="100"/>
        <c:noMultiLvlLbl val="0"/>
      </c:catAx>
      <c:valAx>
        <c:axId val="57327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46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Emissions</a:t>
            </a:r>
            <a:r>
              <a:rPr lang="en-NZ" baseline="0"/>
              <a:t> By Group (Filter Groups)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'Graphing Data'!$A$2</c:f>
              <c:strCache>
                <c:ptCount val="1"/>
                <c:pt idx="0">
                  <c:v>Energy</c:v>
                </c:pt>
              </c:strCache>
            </c:strRef>
          </c:tx>
          <c:spPr>
            <a:ln w="28575" cap="rnd">
              <a:solidFill>
                <a:schemeClr val="accent1"/>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Data'!$B$2:$M$2</c:f>
              <c:numCache>
                <c:formatCode>General</c:formatCode>
                <c:ptCount val="12"/>
                <c:pt idx="0">
                  <c:v>3739475.9195528217</c:v>
                </c:pt>
                <c:pt idx="1">
                  <c:v>3689571.5449966728</c:v>
                </c:pt>
                <c:pt idx="2">
                  <c:v>3714832.6301709265</c:v>
                </c:pt>
                <c:pt idx="3">
                  <c:v>3731551.8880728669</c:v>
                </c:pt>
                <c:pt idx="4">
                  <c:v>3729217.4087944697</c:v>
                </c:pt>
                <c:pt idx="5">
                  <c:v>3712976.4201296135</c:v>
                </c:pt>
                <c:pt idx="6">
                  <c:v>3730426.9920865046</c:v>
                </c:pt>
                <c:pt idx="7">
                  <c:v>3703645.3342623576</c:v>
                </c:pt>
                <c:pt idx="8">
                  <c:v>3704032.97720434</c:v>
                </c:pt>
                <c:pt idx="9">
                  <c:v>3691423.75169673</c:v>
                </c:pt>
                <c:pt idx="10">
                  <c:v>3689514.6816967302</c:v>
                </c:pt>
                <c:pt idx="11">
                  <c:v>3683762.4816967305</c:v>
                </c:pt>
              </c:numCache>
            </c:numRef>
          </c:val>
          <c:smooth val="0"/>
          <c:extLst>
            <c:ext xmlns:c16="http://schemas.microsoft.com/office/drawing/2014/chart" uri="{C3380CC4-5D6E-409C-BE32-E72D297353CC}">
              <c16:uniqueId val="{00000000-20A1-4A7B-9FB3-F1551A88EFB2}"/>
            </c:ext>
          </c:extLst>
        </c:ser>
        <c:ser>
          <c:idx val="1"/>
          <c:order val="1"/>
          <c:tx>
            <c:strRef>
              <c:f>'Graphing Data'!$A$3</c:f>
              <c:strCache>
                <c:ptCount val="1"/>
                <c:pt idx="0">
                  <c:v>Transport</c:v>
                </c:pt>
              </c:strCache>
            </c:strRef>
          </c:tx>
          <c:spPr>
            <a:ln w="28575" cap="rnd">
              <a:solidFill>
                <a:schemeClr val="accent2"/>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Data'!$B$3:$M$3</c:f>
              <c:numCache>
                <c:formatCode>General</c:formatCode>
                <c:ptCount val="12"/>
                <c:pt idx="0">
                  <c:v>295843.13264141412</c:v>
                </c:pt>
                <c:pt idx="1">
                  <c:v>319998.62466666661</c:v>
                </c:pt>
                <c:pt idx="2">
                  <c:v>294915.59566666669</c:v>
                </c:pt>
                <c:pt idx="3">
                  <c:v>333237.08933333337</c:v>
                </c:pt>
                <c:pt idx="4">
                  <c:v>337195.32933333336</c:v>
                </c:pt>
                <c:pt idx="5">
                  <c:v>296564.33733333333</c:v>
                </c:pt>
                <c:pt idx="6">
                  <c:v>278044.45333333331</c:v>
                </c:pt>
                <c:pt idx="7">
                  <c:v>271372.33133333334</c:v>
                </c:pt>
                <c:pt idx="8">
                  <c:v>348712.22333333339</c:v>
                </c:pt>
                <c:pt idx="9">
                  <c:v>295271.24188888888</c:v>
                </c:pt>
                <c:pt idx="10">
                  <c:v>304919.35188888892</c:v>
                </c:pt>
                <c:pt idx="11">
                  <c:v>302613.41188888886</c:v>
                </c:pt>
              </c:numCache>
            </c:numRef>
          </c:val>
          <c:smooth val="0"/>
          <c:extLst>
            <c:ext xmlns:c16="http://schemas.microsoft.com/office/drawing/2014/chart" uri="{C3380CC4-5D6E-409C-BE32-E72D297353CC}">
              <c16:uniqueId val="{00000001-20A1-4A7B-9FB3-F1551A88EFB2}"/>
            </c:ext>
          </c:extLst>
        </c:ser>
        <c:ser>
          <c:idx val="7"/>
          <c:order val="7"/>
          <c:tx>
            <c:strRef>
              <c:f>'Graphing Data'!$A$9</c:f>
              <c:strCache>
                <c:ptCount val="1"/>
                <c:pt idx="0">
                  <c:v>Pathways - Second Order</c:v>
                </c:pt>
              </c:strCache>
            </c:strRef>
          </c:tx>
          <c:spPr>
            <a:ln w="28575" cap="rnd">
              <a:solidFill>
                <a:schemeClr val="accent2">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Data'!$B$9:$M$9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0A1-4A7B-9FB3-F1551A88EFB2}"/>
            </c:ext>
          </c:extLst>
        </c:ser>
        <c:ser>
          <c:idx val="8"/>
          <c:order val="8"/>
          <c:tx>
            <c:strRef>
              <c:f>'Graphing Data'!$A$10</c:f>
              <c:strCache>
                <c:ptCount val="1"/>
                <c:pt idx="0">
                  <c:v>Pathways - Third Order</c:v>
                </c:pt>
              </c:strCache>
            </c:strRef>
          </c:tx>
          <c:spPr>
            <a:ln w="28575" cap="rnd">
              <a:solidFill>
                <a:schemeClr val="accent3">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Data'!$B$10:$M$10</c:f>
              <c:numCache>
                <c:formatCode>General</c:formatCode>
                <c:ptCount val="12"/>
                <c:pt idx="0">
                  <c:v>170.30999999999997</c:v>
                </c:pt>
                <c:pt idx="1">
                  <c:v>1483</c:v>
                </c:pt>
                <c:pt idx="2">
                  <c:v>1526</c:v>
                </c:pt>
                <c:pt idx="3">
                  <c:v>6950</c:v>
                </c:pt>
                <c:pt idx="4">
                  <c:v>5793</c:v>
                </c:pt>
                <c:pt idx="5">
                  <c:v>1950</c:v>
                </c:pt>
                <c:pt idx="6">
                  <c:v>4700</c:v>
                </c:pt>
                <c:pt idx="7">
                  <c:v>8155</c:v>
                </c:pt>
                <c:pt idx="8">
                  <c:v>7946</c:v>
                </c:pt>
                <c:pt idx="9">
                  <c:v>4242</c:v>
                </c:pt>
                <c:pt idx="10">
                  <c:v>1981.6154999999999</c:v>
                </c:pt>
                <c:pt idx="11">
                  <c:v>990.80774999999994</c:v>
                </c:pt>
              </c:numCache>
            </c:numRef>
          </c:val>
          <c:smooth val="0"/>
          <c:extLst>
            <c:ext xmlns:c16="http://schemas.microsoft.com/office/drawing/2014/chart" uri="{C3380CC4-5D6E-409C-BE32-E72D297353CC}">
              <c16:uniqueId val="{00000003-20A1-4A7B-9FB3-F1551A88EFB2}"/>
            </c:ext>
          </c:extLst>
        </c:ser>
        <c:ser>
          <c:idx val="9"/>
          <c:order val="9"/>
          <c:tx>
            <c:strRef>
              <c:f>'Graphing Data'!$A$11</c:f>
              <c:strCache>
                <c:ptCount val="1"/>
                <c:pt idx="0">
                  <c:v>Street Lighting -Second Order</c:v>
                </c:pt>
              </c:strCache>
            </c:strRef>
          </c:tx>
          <c:spPr>
            <a:ln w="28575" cap="rnd">
              <a:solidFill>
                <a:schemeClr val="accent4">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Data'!$B$11:$M$11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0A1-4A7B-9FB3-F1551A88EFB2}"/>
            </c:ext>
          </c:extLst>
        </c:ser>
        <c:ser>
          <c:idx val="10"/>
          <c:order val="10"/>
          <c:tx>
            <c:strRef>
              <c:f>'Graphing Data'!$A$12</c:f>
              <c:strCache>
                <c:ptCount val="1"/>
                <c:pt idx="0">
                  <c:v>Street Lighting - Third Order</c:v>
                </c:pt>
              </c:strCache>
            </c:strRef>
          </c:tx>
          <c:spPr>
            <a:ln w="28575" cap="rnd">
              <a:solidFill>
                <a:schemeClr val="accent5">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Data'!$B$12:$M$12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0A1-4A7B-9FB3-F1551A88EFB2}"/>
            </c:ext>
          </c:extLst>
        </c:ser>
        <c:ser>
          <c:idx val="11"/>
          <c:order val="11"/>
          <c:tx>
            <c:strRef>
              <c:f>'Graphing Data'!$A$13</c:f>
              <c:strCache>
                <c:ptCount val="1"/>
                <c:pt idx="0">
                  <c:v>Safety Barriers and Fencing - Second Order</c:v>
                </c:pt>
              </c:strCache>
            </c:strRef>
          </c:tx>
          <c:spPr>
            <a:ln w="28575" cap="rnd">
              <a:solidFill>
                <a:schemeClr val="accent6">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Data'!$B$13:$M$13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20A1-4A7B-9FB3-F1551A88EFB2}"/>
            </c:ext>
          </c:extLst>
        </c:ser>
        <c:ser>
          <c:idx val="12"/>
          <c:order val="12"/>
          <c:tx>
            <c:strRef>
              <c:f>'Graphing Data'!$A$14</c:f>
              <c:strCache>
                <c:ptCount val="1"/>
                <c:pt idx="0">
                  <c:v>Safety Barriers and Fencing - Third Order</c:v>
                </c:pt>
              </c:strCache>
            </c:strRef>
          </c:tx>
          <c:spPr>
            <a:ln w="28575" cap="rnd">
              <a:solidFill>
                <a:schemeClr val="accent1">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Data'!$B$14:$M$14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0A1-4A7B-9FB3-F1551A88EFB2}"/>
            </c:ext>
          </c:extLst>
        </c:ser>
        <c:ser>
          <c:idx val="13"/>
          <c:order val="13"/>
          <c:tx>
            <c:strRef>
              <c:f>'Graphing Data'!$A$15</c:f>
              <c:strCache>
                <c:ptCount val="1"/>
                <c:pt idx="0">
                  <c:v>Signage</c:v>
                </c:pt>
              </c:strCache>
            </c:strRef>
          </c:tx>
          <c:spPr>
            <a:ln w="28575" cap="rnd">
              <a:solidFill>
                <a:schemeClr val="accent2">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Data'!$B$15:$M$15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20A1-4A7B-9FB3-F1551A88EFB2}"/>
            </c:ext>
          </c:extLst>
        </c:ser>
        <c:ser>
          <c:idx val="14"/>
          <c:order val="14"/>
          <c:tx>
            <c:strRef>
              <c:f>'Graphing Data'!$A$16</c:f>
              <c:strCache>
                <c:ptCount val="1"/>
                <c:pt idx="0">
                  <c:v>Street Furniture - Second Order</c:v>
                </c:pt>
              </c:strCache>
            </c:strRef>
          </c:tx>
          <c:spPr>
            <a:ln w="28575" cap="rnd">
              <a:solidFill>
                <a:schemeClr val="accent3">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Data'!$B$16:$M$16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0A1-4A7B-9FB3-F1551A88EFB2}"/>
            </c:ext>
          </c:extLst>
        </c:ser>
        <c:ser>
          <c:idx val="15"/>
          <c:order val="15"/>
          <c:tx>
            <c:strRef>
              <c:f>'Graphing Data'!$A$17</c:f>
              <c:strCache>
                <c:ptCount val="1"/>
                <c:pt idx="0">
                  <c:v>Street Funiture - Third Order</c:v>
                </c:pt>
              </c:strCache>
            </c:strRef>
          </c:tx>
          <c:spPr>
            <a:ln w="28575" cap="rnd">
              <a:solidFill>
                <a:schemeClr val="accent4">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Data'!$B$17:$M$17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0A1-4A7B-9FB3-F1551A88EFB2}"/>
            </c:ext>
          </c:extLst>
        </c:ser>
        <c:ser>
          <c:idx val="16"/>
          <c:order val="16"/>
          <c:tx>
            <c:strRef>
              <c:f>'Graphing Data'!$A$18</c:f>
              <c:strCache>
                <c:ptCount val="1"/>
                <c:pt idx="0">
                  <c:v>Site Clearance and Earthworks</c:v>
                </c:pt>
              </c:strCache>
            </c:strRef>
          </c:tx>
          <c:spPr>
            <a:ln w="28575" cap="rnd">
              <a:solidFill>
                <a:schemeClr val="accent5">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Data'!$B$18:$M$18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B-20A1-4A7B-9FB3-F1551A88EFB2}"/>
            </c:ext>
          </c:extLst>
        </c:ser>
        <c:ser>
          <c:idx val="17"/>
          <c:order val="17"/>
          <c:tx>
            <c:strRef>
              <c:f>'Graphing Data'!$A$19</c:f>
              <c:strCache>
                <c:ptCount val="1"/>
                <c:pt idx="0">
                  <c:v>Bridge</c:v>
                </c:pt>
              </c:strCache>
            </c:strRef>
          </c:tx>
          <c:spPr>
            <a:ln w="28575" cap="rnd">
              <a:solidFill>
                <a:schemeClr val="accent6">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Data'!$B$19:$M$19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20A1-4A7B-9FB3-F1551A88EFB2}"/>
            </c:ext>
          </c:extLst>
        </c:ser>
        <c:ser>
          <c:idx val="18"/>
          <c:order val="18"/>
          <c:tx>
            <c:strRef>
              <c:f>'Graphing Data'!$A$20</c:f>
              <c:strCache>
                <c:ptCount val="1"/>
                <c:pt idx="0">
                  <c:v>Retaining Wall</c:v>
                </c:pt>
              </c:strCache>
            </c:strRef>
          </c:tx>
          <c:spPr>
            <a:ln w="28575" cap="rnd">
              <a:solidFill>
                <a:schemeClr val="accent1">
                  <a:lumMod val="8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Data'!$B$20:$M$20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D-20A1-4A7B-9FB3-F1551A88EFB2}"/>
            </c:ext>
          </c:extLst>
        </c:ser>
        <c:dLbls>
          <c:showLegendKey val="0"/>
          <c:showVal val="0"/>
          <c:showCatName val="0"/>
          <c:showSerName val="0"/>
          <c:showPercent val="0"/>
          <c:showBubbleSize val="0"/>
        </c:dLbls>
        <c:smooth val="0"/>
        <c:axId val="1248757040"/>
        <c:axId val="1248755600"/>
        <c:extLst>
          <c:ext xmlns:c15="http://schemas.microsoft.com/office/drawing/2012/chart" uri="{02D57815-91ED-43cb-92C2-25804820EDAC}">
            <c15:filteredLineSeries>
              <c15:ser>
                <c:idx val="2"/>
                <c:order val="2"/>
                <c:tx>
                  <c:strRef>
                    <c:extLst>
                      <c:ext uri="{02D57815-91ED-43cb-92C2-25804820EDAC}">
                        <c15:formulaRef>
                          <c15:sqref>'Graphing Data'!$A$4</c15:sqref>
                        </c15:formulaRef>
                      </c:ext>
                    </c:extLst>
                    <c:strCache>
                      <c:ptCount val="1"/>
                      <c:pt idx="0">
                        <c:v>Water</c:v>
                      </c:pt>
                    </c:strCache>
                  </c:strRef>
                </c:tx>
                <c:spPr>
                  <a:ln w="28575" cap="rnd">
                    <a:solidFill>
                      <a:schemeClr val="accent3"/>
                    </a:solidFill>
                    <a:round/>
                  </a:ln>
                  <a:effectLst/>
                </c:spPr>
                <c:marker>
                  <c:symbol val="none"/>
                </c:marker>
                <c:cat>
                  <c:strRef>
                    <c:extLst>
                      <c:ex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c:ext uri="{02D57815-91ED-43cb-92C2-25804820EDAC}">
                        <c15:formulaRef>
                          <c15:sqref>'Graphing Data'!$B$4:$M$4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20A1-4A7B-9FB3-F1551A88EFB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'Graphing Data'!$A$5</c15:sqref>
                        </c15:formulaRef>
                      </c:ext>
                    </c:extLst>
                    <c:strCache>
                      <c:ptCount val="1"/>
                      <c:pt idx="0">
                        <c:v>Waste</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Data'!$B$5:$M$5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F-20A1-4A7B-9FB3-F1551A88EFB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'Graphing Data'!$A$6</c15:sqref>
                        </c15:formulaRef>
                      </c:ext>
                    </c:extLst>
                    <c:strCache>
                      <c:ptCount val="1"/>
                      <c:pt idx="0">
                        <c:v>Pavement</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Data'!$B$6:$M$6</c15:sqref>
                        </c15:formulaRef>
                      </c:ext>
                    </c:extLst>
                    <c:numCache>
                      <c:formatCode>General</c:formatCode>
                      <c:ptCount val="12"/>
                      <c:pt idx="0">
                        <c:v>4198.1099999999997</c:v>
                      </c:pt>
                      <c:pt idx="1">
                        <c:v>5079</c:v>
                      </c:pt>
                      <c:pt idx="2">
                        <c:v>4022</c:v>
                      </c:pt>
                      <c:pt idx="3">
                        <c:v>36571</c:v>
                      </c:pt>
                      <c:pt idx="4">
                        <c:v>67310</c:v>
                      </c:pt>
                      <c:pt idx="5">
                        <c:v>58669</c:v>
                      </c:pt>
                      <c:pt idx="6">
                        <c:v>52048</c:v>
                      </c:pt>
                      <c:pt idx="7">
                        <c:v>90453</c:v>
                      </c:pt>
                      <c:pt idx="8">
                        <c:v>78732</c:v>
                      </c:pt>
                      <c:pt idx="9">
                        <c:v>44659</c:v>
                      </c:pt>
                      <c:pt idx="10">
                        <c:v>21831.927722222223</c:v>
                      </c:pt>
                      <c:pt idx="11">
                        <c:v>10915.963861111111</c:v>
                      </c:pt>
                    </c:numCache>
                  </c:numRef>
                </c:val>
                <c:smooth val="0"/>
                <c:extLst xmlns:c15="http://schemas.microsoft.com/office/drawing/2012/chart">
                  <c:ext xmlns:c16="http://schemas.microsoft.com/office/drawing/2014/chart" uri="{C3380CC4-5D6E-409C-BE32-E72D297353CC}">
                    <c16:uniqueId val="{00000010-20A1-4A7B-9FB3-F1551A88EFB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'Graphing Data'!$A$7</c15:sqref>
                        </c15:formulaRef>
                      </c:ext>
                    </c:extLst>
                    <c:strCache>
                      <c:ptCount val="1"/>
                      <c:pt idx="0">
                        <c:v>Drainage - Second Order</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Data'!$B$7:$M$7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11-20A1-4A7B-9FB3-F1551A88EFB2}"/>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'Graphing Data'!$A$8</c15:sqref>
                        </c15:formulaRef>
                      </c:ext>
                    </c:extLst>
                    <c:strCache>
                      <c:ptCount val="1"/>
                      <c:pt idx="0">
                        <c:v>Drainage - Third Order</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Data'!$B$8:$M$8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12-20A1-4A7B-9FB3-F1551A88EFB2}"/>
                  </c:ext>
                </c:extLst>
              </c15:ser>
            </c15:filteredLineSeries>
          </c:ext>
        </c:extLst>
      </c:lineChart>
      <c:catAx>
        <c:axId val="12487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755600"/>
        <c:crosses val="autoZero"/>
        <c:auto val="1"/>
        <c:lblAlgn val="ctr"/>
        <c:lblOffset val="100"/>
        <c:noMultiLvlLbl val="0"/>
      </c:catAx>
      <c:valAx>
        <c:axId val="124875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75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Proportion</a:t>
            </a:r>
            <a:r>
              <a:rPr lang="en-NZ" baseline="0"/>
              <a:t> Of Emissions By Group (Filter Groups)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0"/>
          <c:order val="0"/>
          <c:tx>
            <c:strRef>
              <c:f>'Graphing Data'!$A$2</c:f>
              <c:strCache>
                <c:ptCount val="1"/>
                <c:pt idx="0">
                  <c:v>Energy</c:v>
                </c:pt>
              </c:strCache>
            </c:strRef>
          </c:tx>
          <c:spPr>
            <a:solidFill>
              <a:schemeClr val="accent1"/>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Data'!$B$2:$M$2</c:f>
              <c:numCache>
                <c:formatCode>General</c:formatCode>
                <c:ptCount val="12"/>
                <c:pt idx="0">
                  <c:v>3739475.9195528217</c:v>
                </c:pt>
                <c:pt idx="1">
                  <c:v>3689571.5449966728</c:v>
                </c:pt>
                <c:pt idx="2">
                  <c:v>3714832.6301709265</c:v>
                </c:pt>
                <c:pt idx="3">
                  <c:v>3731551.8880728669</c:v>
                </c:pt>
                <c:pt idx="4">
                  <c:v>3729217.4087944697</c:v>
                </c:pt>
                <c:pt idx="5">
                  <c:v>3712976.4201296135</c:v>
                </c:pt>
                <c:pt idx="6">
                  <c:v>3730426.9920865046</c:v>
                </c:pt>
                <c:pt idx="7">
                  <c:v>3703645.3342623576</c:v>
                </c:pt>
                <c:pt idx="8">
                  <c:v>3704032.97720434</c:v>
                </c:pt>
                <c:pt idx="9">
                  <c:v>3691423.75169673</c:v>
                </c:pt>
                <c:pt idx="10">
                  <c:v>3689514.6816967302</c:v>
                </c:pt>
                <c:pt idx="11">
                  <c:v>3683762.4816967305</c:v>
                </c:pt>
              </c:numCache>
            </c:numRef>
          </c:val>
          <c:extLst>
            <c:ext xmlns:c16="http://schemas.microsoft.com/office/drawing/2014/chart" uri="{C3380CC4-5D6E-409C-BE32-E72D297353CC}">
              <c16:uniqueId val="{00000000-E9D5-4E34-AF4A-CFDF9EACA4F5}"/>
            </c:ext>
          </c:extLst>
        </c:ser>
        <c:ser>
          <c:idx val="1"/>
          <c:order val="1"/>
          <c:tx>
            <c:strRef>
              <c:f>'Graphing Data'!$A$3</c:f>
              <c:strCache>
                <c:ptCount val="1"/>
                <c:pt idx="0">
                  <c:v>Transport</c:v>
                </c:pt>
              </c:strCache>
            </c:strRef>
          </c:tx>
          <c:spPr>
            <a:solidFill>
              <a:schemeClr val="accent2"/>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Data'!$B$3:$M$3</c:f>
              <c:numCache>
                <c:formatCode>General</c:formatCode>
                <c:ptCount val="12"/>
                <c:pt idx="0">
                  <c:v>295843.13264141412</c:v>
                </c:pt>
                <c:pt idx="1">
                  <c:v>319998.62466666661</c:v>
                </c:pt>
                <c:pt idx="2">
                  <c:v>294915.59566666669</c:v>
                </c:pt>
                <c:pt idx="3">
                  <c:v>333237.08933333337</c:v>
                </c:pt>
                <c:pt idx="4">
                  <c:v>337195.32933333336</c:v>
                </c:pt>
                <c:pt idx="5">
                  <c:v>296564.33733333333</c:v>
                </c:pt>
                <c:pt idx="6">
                  <c:v>278044.45333333331</c:v>
                </c:pt>
                <c:pt idx="7">
                  <c:v>271372.33133333334</c:v>
                </c:pt>
                <c:pt idx="8">
                  <c:v>348712.22333333339</c:v>
                </c:pt>
                <c:pt idx="9">
                  <c:v>295271.24188888888</c:v>
                </c:pt>
                <c:pt idx="10">
                  <c:v>304919.35188888892</c:v>
                </c:pt>
                <c:pt idx="11">
                  <c:v>302613.41188888886</c:v>
                </c:pt>
              </c:numCache>
            </c:numRef>
          </c:val>
          <c:extLst>
            <c:ext xmlns:c16="http://schemas.microsoft.com/office/drawing/2014/chart" uri="{C3380CC4-5D6E-409C-BE32-E72D297353CC}">
              <c16:uniqueId val="{00000001-E9D5-4E34-AF4A-CFDF9EACA4F5}"/>
            </c:ext>
          </c:extLst>
        </c:ser>
        <c:ser>
          <c:idx val="4"/>
          <c:order val="4"/>
          <c:tx>
            <c:strRef>
              <c:f>'Graphing Data'!$A$6</c:f>
              <c:strCache>
                <c:ptCount val="1"/>
                <c:pt idx="0">
                  <c:v>Pavement</c:v>
                </c:pt>
              </c:strCache>
            </c:strRef>
          </c:tx>
          <c:spPr>
            <a:solidFill>
              <a:schemeClr val="accent5"/>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Data'!$B$6:$M$6</c:f>
              <c:numCache>
                <c:formatCode>General</c:formatCode>
                <c:ptCount val="12"/>
                <c:pt idx="0">
                  <c:v>4198.1099999999997</c:v>
                </c:pt>
                <c:pt idx="1">
                  <c:v>5079</c:v>
                </c:pt>
                <c:pt idx="2">
                  <c:v>4022</c:v>
                </c:pt>
                <c:pt idx="3">
                  <c:v>36571</c:v>
                </c:pt>
                <c:pt idx="4">
                  <c:v>67310</c:v>
                </c:pt>
                <c:pt idx="5">
                  <c:v>58669</c:v>
                </c:pt>
                <c:pt idx="6">
                  <c:v>52048</c:v>
                </c:pt>
                <c:pt idx="7">
                  <c:v>90453</c:v>
                </c:pt>
                <c:pt idx="8">
                  <c:v>78732</c:v>
                </c:pt>
                <c:pt idx="9">
                  <c:v>44659</c:v>
                </c:pt>
                <c:pt idx="10">
                  <c:v>21831.927722222223</c:v>
                </c:pt>
                <c:pt idx="11">
                  <c:v>10915.963861111111</c:v>
                </c:pt>
              </c:numCache>
            </c:numRef>
          </c:val>
          <c:extLst>
            <c:ext xmlns:c16="http://schemas.microsoft.com/office/drawing/2014/chart" uri="{C3380CC4-5D6E-409C-BE32-E72D297353CC}">
              <c16:uniqueId val="{00000002-E9D5-4E34-AF4A-CFDF9EACA4F5}"/>
            </c:ext>
          </c:extLst>
        </c:ser>
        <c:ser>
          <c:idx val="8"/>
          <c:order val="8"/>
          <c:tx>
            <c:strRef>
              <c:f>'Graphing Data'!$A$10</c:f>
              <c:strCache>
                <c:ptCount val="1"/>
                <c:pt idx="0">
                  <c:v>Pathways - Third Order</c:v>
                </c:pt>
              </c:strCache>
            </c:strRef>
          </c:tx>
          <c:spPr>
            <a:solidFill>
              <a:schemeClr val="accent3">
                <a:lumMod val="60000"/>
              </a:schemeClr>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Data'!$B$10:$M$10</c:f>
              <c:numCache>
                <c:formatCode>General</c:formatCode>
                <c:ptCount val="12"/>
                <c:pt idx="0">
                  <c:v>170.30999999999997</c:v>
                </c:pt>
                <c:pt idx="1">
                  <c:v>1483</c:v>
                </c:pt>
                <c:pt idx="2">
                  <c:v>1526</c:v>
                </c:pt>
                <c:pt idx="3">
                  <c:v>6950</c:v>
                </c:pt>
                <c:pt idx="4">
                  <c:v>5793</c:v>
                </c:pt>
                <c:pt idx="5">
                  <c:v>1950</c:v>
                </c:pt>
                <c:pt idx="6">
                  <c:v>4700</c:v>
                </c:pt>
                <c:pt idx="7">
                  <c:v>8155</c:v>
                </c:pt>
                <c:pt idx="8">
                  <c:v>7946</c:v>
                </c:pt>
                <c:pt idx="9">
                  <c:v>4242</c:v>
                </c:pt>
                <c:pt idx="10">
                  <c:v>1981.6154999999999</c:v>
                </c:pt>
                <c:pt idx="11">
                  <c:v>990.80774999999994</c:v>
                </c:pt>
              </c:numCache>
            </c:numRef>
          </c:val>
          <c:extLst>
            <c:ext xmlns:c16="http://schemas.microsoft.com/office/drawing/2014/chart" uri="{C3380CC4-5D6E-409C-BE32-E72D297353CC}">
              <c16:uniqueId val="{00000003-E9D5-4E34-AF4A-CFDF9EACA4F5}"/>
            </c:ext>
          </c:extLst>
        </c:ser>
        <c:dLbls>
          <c:showLegendKey val="0"/>
          <c:showVal val="0"/>
          <c:showCatName val="0"/>
          <c:showSerName val="0"/>
          <c:showPercent val="0"/>
          <c:showBubbleSize val="0"/>
        </c:dLbls>
        <c:axId val="1637101984"/>
        <c:axId val="1637105944"/>
        <c:extLst>
          <c:ext xmlns:c15="http://schemas.microsoft.com/office/drawing/2012/chart" uri="{02D57815-91ED-43cb-92C2-25804820EDAC}">
            <c15:filteredAreaSeries>
              <c15:ser>
                <c:idx val="2"/>
                <c:order val="2"/>
                <c:tx>
                  <c:strRef>
                    <c:extLst>
                      <c:ext uri="{02D57815-91ED-43cb-92C2-25804820EDAC}">
                        <c15:formulaRef>
                          <c15:sqref>'Graphing Data'!$A$4</c15:sqref>
                        </c15:formulaRef>
                      </c:ext>
                    </c:extLst>
                    <c:strCache>
                      <c:ptCount val="1"/>
                      <c:pt idx="0">
                        <c:v>Water</c:v>
                      </c:pt>
                    </c:strCache>
                  </c:strRef>
                </c:tx>
                <c:spPr>
                  <a:solidFill>
                    <a:schemeClr val="accent3"/>
                  </a:solidFill>
                  <a:ln w="25400">
                    <a:noFill/>
                  </a:ln>
                  <a:effectLst/>
                </c:spPr>
                <c:cat>
                  <c:strRef>
                    <c:extLst>
                      <c:ex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c:ext uri="{02D57815-91ED-43cb-92C2-25804820EDAC}">
                        <c15:formulaRef>
                          <c15:sqref>'Graphing Data'!$B$4:$M$4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9D5-4E34-AF4A-CFDF9EACA4F5}"/>
                  </c:ext>
                </c:extLst>
              </c15:ser>
            </c15:filteredAreaSeries>
            <c15:filteredAreaSeries>
              <c15:ser>
                <c:idx val="3"/>
                <c:order val="3"/>
                <c:tx>
                  <c:strRef>
                    <c:extLst xmlns:c15="http://schemas.microsoft.com/office/drawing/2012/chart">
                      <c:ext xmlns:c15="http://schemas.microsoft.com/office/drawing/2012/chart" uri="{02D57815-91ED-43cb-92C2-25804820EDAC}">
                        <c15:formulaRef>
                          <c15:sqref>'Graphing Data'!$A$5</c15:sqref>
                        </c15:formulaRef>
                      </c:ext>
                    </c:extLst>
                    <c:strCache>
                      <c:ptCount val="1"/>
                      <c:pt idx="0">
                        <c:v>Waste</c:v>
                      </c:pt>
                    </c:strCache>
                  </c:strRef>
                </c:tx>
                <c:spPr>
                  <a:solidFill>
                    <a:schemeClr val="accent4"/>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Data'!$B$5:$M$5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E9D5-4E34-AF4A-CFDF9EACA4F5}"/>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'Graphing Data'!$A$7</c15:sqref>
                        </c15:formulaRef>
                      </c:ext>
                    </c:extLst>
                    <c:strCache>
                      <c:ptCount val="1"/>
                      <c:pt idx="0">
                        <c:v>Drainage - Second Order</c:v>
                      </c:pt>
                    </c:strCache>
                  </c:strRef>
                </c:tx>
                <c:spPr>
                  <a:solidFill>
                    <a:schemeClr val="accent6"/>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Data'!$B$7:$M$7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E9D5-4E34-AF4A-CFDF9EACA4F5}"/>
                  </c:ext>
                </c:extLst>
              </c15:ser>
            </c15:filteredAreaSeries>
            <c15:filteredAreaSeries>
              <c15:ser>
                <c:idx val="6"/>
                <c:order val="6"/>
                <c:tx>
                  <c:strRef>
                    <c:extLst xmlns:c15="http://schemas.microsoft.com/office/drawing/2012/chart">
                      <c:ext xmlns:c15="http://schemas.microsoft.com/office/drawing/2012/chart" uri="{02D57815-91ED-43cb-92C2-25804820EDAC}">
                        <c15:formulaRef>
                          <c15:sqref>'Graphing Data'!$A$8</c15:sqref>
                        </c15:formulaRef>
                      </c:ext>
                    </c:extLst>
                    <c:strCache>
                      <c:ptCount val="1"/>
                      <c:pt idx="0">
                        <c:v>Drainage - Third Order</c:v>
                      </c:pt>
                    </c:strCache>
                  </c:strRef>
                </c:tx>
                <c:spPr>
                  <a:solidFill>
                    <a:schemeClr val="accent1">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Data'!$B$8:$M$8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E9D5-4E34-AF4A-CFDF9EACA4F5}"/>
                  </c:ext>
                </c:extLst>
              </c15:ser>
            </c15:filteredAreaSeries>
            <c15:filteredAreaSeries>
              <c15:ser>
                <c:idx val="7"/>
                <c:order val="7"/>
                <c:tx>
                  <c:strRef>
                    <c:extLst xmlns:c15="http://schemas.microsoft.com/office/drawing/2012/chart">
                      <c:ext xmlns:c15="http://schemas.microsoft.com/office/drawing/2012/chart" uri="{02D57815-91ED-43cb-92C2-25804820EDAC}">
                        <c15:formulaRef>
                          <c15:sqref>'Graphing Data'!$A$9</c15:sqref>
                        </c15:formulaRef>
                      </c:ext>
                    </c:extLst>
                    <c:strCache>
                      <c:ptCount val="1"/>
                      <c:pt idx="0">
                        <c:v>Pathways - Second Order</c:v>
                      </c:pt>
                    </c:strCache>
                  </c:strRef>
                </c:tx>
                <c:spPr>
                  <a:solidFill>
                    <a:schemeClr val="accent2">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Data'!$B$9:$M$9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E9D5-4E34-AF4A-CFDF9EACA4F5}"/>
                  </c:ext>
                </c:extLst>
              </c15:ser>
            </c15:filteredAreaSeries>
            <c15:filteredAreaSeries>
              <c15:ser>
                <c:idx val="9"/>
                <c:order val="9"/>
                <c:tx>
                  <c:strRef>
                    <c:extLst xmlns:c15="http://schemas.microsoft.com/office/drawing/2012/chart">
                      <c:ext xmlns:c15="http://schemas.microsoft.com/office/drawing/2012/chart" uri="{02D57815-91ED-43cb-92C2-25804820EDAC}">
                        <c15:formulaRef>
                          <c15:sqref>'Graphing Data'!$A$11</c15:sqref>
                        </c15:formulaRef>
                      </c:ext>
                    </c:extLst>
                    <c:strCache>
                      <c:ptCount val="1"/>
                      <c:pt idx="0">
                        <c:v>Street Lighting -Second Order</c:v>
                      </c:pt>
                    </c:strCache>
                  </c:strRef>
                </c:tx>
                <c:spPr>
                  <a:solidFill>
                    <a:schemeClr val="accent4">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Data'!$B$11:$M$11</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E9D5-4E34-AF4A-CFDF9EACA4F5}"/>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'Graphing Data'!$A$12</c15:sqref>
                        </c15:formulaRef>
                      </c:ext>
                    </c:extLst>
                    <c:strCache>
                      <c:ptCount val="1"/>
                      <c:pt idx="0">
                        <c:v>Street Lighting - Third Order</c:v>
                      </c:pt>
                    </c:strCache>
                  </c:strRef>
                </c:tx>
                <c:spPr>
                  <a:solidFill>
                    <a:schemeClr val="accent5">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Data'!$B$12:$M$12</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E9D5-4E34-AF4A-CFDF9EACA4F5}"/>
                  </c:ext>
                </c:extLst>
              </c15:ser>
            </c15:filteredAreaSeries>
            <c15:filteredAreaSeries>
              <c15:ser>
                <c:idx val="11"/>
                <c:order val="11"/>
                <c:tx>
                  <c:strRef>
                    <c:extLst xmlns:c15="http://schemas.microsoft.com/office/drawing/2012/chart">
                      <c:ext xmlns:c15="http://schemas.microsoft.com/office/drawing/2012/chart" uri="{02D57815-91ED-43cb-92C2-25804820EDAC}">
                        <c15:formulaRef>
                          <c15:sqref>'Graphing Data'!$A$13</c15:sqref>
                        </c15:formulaRef>
                      </c:ext>
                    </c:extLst>
                    <c:strCache>
                      <c:ptCount val="1"/>
                      <c:pt idx="0">
                        <c:v>Safety Barriers and Fencing - Second Order</c:v>
                      </c:pt>
                    </c:strCache>
                  </c:strRef>
                </c:tx>
                <c:spPr>
                  <a:solidFill>
                    <a:schemeClr val="accent6">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Data'!$B$13:$M$13</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E9D5-4E34-AF4A-CFDF9EACA4F5}"/>
                  </c:ext>
                </c:extLst>
              </c15:ser>
            </c15:filteredAreaSeries>
            <c15:filteredAreaSeries>
              <c15:ser>
                <c:idx val="12"/>
                <c:order val="12"/>
                <c:tx>
                  <c:strRef>
                    <c:extLst xmlns:c15="http://schemas.microsoft.com/office/drawing/2012/chart">
                      <c:ext xmlns:c15="http://schemas.microsoft.com/office/drawing/2012/chart" uri="{02D57815-91ED-43cb-92C2-25804820EDAC}">
                        <c15:formulaRef>
                          <c15:sqref>'Graphing Data'!$A$14</c15:sqref>
                        </c15:formulaRef>
                      </c:ext>
                    </c:extLst>
                    <c:strCache>
                      <c:ptCount val="1"/>
                      <c:pt idx="0">
                        <c:v>Safety Barriers and Fencing - Third Order</c:v>
                      </c:pt>
                    </c:strCache>
                  </c:strRef>
                </c:tx>
                <c:spPr>
                  <a:solidFill>
                    <a:schemeClr val="accent1">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Data'!$B$14:$M$14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E9D5-4E34-AF4A-CFDF9EACA4F5}"/>
                  </c:ext>
                </c:extLst>
              </c15:ser>
            </c15:filteredAreaSeries>
            <c15:filteredAreaSeries>
              <c15:ser>
                <c:idx val="13"/>
                <c:order val="13"/>
                <c:tx>
                  <c:strRef>
                    <c:extLst xmlns:c15="http://schemas.microsoft.com/office/drawing/2012/chart">
                      <c:ext xmlns:c15="http://schemas.microsoft.com/office/drawing/2012/chart" uri="{02D57815-91ED-43cb-92C2-25804820EDAC}">
                        <c15:formulaRef>
                          <c15:sqref>'Graphing Data'!$A$15</c15:sqref>
                        </c15:formulaRef>
                      </c:ext>
                    </c:extLst>
                    <c:strCache>
                      <c:ptCount val="1"/>
                      <c:pt idx="0">
                        <c:v>Signage</c:v>
                      </c:pt>
                    </c:strCache>
                  </c:strRef>
                </c:tx>
                <c:spPr>
                  <a:solidFill>
                    <a:schemeClr val="accent2">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Data'!$B$15:$M$15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E9D5-4E34-AF4A-CFDF9EACA4F5}"/>
                  </c:ext>
                </c:extLst>
              </c15:ser>
            </c15:filteredAreaSeries>
            <c15:filteredAreaSeries>
              <c15:ser>
                <c:idx val="14"/>
                <c:order val="14"/>
                <c:tx>
                  <c:strRef>
                    <c:extLst xmlns:c15="http://schemas.microsoft.com/office/drawing/2012/chart">
                      <c:ext xmlns:c15="http://schemas.microsoft.com/office/drawing/2012/chart" uri="{02D57815-91ED-43cb-92C2-25804820EDAC}">
                        <c15:formulaRef>
                          <c15:sqref>'Graphing Data'!$A$16</c15:sqref>
                        </c15:formulaRef>
                      </c:ext>
                    </c:extLst>
                    <c:strCache>
                      <c:ptCount val="1"/>
                      <c:pt idx="0">
                        <c:v>Street Furniture - Second Order</c:v>
                      </c:pt>
                    </c:strCache>
                  </c:strRef>
                </c:tx>
                <c:spPr>
                  <a:solidFill>
                    <a:schemeClr val="accent3">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Data'!$B$16:$M$16</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E-E9D5-4E34-AF4A-CFDF9EACA4F5}"/>
                  </c:ext>
                </c:extLst>
              </c15:ser>
            </c15:filteredAreaSeries>
            <c15:filteredAreaSeries>
              <c15:ser>
                <c:idx val="15"/>
                <c:order val="15"/>
                <c:tx>
                  <c:strRef>
                    <c:extLst xmlns:c15="http://schemas.microsoft.com/office/drawing/2012/chart">
                      <c:ext xmlns:c15="http://schemas.microsoft.com/office/drawing/2012/chart" uri="{02D57815-91ED-43cb-92C2-25804820EDAC}">
                        <c15:formulaRef>
                          <c15:sqref>'Graphing Data'!$A$17</c15:sqref>
                        </c15:formulaRef>
                      </c:ext>
                    </c:extLst>
                    <c:strCache>
                      <c:ptCount val="1"/>
                      <c:pt idx="0">
                        <c:v>Street Funiture - Third Order</c:v>
                      </c:pt>
                    </c:strCache>
                  </c:strRef>
                </c:tx>
                <c:spPr>
                  <a:solidFill>
                    <a:schemeClr val="accent4">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Data'!$B$17:$M$17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F-E9D5-4E34-AF4A-CFDF9EACA4F5}"/>
                  </c:ext>
                </c:extLst>
              </c15:ser>
            </c15:filteredAreaSeries>
            <c15:filteredAreaSeries>
              <c15:ser>
                <c:idx val="16"/>
                <c:order val="16"/>
                <c:tx>
                  <c:strRef>
                    <c:extLst xmlns:c15="http://schemas.microsoft.com/office/drawing/2012/chart">
                      <c:ext xmlns:c15="http://schemas.microsoft.com/office/drawing/2012/chart" uri="{02D57815-91ED-43cb-92C2-25804820EDAC}">
                        <c15:formulaRef>
                          <c15:sqref>'Graphing Data'!$A$18</c15:sqref>
                        </c15:formulaRef>
                      </c:ext>
                    </c:extLst>
                    <c:strCache>
                      <c:ptCount val="1"/>
                      <c:pt idx="0">
                        <c:v>Site Clearance and Earthworks</c:v>
                      </c:pt>
                    </c:strCache>
                  </c:strRef>
                </c:tx>
                <c:spPr>
                  <a:solidFill>
                    <a:schemeClr val="accent5">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Data'!$B$18:$M$18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0-E9D5-4E34-AF4A-CFDF9EACA4F5}"/>
                  </c:ext>
                </c:extLst>
              </c15:ser>
            </c15:filteredAreaSeries>
            <c15:filteredAreaSeries>
              <c15:ser>
                <c:idx val="17"/>
                <c:order val="17"/>
                <c:tx>
                  <c:strRef>
                    <c:extLst xmlns:c15="http://schemas.microsoft.com/office/drawing/2012/chart">
                      <c:ext xmlns:c15="http://schemas.microsoft.com/office/drawing/2012/chart" uri="{02D57815-91ED-43cb-92C2-25804820EDAC}">
                        <c15:formulaRef>
                          <c15:sqref>'Graphing Data'!$A$19</c15:sqref>
                        </c15:formulaRef>
                      </c:ext>
                    </c:extLst>
                    <c:strCache>
                      <c:ptCount val="1"/>
                      <c:pt idx="0">
                        <c:v>Bridge</c:v>
                      </c:pt>
                    </c:strCache>
                  </c:strRef>
                </c:tx>
                <c:spPr>
                  <a:solidFill>
                    <a:schemeClr val="accent6">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Data'!$B$19:$M$19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1-E9D5-4E34-AF4A-CFDF9EACA4F5}"/>
                  </c:ext>
                </c:extLst>
              </c15:ser>
            </c15:filteredAreaSeries>
            <c15:filteredAreaSeries>
              <c15:ser>
                <c:idx val="18"/>
                <c:order val="18"/>
                <c:tx>
                  <c:strRef>
                    <c:extLst xmlns:c15="http://schemas.microsoft.com/office/drawing/2012/chart">
                      <c:ext xmlns:c15="http://schemas.microsoft.com/office/drawing/2012/chart" uri="{02D57815-91ED-43cb-92C2-25804820EDAC}">
                        <c15:formulaRef>
                          <c15:sqref>'Graphing Data'!$A$20</c15:sqref>
                        </c15:formulaRef>
                      </c:ext>
                    </c:extLst>
                    <c:strCache>
                      <c:ptCount val="1"/>
                      <c:pt idx="0">
                        <c:v>Retaining Wall</c:v>
                      </c:pt>
                    </c:strCache>
                  </c:strRef>
                </c:tx>
                <c:spPr>
                  <a:solidFill>
                    <a:schemeClr val="accent1">
                      <a:lumMod val="8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Data'!$B$20:$M$20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2-E9D5-4E34-AF4A-CFDF9EACA4F5}"/>
                  </c:ext>
                </c:extLst>
              </c15:ser>
            </c15:filteredAreaSeries>
          </c:ext>
        </c:extLst>
      </c:areaChart>
      <c:catAx>
        <c:axId val="1637101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7105944"/>
        <c:crosses val="autoZero"/>
        <c:auto val="1"/>
        <c:lblAlgn val="ctr"/>
        <c:lblOffset val="100"/>
        <c:noMultiLvlLbl val="0"/>
      </c:catAx>
      <c:valAx>
        <c:axId val="1637105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7101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Emissions</a:t>
            </a:r>
            <a:r>
              <a:rPr lang="en-NZ" baseline="0"/>
              <a:t> By Group (Filter Groups)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'Graphing Data'!$A$2</c:f>
              <c:strCache>
                <c:ptCount val="1"/>
                <c:pt idx="0">
                  <c:v>Energy</c:v>
                </c:pt>
              </c:strCache>
            </c:strRef>
          </c:tx>
          <c:spPr>
            <a:ln w="28575" cap="rnd">
              <a:solidFill>
                <a:schemeClr val="accent1"/>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Data'!$B$2:$M$2</c:f>
              <c:numCache>
                <c:formatCode>General</c:formatCode>
                <c:ptCount val="12"/>
                <c:pt idx="0">
                  <c:v>3739475.9195528217</c:v>
                </c:pt>
                <c:pt idx="1">
                  <c:v>3689571.5449966728</c:v>
                </c:pt>
                <c:pt idx="2">
                  <c:v>3714832.6301709265</c:v>
                </c:pt>
                <c:pt idx="3">
                  <c:v>3731551.8880728669</c:v>
                </c:pt>
                <c:pt idx="4">
                  <c:v>3729217.4087944697</c:v>
                </c:pt>
                <c:pt idx="5">
                  <c:v>3712976.4201296135</c:v>
                </c:pt>
                <c:pt idx="6">
                  <c:v>3730426.9920865046</c:v>
                </c:pt>
                <c:pt idx="7">
                  <c:v>3703645.3342623576</c:v>
                </c:pt>
                <c:pt idx="8">
                  <c:v>3704032.97720434</c:v>
                </c:pt>
                <c:pt idx="9">
                  <c:v>3691423.75169673</c:v>
                </c:pt>
                <c:pt idx="10">
                  <c:v>3689514.6816967302</c:v>
                </c:pt>
                <c:pt idx="11">
                  <c:v>3683762.4816967305</c:v>
                </c:pt>
              </c:numCache>
            </c:numRef>
          </c:val>
          <c:smooth val="0"/>
          <c:extLst>
            <c:ext xmlns:c16="http://schemas.microsoft.com/office/drawing/2014/chart" uri="{C3380CC4-5D6E-409C-BE32-E72D297353CC}">
              <c16:uniqueId val="{00000000-2D0F-4402-860A-AA1982EF5074}"/>
            </c:ext>
          </c:extLst>
        </c:ser>
        <c:ser>
          <c:idx val="1"/>
          <c:order val="1"/>
          <c:tx>
            <c:strRef>
              <c:f>'Graphing Data'!$A$3</c:f>
              <c:strCache>
                <c:ptCount val="1"/>
                <c:pt idx="0">
                  <c:v>Transport</c:v>
                </c:pt>
              </c:strCache>
            </c:strRef>
          </c:tx>
          <c:spPr>
            <a:ln w="28575" cap="rnd">
              <a:solidFill>
                <a:schemeClr val="accent2"/>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Data'!$B$3:$M$3</c:f>
              <c:numCache>
                <c:formatCode>General</c:formatCode>
                <c:ptCount val="12"/>
                <c:pt idx="0">
                  <c:v>295843.13264141412</c:v>
                </c:pt>
                <c:pt idx="1">
                  <c:v>319998.62466666661</c:v>
                </c:pt>
                <c:pt idx="2">
                  <c:v>294915.59566666669</c:v>
                </c:pt>
                <c:pt idx="3">
                  <c:v>333237.08933333337</c:v>
                </c:pt>
                <c:pt idx="4">
                  <c:v>337195.32933333336</c:v>
                </c:pt>
                <c:pt idx="5">
                  <c:v>296564.33733333333</c:v>
                </c:pt>
                <c:pt idx="6">
                  <c:v>278044.45333333331</c:v>
                </c:pt>
                <c:pt idx="7">
                  <c:v>271372.33133333334</c:v>
                </c:pt>
                <c:pt idx="8">
                  <c:v>348712.22333333339</c:v>
                </c:pt>
                <c:pt idx="9">
                  <c:v>295271.24188888888</c:v>
                </c:pt>
                <c:pt idx="10">
                  <c:v>304919.35188888892</c:v>
                </c:pt>
                <c:pt idx="11">
                  <c:v>302613.41188888886</c:v>
                </c:pt>
              </c:numCache>
            </c:numRef>
          </c:val>
          <c:smooth val="0"/>
          <c:extLst>
            <c:ext xmlns:c16="http://schemas.microsoft.com/office/drawing/2014/chart" uri="{C3380CC4-5D6E-409C-BE32-E72D297353CC}">
              <c16:uniqueId val="{00000001-2D0F-4402-860A-AA1982EF5074}"/>
            </c:ext>
          </c:extLst>
        </c:ser>
        <c:ser>
          <c:idx val="7"/>
          <c:order val="7"/>
          <c:tx>
            <c:strRef>
              <c:f>'Graphing Data'!$A$9</c:f>
              <c:strCache>
                <c:ptCount val="1"/>
                <c:pt idx="0">
                  <c:v>Pathways - Second Order</c:v>
                </c:pt>
              </c:strCache>
            </c:strRef>
          </c:tx>
          <c:spPr>
            <a:ln w="28575" cap="rnd">
              <a:solidFill>
                <a:schemeClr val="accent2">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Data'!$B$9:$M$9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D0F-4402-860A-AA1982EF5074}"/>
            </c:ext>
          </c:extLst>
        </c:ser>
        <c:ser>
          <c:idx val="8"/>
          <c:order val="8"/>
          <c:tx>
            <c:strRef>
              <c:f>'Graphing Data'!$A$10</c:f>
              <c:strCache>
                <c:ptCount val="1"/>
                <c:pt idx="0">
                  <c:v>Pathways - Third Order</c:v>
                </c:pt>
              </c:strCache>
            </c:strRef>
          </c:tx>
          <c:spPr>
            <a:ln w="28575" cap="rnd">
              <a:solidFill>
                <a:schemeClr val="accent3">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Data'!$B$10:$M$10</c:f>
              <c:numCache>
                <c:formatCode>General</c:formatCode>
                <c:ptCount val="12"/>
                <c:pt idx="0">
                  <c:v>170.30999999999997</c:v>
                </c:pt>
                <c:pt idx="1">
                  <c:v>1483</c:v>
                </c:pt>
                <c:pt idx="2">
                  <c:v>1526</c:v>
                </c:pt>
                <c:pt idx="3">
                  <c:v>6950</c:v>
                </c:pt>
                <c:pt idx="4">
                  <c:v>5793</c:v>
                </c:pt>
                <c:pt idx="5">
                  <c:v>1950</c:v>
                </c:pt>
                <c:pt idx="6">
                  <c:v>4700</c:v>
                </c:pt>
                <c:pt idx="7">
                  <c:v>8155</c:v>
                </c:pt>
                <c:pt idx="8">
                  <c:v>7946</c:v>
                </c:pt>
                <c:pt idx="9">
                  <c:v>4242</c:v>
                </c:pt>
                <c:pt idx="10">
                  <c:v>1981.6154999999999</c:v>
                </c:pt>
                <c:pt idx="11">
                  <c:v>990.80774999999994</c:v>
                </c:pt>
              </c:numCache>
            </c:numRef>
          </c:val>
          <c:smooth val="0"/>
          <c:extLst>
            <c:ext xmlns:c16="http://schemas.microsoft.com/office/drawing/2014/chart" uri="{C3380CC4-5D6E-409C-BE32-E72D297353CC}">
              <c16:uniqueId val="{00000008-2D0F-4402-860A-AA1982EF5074}"/>
            </c:ext>
          </c:extLst>
        </c:ser>
        <c:ser>
          <c:idx val="9"/>
          <c:order val="9"/>
          <c:tx>
            <c:strRef>
              <c:f>'Graphing Data'!$A$11</c:f>
              <c:strCache>
                <c:ptCount val="1"/>
                <c:pt idx="0">
                  <c:v>Street Lighting -Second Order</c:v>
                </c:pt>
              </c:strCache>
            </c:strRef>
          </c:tx>
          <c:spPr>
            <a:ln w="28575" cap="rnd">
              <a:solidFill>
                <a:schemeClr val="accent4">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Data'!$B$11:$M$11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D0F-4402-860A-AA1982EF5074}"/>
            </c:ext>
          </c:extLst>
        </c:ser>
        <c:ser>
          <c:idx val="10"/>
          <c:order val="10"/>
          <c:tx>
            <c:strRef>
              <c:f>'Graphing Data'!$A$12</c:f>
              <c:strCache>
                <c:ptCount val="1"/>
                <c:pt idx="0">
                  <c:v>Street Lighting - Third Order</c:v>
                </c:pt>
              </c:strCache>
            </c:strRef>
          </c:tx>
          <c:spPr>
            <a:ln w="28575" cap="rnd">
              <a:solidFill>
                <a:schemeClr val="accent5">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Data'!$B$12:$M$12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D0F-4402-860A-AA1982EF5074}"/>
            </c:ext>
          </c:extLst>
        </c:ser>
        <c:ser>
          <c:idx val="11"/>
          <c:order val="11"/>
          <c:tx>
            <c:strRef>
              <c:f>'Graphing Data'!$A$13</c:f>
              <c:strCache>
                <c:ptCount val="1"/>
                <c:pt idx="0">
                  <c:v>Safety Barriers and Fencing - Second Order</c:v>
                </c:pt>
              </c:strCache>
            </c:strRef>
          </c:tx>
          <c:spPr>
            <a:ln w="28575" cap="rnd">
              <a:solidFill>
                <a:schemeClr val="accent6">
                  <a:lumMod val="6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Data'!$B$13:$M$13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B-2D0F-4402-860A-AA1982EF5074}"/>
            </c:ext>
          </c:extLst>
        </c:ser>
        <c:ser>
          <c:idx val="12"/>
          <c:order val="12"/>
          <c:tx>
            <c:strRef>
              <c:f>'Graphing Data'!$A$14</c:f>
              <c:strCache>
                <c:ptCount val="1"/>
                <c:pt idx="0">
                  <c:v>Safety Barriers and Fencing - Third Order</c:v>
                </c:pt>
              </c:strCache>
            </c:strRef>
          </c:tx>
          <c:spPr>
            <a:ln w="28575" cap="rnd">
              <a:solidFill>
                <a:schemeClr val="accent1">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Data'!$B$14:$M$14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2D0F-4402-860A-AA1982EF5074}"/>
            </c:ext>
          </c:extLst>
        </c:ser>
        <c:ser>
          <c:idx val="13"/>
          <c:order val="13"/>
          <c:tx>
            <c:strRef>
              <c:f>'Graphing Data'!$A$15</c:f>
              <c:strCache>
                <c:ptCount val="1"/>
                <c:pt idx="0">
                  <c:v>Signage</c:v>
                </c:pt>
              </c:strCache>
            </c:strRef>
          </c:tx>
          <c:spPr>
            <a:ln w="28575" cap="rnd">
              <a:solidFill>
                <a:schemeClr val="accent2">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Data'!$B$15:$M$15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D-2D0F-4402-860A-AA1982EF5074}"/>
            </c:ext>
          </c:extLst>
        </c:ser>
        <c:ser>
          <c:idx val="14"/>
          <c:order val="14"/>
          <c:tx>
            <c:strRef>
              <c:f>'Graphing Data'!$A$16</c:f>
              <c:strCache>
                <c:ptCount val="1"/>
                <c:pt idx="0">
                  <c:v>Street Furniture - Second Order</c:v>
                </c:pt>
              </c:strCache>
            </c:strRef>
          </c:tx>
          <c:spPr>
            <a:ln w="28575" cap="rnd">
              <a:solidFill>
                <a:schemeClr val="accent3">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Data'!$B$16:$M$16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2D0F-4402-860A-AA1982EF5074}"/>
            </c:ext>
          </c:extLst>
        </c:ser>
        <c:ser>
          <c:idx val="15"/>
          <c:order val="15"/>
          <c:tx>
            <c:strRef>
              <c:f>'Graphing Data'!$A$17</c:f>
              <c:strCache>
                <c:ptCount val="1"/>
                <c:pt idx="0">
                  <c:v>Street Funiture - Third Order</c:v>
                </c:pt>
              </c:strCache>
            </c:strRef>
          </c:tx>
          <c:spPr>
            <a:ln w="28575" cap="rnd">
              <a:solidFill>
                <a:schemeClr val="accent4">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Data'!$B$17:$M$17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F-2D0F-4402-860A-AA1982EF5074}"/>
            </c:ext>
          </c:extLst>
        </c:ser>
        <c:ser>
          <c:idx val="16"/>
          <c:order val="16"/>
          <c:tx>
            <c:strRef>
              <c:f>'Graphing Data'!$A$18</c:f>
              <c:strCache>
                <c:ptCount val="1"/>
                <c:pt idx="0">
                  <c:v>Site Clearance and Earthworks</c:v>
                </c:pt>
              </c:strCache>
            </c:strRef>
          </c:tx>
          <c:spPr>
            <a:ln w="28575" cap="rnd">
              <a:solidFill>
                <a:schemeClr val="accent5">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Data'!$B$18:$M$18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0-2D0F-4402-860A-AA1982EF5074}"/>
            </c:ext>
          </c:extLst>
        </c:ser>
        <c:ser>
          <c:idx val="17"/>
          <c:order val="17"/>
          <c:tx>
            <c:strRef>
              <c:f>'Graphing Data'!$A$19</c:f>
              <c:strCache>
                <c:ptCount val="1"/>
                <c:pt idx="0">
                  <c:v>Bridge</c:v>
                </c:pt>
              </c:strCache>
            </c:strRef>
          </c:tx>
          <c:spPr>
            <a:ln w="28575" cap="rnd">
              <a:solidFill>
                <a:schemeClr val="accent6">
                  <a:lumMod val="80000"/>
                  <a:lumOff val="2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Data'!$B$19:$M$19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1-2D0F-4402-860A-AA1982EF5074}"/>
            </c:ext>
          </c:extLst>
        </c:ser>
        <c:ser>
          <c:idx val="18"/>
          <c:order val="18"/>
          <c:tx>
            <c:strRef>
              <c:f>'Graphing Data'!$A$20</c:f>
              <c:strCache>
                <c:ptCount val="1"/>
                <c:pt idx="0">
                  <c:v>Retaining Wall</c:v>
                </c:pt>
              </c:strCache>
            </c:strRef>
          </c:tx>
          <c:spPr>
            <a:ln w="28575" cap="rnd">
              <a:solidFill>
                <a:schemeClr val="accent1">
                  <a:lumMod val="8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Data'!$B$20:$M$20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2-2D0F-4402-860A-AA1982EF5074}"/>
            </c:ext>
          </c:extLst>
        </c:ser>
        <c:dLbls>
          <c:showLegendKey val="0"/>
          <c:showVal val="0"/>
          <c:showCatName val="0"/>
          <c:showSerName val="0"/>
          <c:showPercent val="0"/>
          <c:showBubbleSize val="0"/>
        </c:dLbls>
        <c:smooth val="0"/>
        <c:axId val="1248757040"/>
        <c:axId val="1248755600"/>
        <c:extLst>
          <c:ext xmlns:c15="http://schemas.microsoft.com/office/drawing/2012/chart" uri="{02D57815-91ED-43cb-92C2-25804820EDAC}">
            <c15:filteredLineSeries>
              <c15:ser>
                <c:idx val="2"/>
                <c:order val="2"/>
                <c:tx>
                  <c:strRef>
                    <c:extLst>
                      <c:ext uri="{02D57815-91ED-43cb-92C2-25804820EDAC}">
                        <c15:formulaRef>
                          <c15:sqref>'Graphing Data'!$A$4</c15:sqref>
                        </c15:formulaRef>
                      </c:ext>
                    </c:extLst>
                    <c:strCache>
                      <c:ptCount val="1"/>
                      <c:pt idx="0">
                        <c:v>Water</c:v>
                      </c:pt>
                    </c:strCache>
                  </c:strRef>
                </c:tx>
                <c:spPr>
                  <a:ln w="28575" cap="rnd">
                    <a:solidFill>
                      <a:schemeClr val="accent3"/>
                    </a:solidFill>
                    <a:round/>
                  </a:ln>
                  <a:effectLst/>
                </c:spPr>
                <c:marker>
                  <c:symbol val="none"/>
                </c:marker>
                <c:cat>
                  <c:strRef>
                    <c:extLst>
                      <c:ex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c:ext uri="{02D57815-91ED-43cb-92C2-25804820EDAC}">
                        <c15:formulaRef>
                          <c15:sqref>'Graphing Data'!$B$4:$M$4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D0F-4402-860A-AA1982EF5074}"/>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'Graphing Data'!$A$5</c15:sqref>
                        </c15:formulaRef>
                      </c:ext>
                    </c:extLst>
                    <c:strCache>
                      <c:ptCount val="1"/>
                      <c:pt idx="0">
                        <c:v>Waste</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Data'!$B$5:$M$5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3-2D0F-4402-860A-AA1982EF5074}"/>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'Graphing Data'!$A$6</c15:sqref>
                        </c15:formulaRef>
                      </c:ext>
                    </c:extLst>
                    <c:strCache>
                      <c:ptCount val="1"/>
                      <c:pt idx="0">
                        <c:v>Pavement</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Data'!$B$6:$M$6</c15:sqref>
                        </c15:formulaRef>
                      </c:ext>
                    </c:extLst>
                    <c:numCache>
                      <c:formatCode>General</c:formatCode>
                      <c:ptCount val="12"/>
                      <c:pt idx="0">
                        <c:v>4198.1099999999997</c:v>
                      </c:pt>
                      <c:pt idx="1">
                        <c:v>5079</c:v>
                      </c:pt>
                      <c:pt idx="2">
                        <c:v>4022</c:v>
                      </c:pt>
                      <c:pt idx="3">
                        <c:v>36571</c:v>
                      </c:pt>
                      <c:pt idx="4">
                        <c:v>67310</c:v>
                      </c:pt>
                      <c:pt idx="5">
                        <c:v>58669</c:v>
                      </c:pt>
                      <c:pt idx="6">
                        <c:v>52048</c:v>
                      </c:pt>
                      <c:pt idx="7">
                        <c:v>90453</c:v>
                      </c:pt>
                      <c:pt idx="8">
                        <c:v>78732</c:v>
                      </c:pt>
                      <c:pt idx="9">
                        <c:v>44659</c:v>
                      </c:pt>
                      <c:pt idx="10">
                        <c:v>21831.927722222223</c:v>
                      </c:pt>
                      <c:pt idx="11">
                        <c:v>10915.963861111111</c:v>
                      </c:pt>
                    </c:numCache>
                  </c:numRef>
                </c:val>
                <c:smooth val="0"/>
                <c:extLst xmlns:c15="http://schemas.microsoft.com/office/drawing/2012/chart">
                  <c:ext xmlns:c16="http://schemas.microsoft.com/office/drawing/2014/chart" uri="{C3380CC4-5D6E-409C-BE32-E72D297353CC}">
                    <c16:uniqueId val="{00000004-2D0F-4402-860A-AA1982EF5074}"/>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'Graphing Data'!$A$7</c15:sqref>
                        </c15:formulaRef>
                      </c:ext>
                    </c:extLst>
                    <c:strCache>
                      <c:ptCount val="1"/>
                      <c:pt idx="0">
                        <c:v>Drainage - Second Order</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Data'!$B$7:$M$7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5-2D0F-4402-860A-AA1982EF5074}"/>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'Graphing Data'!$A$8</c15:sqref>
                        </c15:formulaRef>
                      </c:ext>
                    </c:extLst>
                    <c:strCache>
                      <c:ptCount val="1"/>
                      <c:pt idx="0">
                        <c:v>Drainage - Third Order</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Data'!$B$8:$M$8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6-2D0F-4402-860A-AA1982EF5074}"/>
                  </c:ext>
                </c:extLst>
              </c15:ser>
            </c15:filteredLineSeries>
          </c:ext>
        </c:extLst>
      </c:lineChart>
      <c:catAx>
        <c:axId val="12487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755600"/>
        <c:crosses val="autoZero"/>
        <c:auto val="1"/>
        <c:lblAlgn val="ctr"/>
        <c:lblOffset val="100"/>
        <c:noMultiLvlLbl val="0"/>
      </c:catAx>
      <c:valAx>
        <c:axId val="124875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75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Proportion</a:t>
            </a:r>
            <a:r>
              <a:rPr lang="en-NZ" baseline="0"/>
              <a:t> Of Emissions By Group (Filter Groups)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0"/>
          <c:order val="0"/>
          <c:tx>
            <c:strRef>
              <c:f>'Graphing Data'!$A$2</c:f>
              <c:strCache>
                <c:ptCount val="1"/>
                <c:pt idx="0">
                  <c:v>Energy</c:v>
                </c:pt>
              </c:strCache>
            </c:strRef>
          </c:tx>
          <c:spPr>
            <a:solidFill>
              <a:schemeClr val="accent1"/>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Data'!$B$2:$M$2</c:f>
              <c:numCache>
                <c:formatCode>General</c:formatCode>
                <c:ptCount val="12"/>
                <c:pt idx="0">
                  <c:v>3739475.9195528217</c:v>
                </c:pt>
                <c:pt idx="1">
                  <c:v>3689571.5449966728</c:v>
                </c:pt>
                <c:pt idx="2">
                  <c:v>3714832.6301709265</c:v>
                </c:pt>
                <c:pt idx="3">
                  <c:v>3731551.8880728669</c:v>
                </c:pt>
                <c:pt idx="4">
                  <c:v>3729217.4087944697</c:v>
                </c:pt>
                <c:pt idx="5">
                  <c:v>3712976.4201296135</c:v>
                </c:pt>
                <c:pt idx="6">
                  <c:v>3730426.9920865046</c:v>
                </c:pt>
                <c:pt idx="7">
                  <c:v>3703645.3342623576</c:v>
                </c:pt>
                <c:pt idx="8">
                  <c:v>3704032.97720434</c:v>
                </c:pt>
                <c:pt idx="9">
                  <c:v>3691423.75169673</c:v>
                </c:pt>
                <c:pt idx="10">
                  <c:v>3689514.6816967302</c:v>
                </c:pt>
                <c:pt idx="11">
                  <c:v>3683762.4816967305</c:v>
                </c:pt>
              </c:numCache>
            </c:numRef>
          </c:val>
          <c:extLst>
            <c:ext xmlns:c16="http://schemas.microsoft.com/office/drawing/2014/chart" uri="{C3380CC4-5D6E-409C-BE32-E72D297353CC}">
              <c16:uniqueId val="{00000000-31E6-43C9-B230-5BCF466BCE97}"/>
            </c:ext>
          </c:extLst>
        </c:ser>
        <c:ser>
          <c:idx val="1"/>
          <c:order val="1"/>
          <c:tx>
            <c:strRef>
              <c:f>'Graphing Data'!$A$3</c:f>
              <c:strCache>
                <c:ptCount val="1"/>
                <c:pt idx="0">
                  <c:v>Transport</c:v>
                </c:pt>
              </c:strCache>
            </c:strRef>
          </c:tx>
          <c:spPr>
            <a:solidFill>
              <a:schemeClr val="accent2"/>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Data'!$B$3:$M$3</c:f>
              <c:numCache>
                <c:formatCode>General</c:formatCode>
                <c:ptCount val="12"/>
                <c:pt idx="0">
                  <c:v>295843.13264141412</c:v>
                </c:pt>
                <c:pt idx="1">
                  <c:v>319998.62466666661</c:v>
                </c:pt>
                <c:pt idx="2">
                  <c:v>294915.59566666669</c:v>
                </c:pt>
                <c:pt idx="3">
                  <c:v>333237.08933333337</c:v>
                </c:pt>
                <c:pt idx="4">
                  <c:v>337195.32933333336</c:v>
                </c:pt>
                <c:pt idx="5">
                  <c:v>296564.33733333333</c:v>
                </c:pt>
                <c:pt idx="6">
                  <c:v>278044.45333333331</c:v>
                </c:pt>
                <c:pt idx="7">
                  <c:v>271372.33133333334</c:v>
                </c:pt>
                <c:pt idx="8">
                  <c:v>348712.22333333339</c:v>
                </c:pt>
                <c:pt idx="9">
                  <c:v>295271.24188888888</c:v>
                </c:pt>
                <c:pt idx="10">
                  <c:v>304919.35188888892</c:v>
                </c:pt>
                <c:pt idx="11">
                  <c:v>302613.41188888886</c:v>
                </c:pt>
              </c:numCache>
            </c:numRef>
          </c:val>
          <c:extLst>
            <c:ext xmlns:c16="http://schemas.microsoft.com/office/drawing/2014/chart" uri="{C3380CC4-5D6E-409C-BE32-E72D297353CC}">
              <c16:uniqueId val="{00000001-31E6-43C9-B230-5BCF466BCE97}"/>
            </c:ext>
          </c:extLst>
        </c:ser>
        <c:ser>
          <c:idx val="4"/>
          <c:order val="4"/>
          <c:tx>
            <c:strRef>
              <c:f>'Graphing Data'!$A$6</c:f>
              <c:strCache>
                <c:ptCount val="1"/>
                <c:pt idx="0">
                  <c:v>Pavement</c:v>
                </c:pt>
              </c:strCache>
            </c:strRef>
          </c:tx>
          <c:spPr>
            <a:solidFill>
              <a:schemeClr val="accent5"/>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Data'!$B$6:$M$6</c:f>
              <c:numCache>
                <c:formatCode>General</c:formatCode>
                <c:ptCount val="12"/>
                <c:pt idx="0">
                  <c:v>4198.1099999999997</c:v>
                </c:pt>
                <c:pt idx="1">
                  <c:v>5079</c:v>
                </c:pt>
                <c:pt idx="2">
                  <c:v>4022</c:v>
                </c:pt>
                <c:pt idx="3">
                  <c:v>36571</c:v>
                </c:pt>
                <c:pt idx="4">
                  <c:v>67310</c:v>
                </c:pt>
                <c:pt idx="5">
                  <c:v>58669</c:v>
                </c:pt>
                <c:pt idx="6">
                  <c:v>52048</c:v>
                </c:pt>
                <c:pt idx="7">
                  <c:v>90453</c:v>
                </c:pt>
                <c:pt idx="8">
                  <c:v>78732</c:v>
                </c:pt>
                <c:pt idx="9">
                  <c:v>44659</c:v>
                </c:pt>
                <c:pt idx="10">
                  <c:v>21831.927722222223</c:v>
                </c:pt>
                <c:pt idx="11">
                  <c:v>10915.963861111111</c:v>
                </c:pt>
              </c:numCache>
            </c:numRef>
          </c:val>
          <c:extLst>
            <c:ext xmlns:c16="http://schemas.microsoft.com/office/drawing/2014/chart" uri="{C3380CC4-5D6E-409C-BE32-E72D297353CC}">
              <c16:uniqueId val="{00000004-31E6-43C9-B230-5BCF466BCE97}"/>
            </c:ext>
          </c:extLst>
        </c:ser>
        <c:ser>
          <c:idx val="8"/>
          <c:order val="8"/>
          <c:tx>
            <c:strRef>
              <c:f>'Graphing Data'!$A$10</c:f>
              <c:strCache>
                <c:ptCount val="1"/>
                <c:pt idx="0">
                  <c:v>Pathways - Third Order</c:v>
                </c:pt>
              </c:strCache>
            </c:strRef>
          </c:tx>
          <c:spPr>
            <a:solidFill>
              <a:schemeClr val="accent3">
                <a:lumMod val="60000"/>
              </a:schemeClr>
            </a:solidFill>
            <a:ln w="25400">
              <a:noFill/>
            </a:ln>
            <a:effectLst/>
          </c:spP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Data'!$B$10:$M$10</c:f>
              <c:numCache>
                <c:formatCode>General</c:formatCode>
                <c:ptCount val="12"/>
                <c:pt idx="0">
                  <c:v>170.30999999999997</c:v>
                </c:pt>
                <c:pt idx="1">
                  <c:v>1483</c:v>
                </c:pt>
                <c:pt idx="2">
                  <c:v>1526</c:v>
                </c:pt>
                <c:pt idx="3">
                  <c:v>6950</c:v>
                </c:pt>
                <c:pt idx="4">
                  <c:v>5793</c:v>
                </c:pt>
                <c:pt idx="5">
                  <c:v>1950</c:v>
                </c:pt>
                <c:pt idx="6">
                  <c:v>4700</c:v>
                </c:pt>
                <c:pt idx="7">
                  <c:v>8155</c:v>
                </c:pt>
                <c:pt idx="8">
                  <c:v>7946</c:v>
                </c:pt>
                <c:pt idx="9">
                  <c:v>4242</c:v>
                </c:pt>
                <c:pt idx="10">
                  <c:v>1981.6154999999999</c:v>
                </c:pt>
                <c:pt idx="11">
                  <c:v>990.80774999999994</c:v>
                </c:pt>
              </c:numCache>
            </c:numRef>
          </c:val>
          <c:extLst>
            <c:ext xmlns:c16="http://schemas.microsoft.com/office/drawing/2014/chart" uri="{C3380CC4-5D6E-409C-BE32-E72D297353CC}">
              <c16:uniqueId val="{00000008-31E6-43C9-B230-5BCF466BCE97}"/>
            </c:ext>
          </c:extLst>
        </c:ser>
        <c:dLbls>
          <c:showLegendKey val="0"/>
          <c:showVal val="0"/>
          <c:showCatName val="0"/>
          <c:showSerName val="0"/>
          <c:showPercent val="0"/>
          <c:showBubbleSize val="0"/>
        </c:dLbls>
        <c:axId val="1637101984"/>
        <c:axId val="1637105944"/>
        <c:extLst>
          <c:ext xmlns:c15="http://schemas.microsoft.com/office/drawing/2012/chart" uri="{02D57815-91ED-43cb-92C2-25804820EDAC}">
            <c15:filteredAreaSeries>
              <c15:ser>
                <c:idx val="2"/>
                <c:order val="2"/>
                <c:tx>
                  <c:strRef>
                    <c:extLst>
                      <c:ext uri="{02D57815-91ED-43cb-92C2-25804820EDAC}">
                        <c15:formulaRef>
                          <c15:sqref>'Graphing Data'!$A$4</c15:sqref>
                        </c15:formulaRef>
                      </c:ext>
                    </c:extLst>
                    <c:strCache>
                      <c:ptCount val="1"/>
                      <c:pt idx="0">
                        <c:v>Water</c:v>
                      </c:pt>
                    </c:strCache>
                  </c:strRef>
                </c:tx>
                <c:spPr>
                  <a:solidFill>
                    <a:schemeClr val="accent3"/>
                  </a:solidFill>
                  <a:ln w="25400">
                    <a:noFill/>
                  </a:ln>
                  <a:effectLst/>
                </c:spPr>
                <c:cat>
                  <c:strRef>
                    <c:extLst>
                      <c:ex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c:ext uri="{02D57815-91ED-43cb-92C2-25804820EDAC}">
                        <c15:formulaRef>
                          <c15:sqref>'Graphing Data'!$B$4:$M$4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1E6-43C9-B230-5BCF466BCE97}"/>
                  </c:ext>
                </c:extLst>
              </c15:ser>
            </c15:filteredAreaSeries>
            <c15:filteredAreaSeries>
              <c15:ser>
                <c:idx val="3"/>
                <c:order val="3"/>
                <c:tx>
                  <c:strRef>
                    <c:extLst xmlns:c15="http://schemas.microsoft.com/office/drawing/2012/chart">
                      <c:ext xmlns:c15="http://schemas.microsoft.com/office/drawing/2012/chart" uri="{02D57815-91ED-43cb-92C2-25804820EDAC}">
                        <c15:formulaRef>
                          <c15:sqref>'Graphing Data'!$A$5</c15:sqref>
                        </c15:formulaRef>
                      </c:ext>
                    </c:extLst>
                    <c:strCache>
                      <c:ptCount val="1"/>
                      <c:pt idx="0">
                        <c:v>Waste</c:v>
                      </c:pt>
                    </c:strCache>
                  </c:strRef>
                </c:tx>
                <c:spPr>
                  <a:solidFill>
                    <a:schemeClr val="accent4"/>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Data'!$B$5:$M$5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31E6-43C9-B230-5BCF466BCE97}"/>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'Graphing Data'!$A$7</c15:sqref>
                        </c15:formulaRef>
                      </c:ext>
                    </c:extLst>
                    <c:strCache>
                      <c:ptCount val="1"/>
                      <c:pt idx="0">
                        <c:v>Drainage - Second Order</c:v>
                      </c:pt>
                    </c:strCache>
                  </c:strRef>
                </c:tx>
                <c:spPr>
                  <a:solidFill>
                    <a:schemeClr val="accent6"/>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Data'!$B$7:$M$7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31E6-43C9-B230-5BCF466BCE97}"/>
                  </c:ext>
                </c:extLst>
              </c15:ser>
            </c15:filteredAreaSeries>
            <c15:filteredAreaSeries>
              <c15:ser>
                <c:idx val="6"/>
                <c:order val="6"/>
                <c:tx>
                  <c:strRef>
                    <c:extLst xmlns:c15="http://schemas.microsoft.com/office/drawing/2012/chart">
                      <c:ext xmlns:c15="http://schemas.microsoft.com/office/drawing/2012/chart" uri="{02D57815-91ED-43cb-92C2-25804820EDAC}">
                        <c15:formulaRef>
                          <c15:sqref>'Graphing Data'!$A$8</c15:sqref>
                        </c15:formulaRef>
                      </c:ext>
                    </c:extLst>
                    <c:strCache>
                      <c:ptCount val="1"/>
                      <c:pt idx="0">
                        <c:v>Drainage - Third Order</c:v>
                      </c:pt>
                    </c:strCache>
                  </c:strRef>
                </c:tx>
                <c:spPr>
                  <a:solidFill>
                    <a:schemeClr val="accent1">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Data'!$B$8:$M$8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31E6-43C9-B230-5BCF466BCE97}"/>
                  </c:ext>
                </c:extLst>
              </c15:ser>
            </c15:filteredAreaSeries>
            <c15:filteredAreaSeries>
              <c15:ser>
                <c:idx val="7"/>
                <c:order val="7"/>
                <c:tx>
                  <c:strRef>
                    <c:extLst xmlns:c15="http://schemas.microsoft.com/office/drawing/2012/chart">
                      <c:ext xmlns:c15="http://schemas.microsoft.com/office/drawing/2012/chart" uri="{02D57815-91ED-43cb-92C2-25804820EDAC}">
                        <c15:formulaRef>
                          <c15:sqref>'Graphing Data'!$A$9</c15:sqref>
                        </c15:formulaRef>
                      </c:ext>
                    </c:extLst>
                    <c:strCache>
                      <c:ptCount val="1"/>
                      <c:pt idx="0">
                        <c:v>Pathways - Second Order</c:v>
                      </c:pt>
                    </c:strCache>
                  </c:strRef>
                </c:tx>
                <c:spPr>
                  <a:solidFill>
                    <a:schemeClr val="accent2">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Data'!$B$9:$M$9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31E6-43C9-B230-5BCF466BCE97}"/>
                  </c:ext>
                </c:extLst>
              </c15:ser>
            </c15:filteredAreaSeries>
            <c15:filteredAreaSeries>
              <c15:ser>
                <c:idx val="9"/>
                <c:order val="9"/>
                <c:tx>
                  <c:strRef>
                    <c:extLst xmlns:c15="http://schemas.microsoft.com/office/drawing/2012/chart">
                      <c:ext xmlns:c15="http://schemas.microsoft.com/office/drawing/2012/chart" uri="{02D57815-91ED-43cb-92C2-25804820EDAC}">
                        <c15:formulaRef>
                          <c15:sqref>'Graphing Data'!$A$11</c15:sqref>
                        </c15:formulaRef>
                      </c:ext>
                    </c:extLst>
                    <c:strCache>
                      <c:ptCount val="1"/>
                      <c:pt idx="0">
                        <c:v>Street Lighting -Second Order</c:v>
                      </c:pt>
                    </c:strCache>
                  </c:strRef>
                </c:tx>
                <c:spPr>
                  <a:solidFill>
                    <a:schemeClr val="accent4">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Data'!$B$11:$M$11</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31E6-43C9-B230-5BCF466BCE97}"/>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'Graphing Data'!$A$12</c15:sqref>
                        </c15:formulaRef>
                      </c:ext>
                    </c:extLst>
                    <c:strCache>
                      <c:ptCount val="1"/>
                      <c:pt idx="0">
                        <c:v>Street Lighting - Third Order</c:v>
                      </c:pt>
                    </c:strCache>
                  </c:strRef>
                </c:tx>
                <c:spPr>
                  <a:solidFill>
                    <a:schemeClr val="accent5">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Data'!$B$12:$M$12</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31E6-43C9-B230-5BCF466BCE97}"/>
                  </c:ext>
                </c:extLst>
              </c15:ser>
            </c15:filteredAreaSeries>
            <c15:filteredAreaSeries>
              <c15:ser>
                <c:idx val="11"/>
                <c:order val="11"/>
                <c:tx>
                  <c:strRef>
                    <c:extLst xmlns:c15="http://schemas.microsoft.com/office/drawing/2012/chart">
                      <c:ext xmlns:c15="http://schemas.microsoft.com/office/drawing/2012/chart" uri="{02D57815-91ED-43cb-92C2-25804820EDAC}">
                        <c15:formulaRef>
                          <c15:sqref>'Graphing Data'!$A$13</c15:sqref>
                        </c15:formulaRef>
                      </c:ext>
                    </c:extLst>
                    <c:strCache>
                      <c:ptCount val="1"/>
                      <c:pt idx="0">
                        <c:v>Safety Barriers and Fencing - Second Order</c:v>
                      </c:pt>
                    </c:strCache>
                  </c:strRef>
                </c:tx>
                <c:spPr>
                  <a:solidFill>
                    <a:schemeClr val="accent6">
                      <a:lumMod val="6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Data'!$B$13:$M$13</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31E6-43C9-B230-5BCF466BCE97}"/>
                  </c:ext>
                </c:extLst>
              </c15:ser>
            </c15:filteredAreaSeries>
            <c15:filteredAreaSeries>
              <c15:ser>
                <c:idx val="12"/>
                <c:order val="12"/>
                <c:tx>
                  <c:strRef>
                    <c:extLst xmlns:c15="http://schemas.microsoft.com/office/drawing/2012/chart">
                      <c:ext xmlns:c15="http://schemas.microsoft.com/office/drawing/2012/chart" uri="{02D57815-91ED-43cb-92C2-25804820EDAC}">
                        <c15:formulaRef>
                          <c15:sqref>'Graphing Data'!$A$14</c15:sqref>
                        </c15:formulaRef>
                      </c:ext>
                    </c:extLst>
                    <c:strCache>
                      <c:ptCount val="1"/>
                      <c:pt idx="0">
                        <c:v>Safety Barriers and Fencing - Third Order</c:v>
                      </c:pt>
                    </c:strCache>
                  </c:strRef>
                </c:tx>
                <c:spPr>
                  <a:solidFill>
                    <a:schemeClr val="accent1">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Data'!$B$14:$M$14</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31E6-43C9-B230-5BCF466BCE97}"/>
                  </c:ext>
                </c:extLst>
              </c15:ser>
            </c15:filteredAreaSeries>
            <c15:filteredAreaSeries>
              <c15:ser>
                <c:idx val="13"/>
                <c:order val="13"/>
                <c:tx>
                  <c:strRef>
                    <c:extLst xmlns:c15="http://schemas.microsoft.com/office/drawing/2012/chart">
                      <c:ext xmlns:c15="http://schemas.microsoft.com/office/drawing/2012/chart" uri="{02D57815-91ED-43cb-92C2-25804820EDAC}">
                        <c15:formulaRef>
                          <c15:sqref>'Graphing Data'!$A$15</c15:sqref>
                        </c15:formulaRef>
                      </c:ext>
                    </c:extLst>
                    <c:strCache>
                      <c:ptCount val="1"/>
                      <c:pt idx="0">
                        <c:v>Signage</c:v>
                      </c:pt>
                    </c:strCache>
                  </c:strRef>
                </c:tx>
                <c:spPr>
                  <a:solidFill>
                    <a:schemeClr val="accent2">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Data'!$B$15:$M$15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31E6-43C9-B230-5BCF466BCE97}"/>
                  </c:ext>
                </c:extLst>
              </c15:ser>
            </c15:filteredAreaSeries>
            <c15:filteredAreaSeries>
              <c15:ser>
                <c:idx val="14"/>
                <c:order val="14"/>
                <c:tx>
                  <c:strRef>
                    <c:extLst xmlns:c15="http://schemas.microsoft.com/office/drawing/2012/chart">
                      <c:ext xmlns:c15="http://schemas.microsoft.com/office/drawing/2012/chart" uri="{02D57815-91ED-43cb-92C2-25804820EDAC}">
                        <c15:formulaRef>
                          <c15:sqref>'Graphing Data'!$A$16</c15:sqref>
                        </c15:formulaRef>
                      </c:ext>
                    </c:extLst>
                    <c:strCache>
                      <c:ptCount val="1"/>
                      <c:pt idx="0">
                        <c:v>Street Furniture - Second Order</c:v>
                      </c:pt>
                    </c:strCache>
                  </c:strRef>
                </c:tx>
                <c:spPr>
                  <a:solidFill>
                    <a:schemeClr val="accent3">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Data'!$B$16:$M$16</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E-31E6-43C9-B230-5BCF466BCE97}"/>
                  </c:ext>
                </c:extLst>
              </c15:ser>
            </c15:filteredAreaSeries>
            <c15:filteredAreaSeries>
              <c15:ser>
                <c:idx val="15"/>
                <c:order val="15"/>
                <c:tx>
                  <c:strRef>
                    <c:extLst xmlns:c15="http://schemas.microsoft.com/office/drawing/2012/chart">
                      <c:ext xmlns:c15="http://schemas.microsoft.com/office/drawing/2012/chart" uri="{02D57815-91ED-43cb-92C2-25804820EDAC}">
                        <c15:formulaRef>
                          <c15:sqref>'Graphing Data'!$A$17</c15:sqref>
                        </c15:formulaRef>
                      </c:ext>
                    </c:extLst>
                    <c:strCache>
                      <c:ptCount val="1"/>
                      <c:pt idx="0">
                        <c:v>Street Funiture - Third Order</c:v>
                      </c:pt>
                    </c:strCache>
                  </c:strRef>
                </c:tx>
                <c:spPr>
                  <a:solidFill>
                    <a:schemeClr val="accent4">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Data'!$B$17:$M$17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F-31E6-43C9-B230-5BCF466BCE97}"/>
                  </c:ext>
                </c:extLst>
              </c15:ser>
            </c15:filteredAreaSeries>
            <c15:filteredAreaSeries>
              <c15:ser>
                <c:idx val="16"/>
                <c:order val="16"/>
                <c:tx>
                  <c:strRef>
                    <c:extLst xmlns:c15="http://schemas.microsoft.com/office/drawing/2012/chart">
                      <c:ext xmlns:c15="http://schemas.microsoft.com/office/drawing/2012/chart" uri="{02D57815-91ED-43cb-92C2-25804820EDAC}">
                        <c15:formulaRef>
                          <c15:sqref>'Graphing Data'!$A$18</c15:sqref>
                        </c15:formulaRef>
                      </c:ext>
                    </c:extLst>
                    <c:strCache>
                      <c:ptCount val="1"/>
                      <c:pt idx="0">
                        <c:v>Site Clearance and Earthworks</c:v>
                      </c:pt>
                    </c:strCache>
                  </c:strRef>
                </c:tx>
                <c:spPr>
                  <a:solidFill>
                    <a:schemeClr val="accent5">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Data'!$B$18:$M$18</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0-31E6-43C9-B230-5BCF466BCE97}"/>
                  </c:ext>
                </c:extLst>
              </c15:ser>
            </c15:filteredAreaSeries>
            <c15:filteredAreaSeries>
              <c15:ser>
                <c:idx val="17"/>
                <c:order val="17"/>
                <c:tx>
                  <c:strRef>
                    <c:extLst xmlns:c15="http://schemas.microsoft.com/office/drawing/2012/chart">
                      <c:ext xmlns:c15="http://schemas.microsoft.com/office/drawing/2012/chart" uri="{02D57815-91ED-43cb-92C2-25804820EDAC}">
                        <c15:formulaRef>
                          <c15:sqref>'Graphing Data'!$A$19</c15:sqref>
                        </c15:formulaRef>
                      </c:ext>
                    </c:extLst>
                    <c:strCache>
                      <c:ptCount val="1"/>
                      <c:pt idx="0">
                        <c:v>Bridge</c:v>
                      </c:pt>
                    </c:strCache>
                  </c:strRef>
                </c:tx>
                <c:spPr>
                  <a:solidFill>
                    <a:schemeClr val="accent6">
                      <a:lumMod val="80000"/>
                      <a:lumOff val="2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Data'!$B$19:$M$19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1-31E6-43C9-B230-5BCF466BCE97}"/>
                  </c:ext>
                </c:extLst>
              </c15:ser>
            </c15:filteredAreaSeries>
            <c15:filteredAreaSeries>
              <c15:ser>
                <c:idx val="18"/>
                <c:order val="18"/>
                <c:tx>
                  <c:strRef>
                    <c:extLst xmlns:c15="http://schemas.microsoft.com/office/drawing/2012/chart">
                      <c:ext xmlns:c15="http://schemas.microsoft.com/office/drawing/2012/chart" uri="{02D57815-91ED-43cb-92C2-25804820EDAC}">
                        <c15:formulaRef>
                          <c15:sqref>'Graphing Data'!$A$20</c15:sqref>
                        </c15:formulaRef>
                      </c:ext>
                    </c:extLst>
                    <c:strCache>
                      <c:ptCount val="1"/>
                      <c:pt idx="0">
                        <c:v>Retaining Wall</c:v>
                      </c:pt>
                    </c:strCache>
                  </c:strRef>
                </c:tx>
                <c:spPr>
                  <a:solidFill>
                    <a:schemeClr val="accent1">
                      <a:lumMod val="80000"/>
                    </a:schemeClr>
                  </a:solidFill>
                  <a:ln w="25400">
                    <a:noFill/>
                  </a:ln>
                  <a:effectLst/>
                </c:spPr>
                <c:cat>
                  <c:strRef>
                    <c:extLst xmlns:c15="http://schemas.microsoft.com/office/drawing/2012/chart">
                      <c:ext xmlns:c15="http://schemas.microsoft.com/office/drawing/2012/chart" uri="{02D57815-91ED-43cb-92C2-25804820EDAC}">
                        <c15:formulaRef>
                          <c15:sqref>'Graphing Data'!$B$1:$M$1</c15:sqref>
                        </c15:formulaRef>
                      </c:ext>
                    </c:extLst>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extLst xmlns:c15="http://schemas.microsoft.com/office/drawing/2012/chart">
                      <c:ext xmlns:c15="http://schemas.microsoft.com/office/drawing/2012/chart" uri="{02D57815-91ED-43cb-92C2-25804820EDAC}">
                        <c15:formulaRef>
                          <c15:sqref>'Graphing Data'!$B$20:$M$20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2-31E6-43C9-B230-5BCF466BCE97}"/>
                  </c:ext>
                </c:extLst>
              </c15:ser>
            </c15:filteredAreaSeries>
          </c:ext>
        </c:extLst>
      </c:areaChart>
      <c:catAx>
        <c:axId val="1637101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7105944"/>
        <c:crosses val="autoZero"/>
        <c:auto val="1"/>
        <c:lblAlgn val="ctr"/>
        <c:lblOffset val="100"/>
        <c:noMultiLvlLbl val="0"/>
      </c:catAx>
      <c:valAx>
        <c:axId val="1637105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7101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Emissions</a:t>
            </a:r>
            <a:r>
              <a:rPr lang="en-US" baseline="0"/>
              <a:t>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9"/>
          <c:order val="0"/>
          <c:tx>
            <c:strRef>
              <c:f>'Graphing Data'!$A$21</c:f>
              <c:strCache>
                <c:ptCount val="1"/>
                <c:pt idx="0">
                  <c:v>Total</c:v>
                </c:pt>
              </c:strCache>
            </c:strRef>
          </c:tx>
          <c:spPr>
            <a:ln w="28575" cap="rnd">
              <a:solidFill>
                <a:schemeClr val="accent2">
                  <a:lumMod val="80000"/>
                </a:schemeClr>
              </a:solidFill>
              <a:round/>
            </a:ln>
            <a:effectLst/>
          </c:spPr>
          <c:marker>
            <c:symbol val="none"/>
          </c:marker>
          <c:cat>
            <c:strRef>
              <c:f>'Graphing Data'!$B$1:$M$1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'Graphing Data'!$B$21:$M$21</c:f>
              <c:numCache>
                <c:formatCode>General</c:formatCode>
                <c:ptCount val="12"/>
                <c:pt idx="0">
                  <c:v>4039687.4721942358</c:v>
                </c:pt>
                <c:pt idx="1">
                  <c:v>4016132.1696633394</c:v>
                </c:pt>
                <c:pt idx="2">
                  <c:v>4015296.225837593</c:v>
                </c:pt>
                <c:pt idx="3">
                  <c:v>4108309.9774062005</c:v>
                </c:pt>
                <c:pt idx="4">
                  <c:v>4139515.738127803</c:v>
                </c:pt>
                <c:pt idx="5">
                  <c:v>4070159.7574629467</c:v>
                </c:pt>
                <c:pt idx="6">
                  <c:v>4065219.4454198377</c:v>
                </c:pt>
                <c:pt idx="7">
                  <c:v>4073625.6655956907</c:v>
                </c:pt>
                <c:pt idx="8">
                  <c:v>4139423.2005376732</c:v>
                </c:pt>
                <c:pt idx="9">
                  <c:v>4035595.9935856191</c:v>
                </c:pt>
                <c:pt idx="10">
                  <c:v>4018247.5768078412</c:v>
                </c:pt>
                <c:pt idx="11">
                  <c:v>3998282.6651967308</c:v>
                </c:pt>
              </c:numCache>
            </c:numRef>
          </c:val>
          <c:smooth val="0"/>
          <c:extLst>
            <c:ext xmlns:c16="http://schemas.microsoft.com/office/drawing/2014/chart" uri="{C3380CC4-5D6E-409C-BE32-E72D297353CC}">
              <c16:uniqueId val="{00000013-B799-4195-93E2-F2CA6A087935}"/>
            </c:ext>
          </c:extLst>
        </c:ser>
        <c:dLbls>
          <c:showLegendKey val="0"/>
          <c:showVal val="0"/>
          <c:showCatName val="0"/>
          <c:showSerName val="0"/>
          <c:showPercent val="0"/>
          <c:showBubbleSize val="0"/>
        </c:dLbls>
        <c:smooth val="0"/>
        <c:axId val="1050460856"/>
        <c:axId val="573271848"/>
      </c:lineChart>
      <c:catAx>
        <c:axId val="105046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271848"/>
        <c:crosses val="autoZero"/>
        <c:auto val="1"/>
        <c:lblAlgn val="ctr"/>
        <c:lblOffset val="100"/>
        <c:noMultiLvlLbl val="0"/>
      </c:catAx>
      <c:valAx>
        <c:axId val="57327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46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123825</xdr:rowOff>
    </xdr:from>
    <xdr:to>
      <xdr:col>13</xdr:col>
      <xdr:colOff>247649</xdr:colOff>
      <xdr:row>17</xdr:row>
      <xdr:rowOff>26276</xdr:rowOff>
    </xdr:to>
    <xdr:sp macro="" textlink="">
      <xdr:nvSpPr>
        <xdr:cNvPr id="2" name="TextBox 1">
          <a:extLst>
            <a:ext uri="{FF2B5EF4-FFF2-40B4-BE49-F238E27FC236}">
              <a16:creationId xmlns:a16="http://schemas.microsoft.com/office/drawing/2014/main" id="{0C4F1C7E-481E-4BA5-B31A-8D33DAD8968C}"/>
            </a:ext>
          </a:extLst>
        </xdr:cNvPr>
        <xdr:cNvSpPr txBox="1"/>
      </xdr:nvSpPr>
      <xdr:spPr>
        <a:xfrm>
          <a:off x="610914" y="1523015"/>
          <a:ext cx="7578614" cy="2378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u="sng">
              <a:solidFill>
                <a:srgbClr val="00456A"/>
              </a:solidFill>
              <a:effectLst/>
              <a:latin typeface="Source Sans Pro" panose="020B0503030403020204" pitchFamily="34" charset="0"/>
              <a:ea typeface="Source Sans Pro" panose="020B0503030403020204" pitchFamily="34" charset="0"/>
              <a:cs typeface="+mn-cs"/>
            </a:rPr>
            <a:t>Section 1: Introduction</a:t>
          </a: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This data collection spreadsheet was developed as part of the Resource Efficiency &amp; Waste Minimisation (REWM) Key Performance Indicator measure, under the July 2022 Waka Kotahi KRA Performance Framework Guidelines.</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 spreadsheet is intended to be used by network maintenance suppliers on a monthly basis to report on the usage of various carbon emission categories within their operating networks. The data will be used by Waka Kotahi to estimate Green House Gas (GHG) Emissions from network activities and will be reported through the Tiakina te Taiao Sustainability Monitoring Report.</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 current version of this spreadsheet (Version 1)</a:t>
          </a:r>
          <a:r>
            <a:rPr lang="en-NZ" sz="1100" baseline="0">
              <a:solidFill>
                <a:schemeClr val="dk1"/>
              </a:solidFill>
              <a:effectLst/>
              <a:latin typeface="Source Sans Pro" panose="020B0503030403020204" pitchFamily="34" charset="0"/>
              <a:ea typeface="Source Sans Pro" panose="020B0503030403020204" pitchFamily="34" charset="0"/>
              <a:cs typeface="+mn-cs"/>
            </a:rPr>
            <a:t> is limited primarily to emissions data capture. Subsequent versions will have the capability to translate the data into equivalent carbon emissions.</a:t>
          </a:r>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latin typeface="Source Sans Pro" panose="020B0503030403020204" pitchFamily="34" charset="0"/>
            <a:ea typeface="Source Sans Pro" panose="020B0503030403020204" pitchFamily="34" charset="0"/>
          </a:endParaRPr>
        </a:p>
      </xdr:txBody>
    </xdr:sp>
    <xdr:clientData/>
  </xdr:twoCellAnchor>
  <xdr:twoCellAnchor>
    <xdr:from>
      <xdr:col>0</xdr:col>
      <xdr:colOff>586938</xdr:colOff>
      <xdr:row>33</xdr:row>
      <xdr:rowOff>89335</xdr:rowOff>
    </xdr:from>
    <xdr:to>
      <xdr:col>13</xdr:col>
      <xdr:colOff>224987</xdr:colOff>
      <xdr:row>148</xdr:row>
      <xdr:rowOff>52551</xdr:rowOff>
    </xdr:to>
    <xdr:sp macro="" textlink="">
      <xdr:nvSpPr>
        <xdr:cNvPr id="3" name="TextBox 2">
          <a:extLst>
            <a:ext uri="{FF2B5EF4-FFF2-40B4-BE49-F238E27FC236}">
              <a16:creationId xmlns:a16="http://schemas.microsoft.com/office/drawing/2014/main" id="{EB42626E-DF11-48CB-9BA8-93B32D0FAAC5}"/>
            </a:ext>
          </a:extLst>
        </xdr:cNvPr>
        <xdr:cNvSpPr txBox="1"/>
      </xdr:nvSpPr>
      <xdr:spPr>
        <a:xfrm>
          <a:off x="586938" y="7013025"/>
          <a:ext cx="7579928" cy="21870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u="sng">
              <a:solidFill>
                <a:srgbClr val="00456A"/>
              </a:solidFill>
              <a:effectLst/>
              <a:latin typeface="Source Sans Pro" panose="020B0503030403020204" pitchFamily="34" charset="0"/>
              <a:ea typeface="Source Sans Pro" panose="020B0503030403020204" pitchFamily="34" charset="0"/>
              <a:cs typeface="+mn-cs"/>
            </a:rPr>
            <a:t>Section 3 Input Fields:</a:t>
          </a:r>
        </a:p>
        <a:p>
          <a:r>
            <a:rPr lang="en-NZ" sz="1100">
              <a:solidFill>
                <a:schemeClr val="dk1"/>
              </a:solidFill>
              <a:effectLst/>
              <a:latin typeface="Source Sans Pro" panose="020B0503030403020204" pitchFamily="34" charset="0"/>
              <a:ea typeface="Source Sans Pro" panose="020B0503030403020204" pitchFamily="34" charset="0"/>
              <a:cs typeface="+mn-cs"/>
            </a:rPr>
            <a:t>Data entry for this form is completed in the Input tab. </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 data entry form is considered complete when all the 4-input fields (highlighted green) have been appropriately reviewed and populated if required.  It is also necessary for suppliers to complete the project details tab stating the organisation, contract and period that is being reported.</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 input fields are: </a:t>
          </a: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NZ" sz="1100" b="1" i="0" u="none" strike="noStrike" kern="0" cap="none" spc="0" normalizeH="0" baseline="0" noProof="0">
              <a:ln>
                <a:noFill/>
              </a:ln>
              <a:solidFill>
                <a:srgbClr val="00456A"/>
              </a:solidFill>
              <a:effectLst/>
              <a:uLnTx/>
              <a:uFillTx/>
              <a:latin typeface="Source Sans Pro" panose="020B0503030403020204" pitchFamily="34" charset="0"/>
              <a:ea typeface="Source Sans Pro" panose="020B0503030403020204" pitchFamily="34" charset="0"/>
              <a:cs typeface="+mn-cs"/>
            </a:rPr>
            <a:t>Amount</a:t>
          </a:r>
        </a:p>
        <a:p>
          <a:r>
            <a:rPr lang="en-NZ" sz="1100">
              <a:solidFill>
                <a:schemeClr val="dk1"/>
              </a:solidFill>
              <a:effectLst/>
              <a:latin typeface="Source Sans Pro" panose="020B0503030403020204" pitchFamily="34" charset="0"/>
              <a:ea typeface="Source Sans Pro" panose="020B0503030403020204" pitchFamily="34" charset="0"/>
              <a:cs typeface="+mn-cs"/>
            </a:rPr>
            <a:t>Quantity of each emission source used within each month of the year.</a:t>
          </a:r>
          <a:r>
            <a:rPr lang="en-NZ" sz="1100" baseline="0">
              <a:solidFill>
                <a:schemeClr val="dk1"/>
              </a:solidFill>
              <a:effectLst/>
              <a:latin typeface="Source Sans Pro" panose="020B0503030403020204" pitchFamily="34" charset="0"/>
              <a:ea typeface="Source Sans Pro" panose="020B0503030403020204" pitchFamily="34" charset="0"/>
              <a:cs typeface="+mn-cs"/>
            </a:rPr>
            <a:t> </a:t>
          </a:r>
          <a:r>
            <a:rPr lang="en-NZ" sz="1100">
              <a:solidFill>
                <a:schemeClr val="dk1"/>
              </a:solidFill>
              <a:effectLst/>
              <a:latin typeface="Source Sans Pro" panose="020B0503030403020204" pitchFamily="34" charset="0"/>
              <a:ea typeface="+mn-ea"/>
              <a:cs typeface="+mn-cs"/>
            </a:rPr>
            <a:t>The precision/significant figures required varies on each row depending on the units chosen, accuracy of the available data and quantity of item used. The following rules apply:</a:t>
          </a:r>
        </a:p>
        <a:p>
          <a:endParaRPr lang="en-NZ"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An</a:t>
          </a:r>
          <a:r>
            <a:rPr lang="en-NZ" sz="1100" i="1">
              <a:solidFill>
                <a:schemeClr val="dk1"/>
              </a:solidFill>
              <a:effectLst/>
              <a:latin typeface="Source Sans Pro" panose="020B0503030403020204" pitchFamily="34" charset="0"/>
              <a:ea typeface="+mn-ea"/>
              <a:cs typeface="+mn-cs"/>
            </a:rPr>
            <a:t> Amount</a:t>
          </a:r>
          <a:r>
            <a:rPr lang="en-NZ" sz="1100">
              <a:solidFill>
                <a:schemeClr val="dk1"/>
              </a:solidFill>
              <a:effectLst/>
              <a:latin typeface="Source Sans Pro" panose="020B0503030403020204" pitchFamily="34" charset="0"/>
              <a:ea typeface="+mn-ea"/>
              <a:cs typeface="+mn-cs"/>
            </a:rPr>
            <a:t> value of 0 signifies that this </a:t>
          </a:r>
          <a:r>
            <a:rPr lang="en-NZ" sz="1100" i="1">
              <a:solidFill>
                <a:schemeClr val="dk1"/>
              </a:solidFill>
              <a:effectLst/>
              <a:latin typeface="Source Sans Pro" panose="020B0503030403020204" pitchFamily="34" charset="0"/>
              <a:ea typeface="+mn-ea"/>
              <a:cs typeface="+mn-cs"/>
            </a:rPr>
            <a:t>Emission Source </a:t>
          </a:r>
          <a:r>
            <a:rPr lang="en-NZ" sz="1100">
              <a:solidFill>
                <a:schemeClr val="dk1"/>
              </a:solidFill>
              <a:effectLst/>
              <a:latin typeface="Source Sans Pro" panose="020B0503030403020204" pitchFamily="34" charset="0"/>
              <a:ea typeface="+mn-ea"/>
              <a:cs typeface="+mn-cs"/>
            </a:rPr>
            <a:t>was not used within the reporting month</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A blank  </a:t>
          </a:r>
          <a:r>
            <a:rPr lang="en-NZ" sz="1100" i="1">
              <a:solidFill>
                <a:schemeClr val="dk1"/>
              </a:solidFill>
              <a:effectLst/>
              <a:latin typeface="Source Sans Pro" panose="020B0503030403020204" pitchFamily="34" charset="0"/>
              <a:ea typeface="+mn-ea"/>
              <a:cs typeface="+mn-cs"/>
            </a:rPr>
            <a:t>Amount </a:t>
          </a:r>
          <a:r>
            <a:rPr lang="en-NZ" sz="1100">
              <a:solidFill>
                <a:schemeClr val="dk1"/>
              </a:solidFill>
              <a:effectLst/>
              <a:latin typeface="Source Sans Pro" panose="020B0503030403020204" pitchFamily="34" charset="0"/>
              <a:ea typeface="+mn-ea"/>
              <a:cs typeface="+mn-cs"/>
            </a:rPr>
            <a:t>value signifies either:</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-The </a:t>
          </a:r>
          <a:r>
            <a:rPr lang="en-NZ" sz="1100" i="1">
              <a:solidFill>
                <a:schemeClr val="dk1"/>
              </a:solidFill>
              <a:effectLst/>
              <a:latin typeface="Source Sans Pro" panose="020B0503030403020204" pitchFamily="34" charset="0"/>
              <a:ea typeface="Source Sans Pro" panose="020B0503030403020204" pitchFamily="34" charset="0"/>
              <a:cs typeface="+mn-cs"/>
            </a:rPr>
            <a:t>Emission Source </a:t>
          </a:r>
          <a:r>
            <a:rPr lang="en-NZ" sz="1100">
              <a:solidFill>
                <a:schemeClr val="dk1"/>
              </a:solidFill>
              <a:effectLst/>
              <a:latin typeface="Source Sans Pro" panose="020B0503030403020204" pitchFamily="34" charset="0"/>
              <a:ea typeface="Source Sans Pro" panose="020B0503030403020204" pitchFamily="34" charset="0"/>
              <a:cs typeface="+mn-cs"/>
            </a:rPr>
            <a:t>is already accounted for by another </a:t>
          </a:r>
          <a:r>
            <a:rPr lang="en-NZ" sz="1100" i="1">
              <a:solidFill>
                <a:schemeClr val="dk1"/>
              </a:solidFill>
              <a:effectLst/>
              <a:latin typeface="Source Sans Pro" panose="020B0503030403020204" pitchFamily="34" charset="0"/>
              <a:ea typeface="Source Sans Pro" panose="020B0503030403020204" pitchFamily="34" charset="0"/>
              <a:cs typeface="+mn-cs"/>
            </a:rPr>
            <a:t>Emission Source</a:t>
          </a:r>
          <a:r>
            <a:rPr lang="en-NZ" sz="1100">
              <a:solidFill>
                <a:schemeClr val="dk1"/>
              </a:solidFill>
              <a:effectLst/>
              <a:latin typeface="Source Sans Pro" panose="020B0503030403020204" pitchFamily="34" charset="0"/>
              <a:ea typeface="Source Sans Pro" panose="020B0503030403020204" pitchFamily="34" charset="0"/>
              <a:cs typeface="+mn-cs"/>
            </a:rPr>
            <a:t>. </a:t>
          </a:r>
          <a:r>
            <a:rPr lang="en-NZ" sz="1100" i="1">
              <a:solidFill>
                <a:schemeClr val="dk1"/>
              </a:solidFill>
              <a:effectLst/>
              <a:latin typeface="Source Sans Pro" panose="020B0503030403020204" pitchFamily="34" charset="0"/>
              <a:ea typeface="Source Sans Pro" panose="020B0503030403020204" pitchFamily="34" charset="0"/>
              <a:cs typeface="+mn-cs"/>
            </a:rPr>
            <a:t>Data Source </a:t>
          </a:r>
          <a:r>
            <a:rPr lang="en-NZ" sz="1100">
              <a:solidFill>
                <a:schemeClr val="dk1"/>
              </a:solidFill>
              <a:effectLst/>
              <a:latin typeface="Source Sans Pro" panose="020B0503030403020204" pitchFamily="34" charset="0"/>
              <a:ea typeface="Source Sans Pro" panose="020B0503030403020204" pitchFamily="34" charset="0"/>
              <a:cs typeface="+mn-cs"/>
            </a:rPr>
            <a:t>field should be filled with the </a:t>
          </a:r>
          <a:r>
            <a:rPr lang="en-NZ" sz="1100" i="1">
              <a:solidFill>
                <a:schemeClr val="dk1"/>
              </a:solidFill>
              <a:effectLst/>
              <a:latin typeface="Source Sans Pro" panose="020B0503030403020204" pitchFamily="34" charset="0"/>
              <a:ea typeface="Source Sans Pro" panose="020B0503030403020204" pitchFamily="34" charset="0"/>
              <a:cs typeface="+mn-cs"/>
            </a:rPr>
            <a:t>Emissions Source or Emissions Sub-Group </a:t>
          </a:r>
          <a:r>
            <a:rPr lang="en-NZ" sz="1100" i="0">
              <a:solidFill>
                <a:schemeClr val="dk1"/>
              </a:solidFill>
              <a:effectLst/>
              <a:latin typeface="Source Sans Pro" panose="020B0503030403020204" pitchFamily="34" charset="0"/>
              <a:ea typeface="Source Sans Pro" panose="020B0503030403020204" pitchFamily="34" charset="0"/>
              <a:cs typeface="+mn-cs"/>
            </a:rPr>
            <a:t>reference</a:t>
          </a:r>
          <a:r>
            <a:rPr lang="en-NZ" sz="1100" i="1">
              <a:solidFill>
                <a:schemeClr val="dk1"/>
              </a:solidFill>
              <a:effectLst/>
              <a:latin typeface="Source Sans Pro" panose="020B0503030403020204" pitchFamily="34" charset="0"/>
              <a:ea typeface="Source Sans Pro" panose="020B0503030403020204" pitchFamily="34" charset="0"/>
              <a:cs typeface="+mn-cs"/>
            </a:rPr>
            <a:t> </a:t>
          </a:r>
          <a:r>
            <a:rPr lang="en-NZ" sz="1100">
              <a:solidFill>
                <a:schemeClr val="dk1"/>
              </a:solidFill>
              <a:effectLst/>
              <a:latin typeface="Source Sans Pro" panose="020B0503030403020204" pitchFamily="34" charset="0"/>
              <a:ea typeface="Source Sans Pro" panose="020B0503030403020204" pitchFamily="34" charset="0"/>
              <a:cs typeface="+mn-cs"/>
            </a:rPr>
            <a:t>that the data point is accounted for</a:t>
          </a:r>
          <a:r>
            <a:rPr lang="en-NZ" sz="1100" baseline="0">
              <a:solidFill>
                <a:schemeClr val="dk1"/>
              </a:solidFill>
              <a:effectLst/>
              <a:latin typeface="Source Sans Pro" panose="020B0503030403020204" pitchFamily="34" charset="0"/>
              <a:ea typeface="Source Sans Pro" panose="020B0503030403020204" pitchFamily="34" charset="0"/>
              <a:cs typeface="+mn-cs"/>
            </a:rPr>
            <a:t> through.</a:t>
          </a:r>
          <a:r>
            <a:rPr lang="en-NZ" sz="1100">
              <a:solidFill>
                <a:schemeClr val="dk1"/>
              </a:solidFill>
              <a:effectLst/>
              <a:latin typeface="Source Sans Pro" panose="020B0503030403020204" pitchFamily="34" charset="0"/>
              <a:ea typeface="Source Sans Pro" panose="020B0503030403020204" pitchFamily="34" charset="0"/>
              <a:cs typeface="+mn-cs"/>
            </a:rPr>
            <a:t> E.g., 'Accounted for in 1.2.2' would mean that the </a:t>
          </a:r>
          <a:r>
            <a:rPr lang="en-NZ" sz="1100" i="1">
              <a:solidFill>
                <a:schemeClr val="dk1"/>
              </a:solidFill>
              <a:effectLst/>
              <a:latin typeface="Source Sans Pro" panose="020B0503030403020204" pitchFamily="34" charset="0"/>
              <a:ea typeface="Source Sans Pro" panose="020B0503030403020204" pitchFamily="34" charset="0"/>
              <a:cs typeface="+mn-cs"/>
            </a:rPr>
            <a:t>Emission Source </a:t>
          </a:r>
          <a:r>
            <a:rPr lang="en-NZ" sz="1100">
              <a:solidFill>
                <a:schemeClr val="dk1"/>
              </a:solidFill>
              <a:effectLst/>
              <a:latin typeface="Source Sans Pro" panose="020B0503030403020204" pitchFamily="34" charset="0"/>
              <a:ea typeface="Source Sans Pro" panose="020B0503030403020204" pitchFamily="34" charset="0"/>
              <a:cs typeface="+mn-cs"/>
            </a:rPr>
            <a:t>was covered in the Natural Gas amount.</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a:t>
          </a:r>
          <a:r>
            <a:rPr lang="en-NZ" sz="1100">
              <a:solidFill>
                <a:schemeClr val="dk1"/>
              </a:solidFill>
              <a:effectLst/>
              <a:latin typeface="Source Sans Pro" panose="020B0503030403020204" pitchFamily="34" charset="0"/>
              <a:ea typeface="+mn-ea"/>
              <a:cs typeface="+mn-cs"/>
            </a:rPr>
            <a:t>The </a:t>
          </a:r>
          <a:r>
            <a:rPr lang="en-NZ" sz="1100" i="1">
              <a:solidFill>
                <a:schemeClr val="dk1"/>
              </a:solidFill>
              <a:effectLst/>
              <a:latin typeface="Source Sans Pro" panose="020B0503030403020204" pitchFamily="34" charset="0"/>
              <a:ea typeface="+mn-ea"/>
              <a:cs typeface="+mn-cs"/>
            </a:rPr>
            <a:t>Emission Source </a:t>
          </a:r>
          <a:r>
            <a:rPr lang="en-NZ" sz="1100">
              <a:solidFill>
                <a:schemeClr val="dk1"/>
              </a:solidFill>
              <a:effectLst/>
              <a:latin typeface="Source Sans Pro" panose="020B0503030403020204" pitchFamily="34" charset="0"/>
              <a:ea typeface="+mn-ea"/>
              <a:cs typeface="+mn-cs"/>
            </a:rPr>
            <a:t>was not collected. In which the </a:t>
          </a:r>
          <a:r>
            <a:rPr lang="en-NZ" sz="1100" i="1">
              <a:solidFill>
                <a:schemeClr val="dk1"/>
              </a:solidFill>
              <a:effectLst/>
              <a:latin typeface="Source Sans Pro" panose="020B0503030403020204" pitchFamily="34" charset="0"/>
              <a:ea typeface="+mn-ea"/>
              <a:cs typeface="+mn-cs"/>
            </a:rPr>
            <a:t>Notes</a:t>
          </a:r>
          <a:r>
            <a:rPr lang="en-NZ" sz="1100">
              <a:solidFill>
                <a:schemeClr val="dk1"/>
              </a:solidFill>
              <a:effectLst/>
              <a:latin typeface="Source Sans Pro" panose="020B0503030403020204" pitchFamily="34" charset="0"/>
              <a:ea typeface="+mn-ea"/>
              <a:cs typeface="+mn-cs"/>
            </a:rPr>
            <a:t> field should be populated with appropriate reasoning.</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The form is designed to be completed in order from the top to the bottom, and the user should take care to avoid double counting. An example: </a:t>
          </a:r>
        </a:p>
        <a:p>
          <a:pPr fontAlgn="base"/>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If the total amount of steel for all activities has been estimated from claims and collected under ‘</a:t>
          </a:r>
          <a:r>
            <a:rPr lang="en-NZ" sz="1100" i="1">
              <a:solidFill>
                <a:schemeClr val="dk1"/>
              </a:solidFill>
              <a:effectLst/>
              <a:latin typeface="Source Sans Pro" panose="020B0503030403020204" pitchFamily="34" charset="0"/>
              <a:ea typeface="+mn-ea"/>
              <a:cs typeface="+mn-cs"/>
            </a:rPr>
            <a:t>5. 3.1’</a:t>
          </a:r>
          <a:r>
            <a:rPr lang="en-NZ" sz="1100">
              <a:solidFill>
                <a:schemeClr val="dk1"/>
              </a:solidFill>
              <a:effectLst/>
              <a:latin typeface="Source Sans Pro" panose="020B0503030403020204" pitchFamily="34" charset="0"/>
              <a:ea typeface="+mn-ea"/>
              <a:cs typeface="+mn-cs"/>
            </a:rPr>
            <a:t> then none of the steel  </a:t>
          </a:r>
          <a:r>
            <a:rPr lang="en-NZ" sz="1100" i="1">
              <a:solidFill>
                <a:schemeClr val="dk1"/>
              </a:solidFill>
              <a:effectLst/>
              <a:latin typeface="Source Sans Pro" panose="020B0503030403020204" pitchFamily="34" charset="0"/>
              <a:ea typeface="+mn-ea"/>
              <a:cs typeface="+mn-cs"/>
            </a:rPr>
            <a:t>Emissions Group </a:t>
          </a:r>
          <a:r>
            <a:rPr lang="en-NZ" sz="1100">
              <a:solidFill>
                <a:schemeClr val="dk1"/>
              </a:solidFill>
              <a:effectLst/>
              <a:latin typeface="Source Sans Pro" panose="020B0503030403020204" pitchFamily="34" charset="0"/>
              <a:ea typeface="+mn-ea"/>
              <a:cs typeface="+mn-cs"/>
            </a:rPr>
            <a:t>sources nor the concrete steel reinforcement fields in </a:t>
          </a:r>
          <a:r>
            <a:rPr lang="en-NZ" sz="1100" i="1">
              <a:solidFill>
                <a:schemeClr val="dk1"/>
              </a:solidFill>
              <a:effectLst/>
              <a:latin typeface="Source Sans Pro" panose="020B0503030403020204" pitchFamily="34" charset="0"/>
              <a:ea typeface="+mn-ea"/>
              <a:cs typeface="+mn-cs"/>
            </a:rPr>
            <a:t>Emission Group </a:t>
          </a:r>
          <a:r>
            <a:rPr lang="en-NZ" sz="1100">
              <a:solidFill>
                <a:schemeClr val="dk1"/>
              </a:solidFill>
              <a:effectLst/>
              <a:latin typeface="Source Sans Pro" panose="020B0503030403020204" pitchFamily="34" charset="0"/>
              <a:ea typeface="+mn-ea"/>
              <a:cs typeface="+mn-cs"/>
            </a:rPr>
            <a:t>7 need to be filled in. Their notes should be left blank, the</a:t>
          </a:r>
          <a:r>
            <a:rPr lang="en-NZ" sz="1100" i="1">
              <a:solidFill>
                <a:schemeClr val="dk1"/>
              </a:solidFill>
              <a:effectLst/>
              <a:latin typeface="Source Sans Pro" panose="020B0503030403020204" pitchFamily="34" charset="0"/>
              <a:ea typeface="+mn-ea"/>
              <a:cs typeface="+mn-cs"/>
            </a:rPr>
            <a:t> Data Source</a:t>
          </a:r>
          <a:r>
            <a:rPr lang="en-NZ" sz="1100">
              <a:solidFill>
                <a:schemeClr val="dk1"/>
              </a:solidFill>
              <a:effectLst/>
              <a:latin typeface="Source Sans Pro" panose="020B0503030403020204" pitchFamily="34" charset="0"/>
              <a:ea typeface="+mn-ea"/>
              <a:cs typeface="+mn-cs"/>
            </a:rPr>
            <a:t> field should be populated with </a:t>
          </a:r>
          <a:r>
            <a:rPr lang="en-NZ" sz="1100" i="1">
              <a:solidFill>
                <a:schemeClr val="dk1"/>
              </a:solidFill>
              <a:effectLst/>
              <a:latin typeface="Source Sans Pro" panose="020B0503030403020204" pitchFamily="34" charset="0"/>
              <a:ea typeface="+mn-ea"/>
              <a:cs typeface="+mn-cs"/>
            </a:rPr>
            <a:t>the appropriate reference</a:t>
          </a:r>
          <a:r>
            <a:rPr lang="en-NZ" sz="1100">
              <a:solidFill>
                <a:schemeClr val="dk1"/>
              </a:solidFill>
              <a:effectLst/>
              <a:latin typeface="Source Sans Pro" panose="020B0503030403020204" pitchFamily="34" charset="0"/>
              <a:ea typeface="+mn-ea"/>
              <a:cs typeface="+mn-cs"/>
            </a:rPr>
            <a:t>. The </a:t>
          </a:r>
          <a:r>
            <a:rPr lang="en-NZ" sz="1100" i="1">
              <a:solidFill>
                <a:schemeClr val="dk1"/>
              </a:solidFill>
              <a:effectLst/>
              <a:latin typeface="Source Sans Pro" panose="020B0503030403020204" pitchFamily="34" charset="0"/>
              <a:ea typeface="+mn-ea"/>
              <a:cs typeface="+mn-cs"/>
            </a:rPr>
            <a:t>Data Reliability</a:t>
          </a:r>
          <a:r>
            <a:rPr lang="en-NZ" sz="1100">
              <a:solidFill>
                <a:schemeClr val="dk1"/>
              </a:solidFill>
              <a:effectLst/>
              <a:latin typeface="Source Sans Pro" panose="020B0503030403020204" pitchFamily="34" charset="0"/>
              <a:ea typeface="+mn-ea"/>
              <a:cs typeface="+mn-cs"/>
            </a:rPr>
            <a:t> field to be populated as 'Not available'.</a:t>
          </a:r>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b="1"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1" i="0" baseline="0">
              <a:solidFill>
                <a:srgbClr val="00456A"/>
              </a:solidFill>
              <a:effectLst/>
              <a:latin typeface="Source Sans Pro" panose="020B0503030403020204" pitchFamily="34" charset="0"/>
              <a:ea typeface="Source Sans Pro" panose="020B0503030403020204" pitchFamily="34" charset="0"/>
              <a:cs typeface="+mn-cs"/>
            </a:rPr>
            <a:t>Units (Alternative)</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mn-ea"/>
              <a:cs typeface="+mn-cs"/>
            </a:rPr>
            <a:t>This field has been included to capture alternative measures of emission sources that may be valid due to data source restrictions and the transformation effort required. The following rules apply:</a:t>
          </a:r>
        </a:p>
        <a:p>
          <a:endParaRPr lang="en-NZ"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-This </a:t>
          </a:r>
          <a:r>
            <a:rPr lang="en-NZ" sz="1100" i="1">
              <a:solidFill>
                <a:schemeClr val="dk1"/>
              </a:solidFill>
              <a:effectLst/>
              <a:latin typeface="Source Sans Pro" panose="020B0503030403020204" pitchFamily="34" charset="0"/>
              <a:ea typeface="+mn-ea"/>
              <a:cs typeface="+mn-cs"/>
            </a:rPr>
            <a:t>Units (Alternative)</a:t>
          </a:r>
          <a:r>
            <a:rPr lang="en-NZ" sz="1100">
              <a:solidFill>
                <a:schemeClr val="dk1"/>
              </a:solidFill>
              <a:effectLst/>
              <a:latin typeface="Source Sans Pro" panose="020B0503030403020204" pitchFamily="34" charset="0"/>
              <a:ea typeface="+mn-ea"/>
              <a:cs typeface="+mn-cs"/>
            </a:rPr>
            <a:t> field will be left blank if the default units provided are suitable for data collection. </a:t>
          </a:r>
        </a:p>
        <a:p>
          <a:r>
            <a:rPr lang="en-NZ" sz="1100">
              <a:solidFill>
                <a:schemeClr val="dk1"/>
              </a:solidFill>
              <a:effectLst/>
              <a:latin typeface="Source Sans Pro" panose="020B0503030403020204" pitchFamily="34" charset="0"/>
              <a:ea typeface="+mn-ea"/>
              <a:cs typeface="+mn-cs"/>
            </a:rPr>
            <a:t>-If this field is populated, then the </a:t>
          </a:r>
          <a:r>
            <a:rPr lang="en-NZ" sz="1100" i="1">
              <a:solidFill>
                <a:schemeClr val="dk1"/>
              </a:solidFill>
              <a:effectLst/>
              <a:latin typeface="Source Sans Pro" panose="020B0503030403020204" pitchFamily="34" charset="0"/>
              <a:ea typeface="+mn-ea"/>
              <a:cs typeface="+mn-cs"/>
            </a:rPr>
            <a:t>Amount </a:t>
          </a:r>
          <a:r>
            <a:rPr lang="en-NZ" sz="1100">
              <a:solidFill>
                <a:schemeClr val="dk1"/>
              </a:solidFill>
              <a:effectLst/>
              <a:latin typeface="Source Sans Pro" panose="020B0503030403020204" pitchFamily="34" charset="0"/>
              <a:ea typeface="+mn-ea"/>
              <a:cs typeface="+mn-cs"/>
            </a:rPr>
            <a:t>populated will be associated with the provided alternative unit if deemed valid. </a:t>
          </a:r>
          <a:endParaRPr lang="en-US" sz="1100">
            <a:solidFill>
              <a:schemeClr val="dk1"/>
            </a:solidFill>
            <a:effectLst/>
            <a:latin typeface="Source Sans Pro" panose="020B0503030403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b="0" i="0" baseline="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Data Source</a:t>
          </a: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Free text field to provide a brief explanation to the source of the data.  There are two main stages of data sources that can be used for reporting:</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rgbClr val="00456A"/>
              </a:solidFill>
              <a:effectLst/>
              <a:latin typeface="Source Sans Pro" panose="020B0503030403020204" pitchFamily="34" charset="0"/>
              <a:ea typeface="Source Sans Pro" panose="020B0503030403020204" pitchFamily="34" charset="0"/>
              <a:cs typeface="+mn-cs"/>
            </a:rPr>
            <a:t>On Use</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This refers to data sources that are captures the quantity of the </a:t>
          </a:r>
          <a:r>
            <a:rPr lang="en-NZ" sz="1100" i="1">
              <a:solidFill>
                <a:schemeClr val="dk1"/>
              </a:solidFill>
              <a:effectLst/>
              <a:latin typeface="Source Sans Pro" panose="020B0503030403020204" pitchFamily="34" charset="0"/>
              <a:ea typeface="+mn-ea"/>
              <a:cs typeface="+mn-cs"/>
            </a:rPr>
            <a:t>Emission Source </a:t>
          </a:r>
          <a:r>
            <a:rPr lang="en-NZ" sz="1100">
              <a:solidFill>
                <a:schemeClr val="dk1"/>
              </a:solidFill>
              <a:effectLst/>
              <a:latin typeface="Source Sans Pro" panose="020B0503030403020204" pitchFamily="34" charset="0"/>
              <a:ea typeface="+mn-ea"/>
              <a:cs typeface="+mn-cs"/>
            </a:rPr>
            <a:t>after it is consumed or installed during network maintenance activities. This is the ideal data source used for </a:t>
          </a:r>
          <a:r>
            <a:rPr lang="en-NZ" sz="1100" i="1">
              <a:solidFill>
                <a:schemeClr val="dk1"/>
              </a:solidFill>
              <a:effectLst/>
              <a:latin typeface="Source Sans Pro" panose="020B0503030403020204" pitchFamily="34" charset="0"/>
              <a:ea typeface="+mn-ea"/>
              <a:cs typeface="+mn-cs"/>
            </a:rPr>
            <a:t>Emission Source </a:t>
          </a:r>
          <a:r>
            <a:rPr lang="en-NZ" sz="1100">
              <a:solidFill>
                <a:schemeClr val="dk1"/>
              </a:solidFill>
              <a:effectLst/>
              <a:latin typeface="Source Sans Pro" panose="020B0503030403020204" pitchFamily="34" charset="0"/>
              <a:ea typeface="+mn-ea"/>
              <a:cs typeface="+mn-cs"/>
            </a:rPr>
            <a:t>quantification.</a:t>
          </a:r>
          <a:endParaRPr lang="en-US" sz="1100">
            <a:solidFill>
              <a:schemeClr val="dk1"/>
            </a:solidFill>
            <a:effectLst/>
            <a:latin typeface="Source Sans Pro" panose="020B0503030403020204" pitchFamily="34" charset="0"/>
            <a:ea typeface="+mn-ea"/>
            <a:cs typeface="+mn-cs"/>
          </a:endParaRPr>
        </a:p>
        <a:p>
          <a:pPr fontAlgn="base"/>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Example data sources could include: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-Purchased electricity/water bills proportioned by number of fixed time employees (FTE)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-Fuel consumed/vehicle kilometres travelled from vehicle sheets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-Invoices for claimed material/work quantities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-Equipment logs e.g., bitumen spray sheets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-As-builts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-RAMM database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-Various estimation techniques, to be elaborated in the </a:t>
          </a:r>
          <a:r>
            <a:rPr lang="en-NZ" sz="1100" i="1">
              <a:solidFill>
                <a:schemeClr val="dk1"/>
              </a:solidFill>
              <a:effectLst/>
              <a:latin typeface="Source Sans Pro" panose="020B0503030403020204" pitchFamily="34" charset="0"/>
              <a:ea typeface="+mn-ea"/>
              <a:cs typeface="+mn-cs"/>
            </a:rPr>
            <a:t>Notes</a:t>
          </a:r>
          <a:r>
            <a:rPr lang="en-NZ" sz="1100">
              <a:solidFill>
                <a:schemeClr val="dk1"/>
              </a:solidFill>
              <a:effectLst/>
              <a:latin typeface="Source Sans Pro" panose="020B0503030403020204" pitchFamily="34" charset="0"/>
              <a:ea typeface="+mn-ea"/>
              <a:cs typeface="+mn-cs"/>
            </a:rPr>
            <a:t> field</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rgbClr val="00456A"/>
              </a:solidFill>
              <a:effectLst/>
              <a:latin typeface="Source Sans Pro" panose="020B0503030403020204" pitchFamily="34" charset="0"/>
              <a:ea typeface="Source Sans Pro" panose="020B0503030403020204" pitchFamily="34" charset="0"/>
              <a:cs typeface="+mn-cs"/>
            </a:rPr>
            <a:t>On Procurement</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This refers to data sources that captures the quantity of the </a:t>
          </a:r>
          <a:r>
            <a:rPr lang="en-NZ" sz="1100" i="1">
              <a:solidFill>
                <a:schemeClr val="dk1"/>
              </a:solidFill>
              <a:effectLst/>
              <a:latin typeface="Source Sans Pro" panose="020B0503030403020204" pitchFamily="34" charset="0"/>
              <a:ea typeface="+mn-ea"/>
              <a:cs typeface="+mn-cs"/>
            </a:rPr>
            <a:t>Emission Source </a:t>
          </a:r>
          <a:r>
            <a:rPr lang="en-NZ" sz="1100">
              <a:solidFill>
                <a:schemeClr val="dk1"/>
              </a:solidFill>
              <a:effectLst/>
              <a:latin typeface="Source Sans Pro" panose="020B0503030403020204" pitchFamily="34" charset="0"/>
              <a:ea typeface="+mn-ea"/>
              <a:cs typeface="+mn-cs"/>
            </a:rPr>
            <a:t>when it is purchased/ordered in preparation for future maintenance activities. If completed data sources are scarce this is another valid option. </a:t>
          </a:r>
          <a:endParaRPr lang="en-US" sz="1100">
            <a:solidFill>
              <a:schemeClr val="dk1"/>
            </a:solidFill>
            <a:effectLst/>
            <a:latin typeface="Source Sans Pro" panose="020B0503030403020204" pitchFamily="34" charset="0"/>
            <a:ea typeface="+mn-ea"/>
            <a:cs typeface="+mn-cs"/>
          </a:endParaRPr>
        </a:p>
        <a:p>
          <a:pPr fontAlgn="base"/>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Examples data sources could include: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-Bulk material purchase invoices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-Estimated from resurface and rehab forward work programmes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-Order Dockets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-Various estimation techniques, to be elaborated in the </a:t>
          </a:r>
          <a:r>
            <a:rPr lang="en-NZ" sz="1100" i="1">
              <a:solidFill>
                <a:schemeClr val="dk1"/>
              </a:solidFill>
              <a:effectLst/>
              <a:latin typeface="Source Sans Pro" panose="020B0503030403020204" pitchFamily="34" charset="0"/>
              <a:ea typeface="+mn-ea"/>
              <a:cs typeface="+mn-cs"/>
            </a:rPr>
            <a:t>Notes</a:t>
          </a:r>
          <a:r>
            <a:rPr lang="en-NZ" sz="1100">
              <a:solidFill>
                <a:schemeClr val="dk1"/>
              </a:solidFill>
              <a:effectLst/>
              <a:latin typeface="Source Sans Pro" panose="020B0503030403020204" pitchFamily="34" charset="0"/>
              <a:ea typeface="+mn-ea"/>
              <a:cs typeface="+mn-cs"/>
            </a:rPr>
            <a:t> field</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This </a:t>
          </a:r>
          <a:r>
            <a:rPr lang="en-NZ" sz="1100" i="1">
              <a:solidFill>
                <a:schemeClr val="dk1"/>
              </a:solidFill>
              <a:effectLst/>
              <a:latin typeface="Source Sans Pro" panose="020B0503030403020204" pitchFamily="34" charset="0"/>
              <a:ea typeface="+mn-ea"/>
              <a:cs typeface="+mn-cs"/>
            </a:rPr>
            <a:t>Data Source </a:t>
          </a:r>
          <a:r>
            <a:rPr lang="en-NZ" sz="1100">
              <a:solidFill>
                <a:schemeClr val="dk1"/>
              </a:solidFill>
              <a:effectLst/>
              <a:latin typeface="Source Sans Pro" panose="020B0503030403020204" pitchFamily="34" charset="0"/>
              <a:ea typeface="+mn-ea"/>
              <a:cs typeface="+mn-cs"/>
            </a:rPr>
            <a:t>field should only be left blank if the</a:t>
          </a:r>
          <a:r>
            <a:rPr lang="en-NZ" sz="1100" i="1">
              <a:solidFill>
                <a:schemeClr val="dk1"/>
              </a:solidFill>
              <a:effectLst/>
              <a:latin typeface="Source Sans Pro" panose="020B0503030403020204" pitchFamily="34" charset="0"/>
              <a:ea typeface="+mn-ea"/>
              <a:cs typeface="+mn-cs"/>
            </a:rPr>
            <a:t> Amount</a:t>
          </a:r>
          <a:r>
            <a:rPr lang="en-NZ" sz="1100">
              <a:solidFill>
                <a:schemeClr val="dk1"/>
              </a:solidFill>
              <a:effectLst/>
              <a:latin typeface="Source Sans Pro" panose="020B0503030403020204" pitchFamily="34" charset="0"/>
              <a:ea typeface="+mn-ea"/>
              <a:cs typeface="+mn-cs"/>
            </a:rPr>
            <a:t> field is blank and the </a:t>
          </a:r>
          <a:r>
            <a:rPr lang="en-NZ" sz="1100" i="1">
              <a:solidFill>
                <a:schemeClr val="dk1"/>
              </a:solidFill>
              <a:effectLst/>
              <a:latin typeface="Source Sans Pro" panose="020B0503030403020204" pitchFamily="34" charset="0"/>
              <a:ea typeface="+mn-ea"/>
              <a:cs typeface="+mn-cs"/>
            </a:rPr>
            <a:t>Emissions Source </a:t>
          </a:r>
          <a:r>
            <a:rPr lang="en-NZ" sz="1100">
              <a:solidFill>
                <a:schemeClr val="dk1"/>
              </a:solidFill>
              <a:effectLst/>
              <a:latin typeface="Source Sans Pro" panose="020B0503030403020204" pitchFamily="34" charset="0"/>
              <a:ea typeface="+mn-ea"/>
              <a:cs typeface="+mn-cs"/>
            </a:rPr>
            <a:t>is not being accounted for by another record. In the case where this </a:t>
          </a:r>
          <a:r>
            <a:rPr lang="en-NZ" sz="1100" i="1">
              <a:solidFill>
                <a:schemeClr val="dk1"/>
              </a:solidFill>
              <a:effectLst/>
              <a:latin typeface="Source Sans Pro" panose="020B0503030403020204" pitchFamily="34" charset="0"/>
              <a:ea typeface="+mn-ea"/>
              <a:cs typeface="+mn-cs"/>
            </a:rPr>
            <a:t>Data Source</a:t>
          </a:r>
          <a:r>
            <a:rPr lang="en-NZ" sz="1100">
              <a:solidFill>
                <a:schemeClr val="dk1"/>
              </a:solidFill>
              <a:effectLst/>
              <a:latin typeface="Source Sans Pro" panose="020B0503030403020204" pitchFamily="34" charset="0"/>
              <a:ea typeface="+mn-ea"/>
              <a:cs typeface="+mn-cs"/>
            </a:rPr>
            <a:t> field is left blank the </a:t>
          </a:r>
          <a:r>
            <a:rPr lang="en-NZ" sz="1100" i="1">
              <a:solidFill>
                <a:schemeClr val="dk1"/>
              </a:solidFill>
              <a:effectLst/>
              <a:latin typeface="Source Sans Pro" panose="020B0503030403020204" pitchFamily="34" charset="0"/>
              <a:ea typeface="+mn-ea"/>
              <a:cs typeface="+mn-cs"/>
            </a:rPr>
            <a:t>Notes</a:t>
          </a:r>
          <a:r>
            <a:rPr lang="en-NZ" sz="1100">
              <a:solidFill>
                <a:schemeClr val="dk1"/>
              </a:solidFill>
              <a:effectLst/>
              <a:latin typeface="Source Sans Pro" panose="020B0503030403020204" pitchFamily="34" charset="0"/>
              <a:ea typeface="+mn-ea"/>
              <a:cs typeface="+mn-cs"/>
            </a:rPr>
            <a:t> field should be populated with an explanation why.</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Data Reliability:</a:t>
          </a:r>
        </a:p>
        <a:p>
          <a:r>
            <a:rPr lang="en-NZ" sz="1100">
              <a:solidFill>
                <a:schemeClr val="dk1"/>
              </a:solidFill>
              <a:effectLst/>
              <a:latin typeface="Source Sans Pro" panose="020B0503030403020204" pitchFamily="34" charset="0"/>
              <a:ea typeface="+mn-ea"/>
              <a:cs typeface="+mn-cs"/>
            </a:rPr>
            <a:t>Drop down field with 3 options of Good, Fair or Poor used to measure the quality of the data source used to derive the </a:t>
          </a:r>
          <a:r>
            <a:rPr lang="en-NZ" sz="1100" i="1">
              <a:solidFill>
                <a:schemeClr val="dk1"/>
              </a:solidFill>
              <a:effectLst/>
              <a:latin typeface="Source Sans Pro" panose="020B0503030403020204" pitchFamily="34" charset="0"/>
              <a:ea typeface="+mn-ea"/>
              <a:cs typeface="+mn-cs"/>
            </a:rPr>
            <a:t>Amount</a:t>
          </a:r>
          <a:r>
            <a:rPr lang="en-NZ" sz="1100">
              <a:solidFill>
                <a:schemeClr val="dk1"/>
              </a:solidFill>
              <a:effectLst/>
              <a:latin typeface="Source Sans Pro" panose="020B0503030403020204" pitchFamily="34" charset="0"/>
              <a:ea typeface="+mn-ea"/>
              <a:cs typeface="+mn-cs"/>
            </a:rPr>
            <a:t> field. The options are:</a:t>
          </a:r>
          <a:endParaRPr lang="en-US" sz="1100">
            <a:solidFill>
              <a:schemeClr val="dk1"/>
            </a:solidFill>
            <a:effectLst/>
            <a:latin typeface="Source Sans Pro" panose="020B0503030403020204" pitchFamily="34" charset="0"/>
            <a:ea typeface="+mn-ea"/>
            <a:cs typeface="+mn-cs"/>
          </a:endParaRPr>
        </a:p>
        <a:p>
          <a:pPr fontAlgn="base"/>
          <a:endParaRPr lang="en-US" sz="1100">
            <a:solidFill>
              <a:srgbClr val="00456A"/>
            </a:solidFill>
            <a:effectLst/>
            <a:latin typeface="Source Sans Pro" panose="020B0503030403020204" pitchFamily="34" charset="0"/>
            <a:ea typeface="Source Sans Pro" panose="020B0503030403020204" pitchFamily="34" charset="0"/>
            <a:cs typeface="+mn-cs"/>
          </a:endParaRPr>
        </a:p>
        <a:p>
          <a:pPr fontAlgn="base"/>
          <a:r>
            <a:rPr lang="en-NZ" sz="1100">
              <a:solidFill>
                <a:srgbClr val="00456A"/>
              </a:solidFill>
              <a:effectLst/>
              <a:latin typeface="Source Sans Pro" panose="020B0503030403020204" pitchFamily="34" charset="0"/>
              <a:ea typeface="Source Sans Pro" panose="020B0503030403020204" pitchFamily="34" charset="0"/>
              <a:cs typeface="+mn-cs"/>
            </a:rPr>
            <a:t>Good</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-Data provides an accurate estimation of the quantity of the emissions source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t>
          </a:r>
          <a:r>
            <a:rPr lang="en-NZ" sz="1100" i="1">
              <a:solidFill>
                <a:schemeClr val="dk1"/>
              </a:solidFill>
              <a:effectLst/>
              <a:latin typeface="Source Sans Pro" panose="020B0503030403020204" pitchFamily="34" charset="0"/>
              <a:ea typeface="+mn-ea"/>
              <a:cs typeface="+mn-cs"/>
            </a:rPr>
            <a:t>Data Source </a:t>
          </a:r>
          <a:r>
            <a:rPr lang="en-NZ" sz="1100">
              <a:solidFill>
                <a:schemeClr val="dk1"/>
              </a:solidFill>
              <a:effectLst/>
              <a:latin typeface="Source Sans Pro" panose="020B0503030403020204" pitchFamily="34" charset="0"/>
              <a:ea typeface="+mn-ea"/>
              <a:cs typeface="+mn-cs"/>
            </a:rPr>
            <a:t>relate to the quantity from individual consumed sources and have been aggregated up to a reporting level</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-Minimum bulk estimation techniques used</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-Data error range limited to ±20%</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rgbClr val="00456A"/>
              </a:solidFill>
              <a:effectLst/>
              <a:latin typeface="Source Sans Pro" panose="020B0503030403020204" pitchFamily="34" charset="0"/>
              <a:ea typeface="Source Sans Pro" panose="020B0503030403020204" pitchFamily="34" charset="0"/>
              <a:cs typeface="+mn-cs"/>
            </a:rPr>
            <a:t>Fair</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-Data provides a suitable estimation of the quantity of the emissions source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t>
          </a:r>
          <a:r>
            <a:rPr lang="en-NZ" sz="1100" i="1">
              <a:solidFill>
                <a:schemeClr val="dk1"/>
              </a:solidFill>
              <a:effectLst/>
              <a:latin typeface="Source Sans Pro" panose="020B0503030403020204" pitchFamily="34" charset="0"/>
              <a:ea typeface="+mn-ea"/>
              <a:cs typeface="+mn-cs"/>
            </a:rPr>
            <a:t>Data Source </a:t>
          </a:r>
          <a:r>
            <a:rPr lang="en-NZ" sz="1100">
              <a:solidFill>
                <a:schemeClr val="dk1"/>
              </a:solidFill>
              <a:effectLst/>
              <a:latin typeface="Source Sans Pro" panose="020B0503030403020204" pitchFamily="34" charset="0"/>
              <a:ea typeface="+mn-ea"/>
              <a:cs typeface="+mn-cs"/>
            </a:rPr>
            <a:t>relate to a mix of both consumed and procured sources. </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-Some sources have been aggregated up to a reporting level, but others have been estimated at a reporting level</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-Moderate amount of bulk estimation techniques used</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-Data error range limited to ±50%</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NZ" sz="1100">
              <a:solidFill>
                <a:srgbClr val="00456A"/>
              </a:solidFill>
              <a:effectLst/>
              <a:latin typeface="Source Sans Pro" panose="020B0503030403020204" pitchFamily="34" charset="0"/>
              <a:ea typeface="Source Sans Pro" panose="020B0503030403020204" pitchFamily="34" charset="0"/>
              <a:cs typeface="+mn-cs"/>
            </a:rPr>
            <a:t>Poor</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-Data provides a very rough estimation of the quantity of the emissions source</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t>
          </a:r>
          <a:r>
            <a:rPr lang="en-NZ" sz="1100" i="1">
              <a:solidFill>
                <a:schemeClr val="dk1"/>
              </a:solidFill>
              <a:effectLst/>
              <a:latin typeface="Source Sans Pro" panose="020B0503030403020204" pitchFamily="34" charset="0"/>
              <a:ea typeface="+mn-ea"/>
              <a:cs typeface="+mn-cs"/>
            </a:rPr>
            <a:t>Data Source </a:t>
          </a:r>
          <a:r>
            <a:rPr lang="en-NZ" sz="1100">
              <a:solidFill>
                <a:schemeClr val="dk1"/>
              </a:solidFill>
              <a:effectLst/>
              <a:latin typeface="Source Sans Pro" panose="020B0503030403020204" pitchFamily="34" charset="0"/>
              <a:ea typeface="+mn-ea"/>
              <a:cs typeface="+mn-cs"/>
            </a:rPr>
            <a:t>relate to a mix of both consumed and procured sources. </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-Most emissions sources estimated at a reporting level</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-Several estimation techniques used</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-Data error range greater than ±50%</a:t>
          </a:r>
          <a:endParaRPr lang="en-US" sz="1100">
            <a:solidFill>
              <a:schemeClr val="dk1"/>
            </a:solidFill>
            <a:effectLst/>
            <a:latin typeface="Source Sans Pro" panose="020B0503030403020204" pitchFamily="34" charset="0"/>
            <a:ea typeface="+mn-ea"/>
            <a:cs typeface="+mn-cs"/>
          </a:endParaRP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rgbClr val="00456A"/>
              </a:solidFill>
              <a:effectLst/>
              <a:latin typeface="Source Sans Pro" panose="020B0503030403020204" pitchFamily="34" charset="0"/>
              <a:ea typeface="Source Sans Pro" panose="020B0503030403020204" pitchFamily="34" charset="0"/>
              <a:cs typeface="+mn-cs"/>
            </a:rPr>
            <a:t>Not Available</a:t>
          </a:r>
          <a:endParaRPr lang="en-US" sz="1100">
            <a:solidFill>
              <a:srgbClr val="00456A"/>
            </a:solidFill>
            <a:effectLst/>
            <a:latin typeface="Source Sans Pro" panose="020B0503030403020204" pitchFamily="34" charset="0"/>
            <a:ea typeface="Source Sans Pro" panose="020B0503030403020204" pitchFamily="34" charset="0"/>
            <a:cs typeface="+mn-cs"/>
          </a:endParaRP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 </a:t>
          </a:r>
          <a:r>
            <a:rPr lang="en-NZ" sz="1100" i="1">
              <a:solidFill>
                <a:schemeClr val="dk1"/>
              </a:solidFill>
              <a:effectLst/>
              <a:latin typeface="Source Sans Pro" panose="020B0503030403020204" pitchFamily="34" charset="0"/>
              <a:ea typeface="Source Sans Pro" panose="020B0503030403020204" pitchFamily="34" charset="0"/>
              <a:cs typeface="+mn-cs"/>
            </a:rPr>
            <a:t>Data Source </a:t>
          </a:r>
          <a:r>
            <a:rPr lang="en-NZ" sz="1100">
              <a:solidFill>
                <a:schemeClr val="dk1"/>
              </a:solidFill>
              <a:effectLst/>
              <a:latin typeface="Source Sans Pro" panose="020B0503030403020204" pitchFamily="34" charset="0"/>
              <a:ea typeface="Source Sans Pro" panose="020B0503030403020204" pitchFamily="34" charset="0"/>
              <a:cs typeface="+mn-cs"/>
            </a:rPr>
            <a:t>field is null or is </a:t>
          </a:r>
          <a:r>
            <a:rPr lang="en-NZ" sz="1100">
              <a:solidFill>
                <a:schemeClr val="dk1"/>
              </a:solidFill>
              <a:effectLst/>
              <a:latin typeface="Source Sans Pro" panose="020B0503030403020204" pitchFamily="34" charset="0"/>
              <a:ea typeface="+mn-ea"/>
              <a:cs typeface="+mn-cs"/>
            </a:rPr>
            <a:t>referring </a:t>
          </a:r>
          <a:r>
            <a:rPr lang="en-NZ" sz="1100">
              <a:solidFill>
                <a:schemeClr val="dk1"/>
              </a:solidFill>
              <a:effectLst/>
              <a:latin typeface="Source Sans Pro" panose="020B0503030403020204" pitchFamily="34" charset="0"/>
              <a:ea typeface="Source Sans Pro" panose="020B0503030403020204" pitchFamily="34" charset="0"/>
              <a:cs typeface="+mn-cs"/>
            </a:rPr>
            <a:t> to another </a:t>
          </a:r>
          <a:r>
            <a:rPr lang="en-NZ" sz="1100" i="1">
              <a:solidFill>
                <a:schemeClr val="dk1"/>
              </a:solidFill>
              <a:effectLst/>
              <a:latin typeface="Source Sans Pro" panose="020B0503030403020204" pitchFamily="34" charset="0"/>
              <a:ea typeface="Source Sans Pro" panose="020B0503030403020204" pitchFamily="34" charset="0"/>
              <a:cs typeface="+mn-cs"/>
            </a:rPr>
            <a:t>Emissions Source</a:t>
          </a:r>
          <a:endParaRPr lang="en-US" sz="1100" i="1">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Notes</a:t>
          </a:r>
        </a:p>
        <a:p>
          <a:pPr fontAlgn="base"/>
          <a:r>
            <a:rPr lang="en-NZ" sz="1100" i="1">
              <a:solidFill>
                <a:schemeClr val="dk1"/>
              </a:solidFill>
              <a:effectLst/>
              <a:latin typeface="Source Sans Pro" panose="020B0503030403020204" pitchFamily="34" charset="0"/>
              <a:ea typeface="Source Sans Pro" panose="020B0503030403020204" pitchFamily="34" charset="0"/>
              <a:cs typeface="+mn-cs"/>
            </a:rPr>
            <a:t>Notes</a:t>
          </a:r>
          <a:r>
            <a:rPr lang="en-NZ" sz="1100">
              <a:solidFill>
                <a:schemeClr val="dk1"/>
              </a:solidFill>
              <a:effectLst/>
              <a:latin typeface="Source Sans Pro" panose="020B0503030403020204" pitchFamily="34" charset="0"/>
              <a:ea typeface="Source Sans Pro" panose="020B0503030403020204" pitchFamily="34" charset="0"/>
              <a:cs typeface="+mn-cs"/>
            </a:rPr>
            <a:t> is a free text field  used to provide assumptions and details used in the derivation of </a:t>
          </a:r>
          <a:r>
            <a:rPr lang="en-NZ" sz="1100" i="1">
              <a:solidFill>
                <a:schemeClr val="dk1"/>
              </a:solidFill>
              <a:effectLst/>
              <a:latin typeface="Source Sans Pro" panose="020B0503030403020204" pitchFamily="34" charset="0"/>
              <a:ea typeface="Source Sans Pro" panose="020B0503030403020204" pitchFamily="34" charset="0"/>
              <a:cs typeface="+mn-cs"/>
            </a:rPr>
            <a:t>Emission Source </a:t>
          </a:r>
          <a:r>
            <a:rPr lang="en-NZ" sz="1100">
              <a:solidFill>
                <a:schemeClr val="dk1"/>
              </a:solidFill>
              <a:effectLst/>
              <a:latin typeface="Source Sans Pro" panose="020B0503030403020204" pitchFamily="34" charset="0"/>
              <a:ea typeface="Source Sans Pro" panose="020B0503030403020204" pitchFamily="34" charset="0"/>
              <a:cs typeface="+mn-cs"/>
            </a:rPr>
            <a:t>amounts. </a:t>
          </a: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This could include: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-Formulas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-Scope of activities measured</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-Limitations/Boundaries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-Assumptions</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-Potential areas of double counting (provide emissions group and emission source of conflicting record)</a:t>
          </a:r>
          <a:endParaRPr lang="en-US" sz="1100">
            <a:solidFill>
              <a:schemeClr val="dk1"/>
            </a:solidFill>
            <a:effectLst/>
            <a:latin typeface="Source Sans Pro" panose="020B0503030403020204" pitchFamily="34" charset="0"/>
            <a:ea typeface="+mn-ea"/>
            <a:cs typeface="+mn-cs"/>
          </a:endParaRPr>
        </a:p>
        <a:p>
          <a:pPr fontAlgn="base"/>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Some emissions groups under</a:t>
          </a:r>
          <a:r>
            <a:rPr lang="en-NZ" sz="1100" i="1">
              <a:solidFill>
                <a:schemeClr val="dk1"/>
              </a:solidFill>
              <a:effectLst/>
              <a:latin typeface="Source Sans Pro" panose="020B0503030403020204" pitchFamily="34" charset="0"/>
              <a:ea typeface="+mn-ea"/>
              <a:cs typeface="+mn-cs"/>
            </a:rPr>
            <a:t> Emission Groups</a:t>
          </a:r>
          <a:r>
            <a:rPr lang="en-NZ" sz="1100">
              <a:solidFill>
                <a:schemeClr val="dk1"/>
              </a:solidFill>
              <a:effectLst/>
              <a:latin typeface="Source Sans Pro" panose="020B0503030403020204" pitchFamily="34" charset="0"/>
              <a:ea typeface="+mn-ea"/>
              <a:cs typeface="+mn-cs"/>
            </a:rPr>
            <a:t> have the option of choosing ‘Other’ under </a:t>
          </a:r>
          <a:r>
            <a:rPr lang="en-NZ" sz="1100" i="1">
              <a:solidFill>
                <a:schemeClr val="dk1"/>
              </a:solidFill>
              <a:effectLst/>
              <a:latin typeface="Source Sans Pro" panose="020B0503030403020204" pitchFamily="34" charset="0"/>
              <a:ea typeface="+mn-ea"/>
              <a:cs typeface="+mn-cs"/>
            </a:rPr>
            <a:t>Emission Source</a:t>
          </a:r>
          <a:r>
            <a:rPr lang="en-NZ" sz="1100">
              <a:solidFill>
                <a:schemeClr val="dk1"/>
              </a:solidFill>
              <a:effectLst/>
              <a:latin typeface="Source Sans Pro" panose="020B0503030403020204" pitchFamily="34" charset="0"/>
              <a:ea typeface="+mn-ea"/>
              <a:cs typeface="+mn-cs"/>
            </a:rPr>
            <a:t>. This allows users to directly calculate the carbon associated with the whole emissions group or a subset of it. The notes field should contain the scope and estimation techniques used.  </a:t>
          </a:r>
          <a:endParaRPr lang="en-US" sz="1100">
            <a:solidFill>
              <a:schemeClr val="dk1"/>
            </a:solidFill>
            <a:effectLst/>
            <a:latin typeface="Source Sans Pro" panose="020B0503030403020204" pitchFamily="34" charset="0"/>
            <a:ea typeface="+mn-ea"/>
            <a:cs typeface="+mn-cs"/>
          </a:endParaRPr>
        </a:p>
        <a:p>
          <a:pPr fontAlgn="base"/>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When the </a:t>
          </a:r>
          <a:r>
            <a:rPr lang="en-NZ" sz="1100" i="1">
              <a:solidFill>
                <a:schemeClr val="dk1"/>
              </a:solidFill>
              <a:effectLst/>
              <a:latin typeface="Source Sans Pro" panose="020B0503030403020204" pitchFamily="34" charset="0"/>
              <a:ea typeface="+mn-ea"/>
              <a:cs typeface="+mn-cs"/>
            </a:rPr>
            <a:t>Amount </a:t>
          </a:r>
          <a:r>
            <a:rPr lang="en-NZ" sz="1100">
              <a:solidFill>
                <a:schemeClr val="dk1"/>
              </a:solidFill>
              <a:effectLst/>
              <a:latin typeface="Source Sans Pro" panose="020B0503030403020204" pitchFamily="34" charset="0"/>
              <a:ea typeface="+mn-ea"/>
              <a:cs typeface="+mn-cs"/>
            </a:rPr>
            <a:t>field and scope field is blank the </a:t>
          </a:r>
          <a:r>
            <a:rPr lang="en-NZ" sz="1100" i="1">
              <a:solidFill>
                <a:schemeClr val="dk1"/>
              </a:solidFill>
              <a:effectLst/>
              <a:latin typeface="Source Sans Pro" panose="020B0503030403020204" pitchFamily="34" charset="0"/>
              <a:ea typeface="+mn-ea"/>
              <a:cs typeface="+mn-cs"/>
            </a:rPr>
            <a:t>Notes</a:t>
          </a:r>
          <a:r>
            <a:rPr lang="en-NZ" sz="1100">
              <a:solidFill>
                <a:schemeClr val="dk1"/>
              </a:solidFill>
              <a:effectLst/>
              <a:latin typeface="Source Sans Pro" panose="020B0503030403020204" pitchFamily="34" charset="0"/>
              <a:ea typeface="+mn-ea"/>
              <a:cs typeface="+mn-cs"/>
            </a:rPr>
            <a:t> field should be used to elaborate why. </a:t>
          </a:r>
        </a:p>
        <a:p>
          <a:endParaRPr lang="en-US" sz="1100">
            <a:solidFill>
              <a:schemeClr val="dk1"/>
            </a:solidFill>
            <a:effectLst/>
            <a:latin typeface="Source Sans Pro" panose="020B0503030403020204" pitchFamily="34" charset="0"/>
            <a:ea typeface="+mn-ea"/>
            <a:cs typeface="+mn-cs"/>
          </a:endParaRPr>
        </a:p>
        <a:p>
          <a:pPr fontAlgn="base"/>
          <a:r>
            <a:rPr lang="en-NZ" sz="1100">
              <a:solidFill>
                <a:schemeClr val="dk1"/>
              </a:solidFill>
              <a:effectLst/>
              <a:latin typeface="Source Sans Pro" panose="020B0503030403020204" pitchFamily="34" charset="0"/>
              <a:ea typeface="Source Sans Pro" panose="020B0503030403020204" pitchFamily="34" charset="0"/>
              <a:cs typeface="+mn-cs"/>
            </a:rPr>
            <a:t>Common examples include: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mn-ea"/>
              <a:cs typeface="+mn-cs"/>
            </a:rPr>
            <a:t>-Boundary item (item has been excluded in the annual reporting boundary definition agreed with Waka Kotahi)</a:t>
          </a:r>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mn-ea"/>
              <a:cs typeface="+mn-cs"/>
            </a:rPr>
            <a:t>-Emissions source could not be estimated with available data</a:t>
          </a:r>
          <a:endParaRPr lang="en-US" sz="1100">
            <a:solidFill>
              <a:schemeClr val="dk1"/>
            </a:solidFill>
            <a:effectLst/>
            <a:latin typeface="Source Sans Pro" panose="020B0503030403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tx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solidFill>
              <a:sysClr val="windowText" lastClr="000000"/>
            </a:solidFill>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solidFill>
              <a:sysClr val="windowText" lastClr="000000"/>
            </a:solidFill>
            <a:effectLst/>
            <a:latin typeface="Source Sans Pro" panose="020B0503030403020204" pitchFamily="34" charset="0"/>
            <a:ea typeface="Source Sans Pro" panose="020B0503030403020204" pitchFamily="34" charset="0"/>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latin typeface="Source Sans Pro" panose="020B0503030403020204" pitchFamily="34" charset="0"/>
            <a:ea typeface="Source Sans Pro" panose="020B0503030403020204" pitchFamily="34" charset="0"/>
          </a:endParaRPr>
        </a:p>
      </xdr:txBody>
    </xdr:sp>
    <xdr:clientData/>
  </xdr:twoCellAnchor>
  <xdr:twoCellAnchor>
    <xdr:from>
      <xdr:col>14</xdr:col>
      <xdr:colOff>67660</xdr:colOff>
      <xdr:row>4</xdr:row>
      <xdr:rowOff>126779</xdr:rowOff>
    </xdr:from>
    <xdr:to>
      <xdr:col>26</xdr:col>
      <xdr:colOff>316622</xdr:colOff>
      <xdr:row>188</xdr:row>
      <xdr:rowOff>157655</xdr:rowOff>
    </xdr:to>
    <xdr:sp macro="" textlink="">
      <xdr:nvSpPr>
        <xdr:cNvPr id="5" name="TextBox 4">
          <a:extLst>
            <a:ext uri="{FF2B5EF4-FFF2-40B4-BE49-F238E27FC236}">
              <a16:creationId xmlns:a16="http://schemas.microsoft.com/office/drawing/2014/main" id="{C3998681-C649-431A-8663-2F58CC777C82}"/>
            </a:ext>
          </a:extLst>
        </xdr:cNvPr>
        <xdr:cNvSpPr txBox="1"/>
      </xdr:nvSpPr>
      <xdr:spPr>
        <a:xfrm>
          <a:off x="8620453" y="1525969"/>
          <a:ext cx="7579928" cy="3508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u="sng">
              <a:solidFill>
                <a:srgbClr val="00456A"/>
              </a:solidFill>
              <a:effectLst/>
              <a:latin typeface="Source Sans Pro" panose="020B0503030403020204" pitchFamily="34" charset="0"/>
              <a:ea typeface="Source Sans Pro" panose="020B0503030403020204" pitchFamily="34" charset="0"/>
              <a:cs typeface="+mn-cs"/>
            </a:rPr>
            <a:t>Section 4: General Scope Guidance</a:t>
          </a:r>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pPr fontAlgn="base"/>
          <a:r>
            <a:rPr lang="en-US" sz="1100">
              <a:solidFill>
                <a:schemeClr val="dk1"/>
              </a:solidFill>
              <a:effectLst/>
              <a:latin typeface="Source Sans Pro" panose="020B0503030403020204" pitchFamily="34" charset="0"/>
              <a:ea typeface="Source Sans Pro" panose="020B0503030403020204" pitchFamily="34" charset="0"/>
              <a:cs typeface="+mn-cs"/>
            </a:rPr>
            <a:t>There are 95 </a:t>
          </a:r>
          <a:r>
            <a:rPr lang="en-US" sz="1100" i="1">
              <a:solidFill>
                <a:schemeClr val="dk1"/>
              </a:solidFill>
              <a:effectLst/>
              <a:latin typeface="Source Sans Pro" panose="020B0503030403020204" pitchFamily="34" charset="0"/>
              <a:ea typeface="Source Sans Pro" panose="020B0503030403020204" pitchFamily="34" charset="0"/>
              <a:cs typeface="+mn-cs"/>
            </a:rPr>
            <a:t>Emissions Sources </a:t>
          </a:r>
          <a:r>
            <a:rPr lang="en-US" sz="1100">
              <a:solidFill>
                <a:schemeClr val="dk1"/>
              </a:solidFill>
              <a:effectLst/>
              <a:latin typeface="Source Sans Pro" panose="020B0503030403020204" pitchFamily="34" charset="0"/>
              <a:ea typeface="Source Sans Pro" panose="020B0503030403020204" pitchFamily="34" charset="0"/>
              <a:cs typeface="+mn-cs"/>
            </a:rPr>
            <a:t>categorized into 37 </a:t>
          </a:r>
          <a:r>
            <a:rPr lang="en-US" sz="1100" i="1">
              <a:solidFill>
                <a:schemeClr val="dk1"/>
              </a:solidFill>
              <a:effectLst/>
              <a:latin typeface="Source Sans Pro" panose="020B0503030403020204" pitchFamily="34" charset="0"/>
              <a:ea typeface="Source Sans Pro" panose="020B0503030403020204" pitchFamily="34" charset="0"/>
              <a:cs typeface="+mn-cs"/>
            </a:rPr>
            <a:t>Emission Subgroups </a:t>
          </a:r>
          <a:r>
            <a:rPr lang="en-US" sz="1100">
              <a:solidFill>
                <a:schemeClr val="dk1"/>
              </a:solidFill>
              <a:effectLst/>
              <a:latin typeface="Source Sans Pro" panose="020B0503030403020204" pitchFamily="34" charset="0"/>
              <a:ea typeface="Source Sans Pro" panose="020B0503030403020204" pitchFamily="34" charset="0"/>
              <a:cs typeface="+mn-cs"/>
            </a:rPr>
            <a:t>and further into 8 overarching </a:t>
          </a:r>
          <a:r>
            <a:rPr lang="en-US" sz="1100" i="1">
              <a:solidFill>
                <a:schemeClr val="dk1"/>
              </a:solidFill>
              <a:effectLst/>
              <a:latin typeface="Source Sans Pro" panose="020B0503030403020204" pitchFamily="34" charset="0"/>
              <a:ea typeface="Source Sans Pro" panose="020B0503030403020204" pitchFamily="34" charset="0"/>
              <a:cs typeface="+mn-cs"/>
            </a:rPr>
            <a:t>Emission Groups</a:t>
          </a:r>
          <a:r>
            <a:rPr lang="en-US" sz="1100">
              <a:solidFill>
                <a:schemeClr val="dk1"/>
              </a:solidFill>
              <a:effectLst/>
              <a:latin typeface="Source Sans Pro" panose="020B0503030403020204" pitchFamily="34" charset="0"/>
              <a:ea typeface="Source Sans Pro" panose="020B0503030403020204" pitchFamily="34" charset="0"/>
              <a:cs typeface="+mn-cs"/>
            </a:rPr>
            <a:t>. For each annual reporting period the contractor under the KRA must agree a set of reporting boundaries with Waka Kotahi and thus determine a scope of data collection.</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US" sz="1100">
              <a:solidFill>
                <a:schemeClr val="dk1"/>
              </a:solidFill>
              <a:effectLst/>
              <a:latin typeface="Source Sans Pro" panose="020B0503030403020204" pitchFamily="34" charset="0"/>
              <a:ea typeface="+mn-ea"/>
              <a:cs typeface="+mn-cs"/>
            </a:rPr>
            <a:t>These boundaries can be used in the </a:t>
          </a:r>
          <a:r>
            <a:rPr lang="en-US" sz="1100" i="1">
              <a:solidFill>
                <a:schemeClr val="dk1"/>
              </a:solidFill>
              <a:effectLst/>
              <a:latin typeface="Source Sans Pro" panose="020B0503030403020204" pitchFamily="34" charset="0"/>
              <a:ea typeface="+mn-ea"/>
              <a:cs typeface="+mn-cs"/>
            </a:rPr>
            <a:t>Notes</a:t>
          </a:r>
          <a:r>
            <a:rPr lang="en-US" sz="1100">
              <a:solidFill>
                <a:schemeClr val="dk1"/>
              </a:solidFill>
              <a:effectLst/>
              <a:latin typeface="Source Sans Pro" panose="020B0503030403020204" pitchFamily="34" charset="0"/>
              <a:ea typeface="+mn-ea"/>
              <a:cs typeface="+mn-cs"/>
            </a:rPr>
            <a:t> field for each emissions source to explain incomplete data, poor confidence gradings or scope limitations.</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US" sz="1100">
              <a:solidFill>
                <a:schemeClr val="dk1"/>
              </a:solidFill>
              <a:effectLst/>
              <a:latin typeface="Source Sans Pro" panose="020B0503030403020204" pitchFamily="34" charset="0"/>
              <a:ea typeface="Source Sans Pro" panose="020B0503030403020204" pitchFamily="34" charset="0"/>
              <a:cs typeface="+mn-cs"/>
            </a:rPr>
            <a:t>The below </a:t>
          </a:r>
          <a:r>
            <a:rPr lang="en-US" sz="1100" i="1">
              <a:solidFill>
                <a:schemeClr val="dk1"/>
              </a:solidFill>
              <a:effectLst/>
              <a:latin typeface="Source Sans Pro" panose="020B0503030403020204" pitchFamily="34" charset="0"/>
              <a:ea typeface="Source Sans Pro" panose="020B0503030403020204" pitchFamily="34" charset="0"/>
              <a:cs typeface="+mn-cs"/>
            </a:rPr>
            <a:t>Emissions Group </a:t>
          </a:r>
          <a:r>
            <a:rPr lang="en-US" sz="1100">
              <a:solidFill>
                <a:schemeClr val="dk1"/>
              </a:solidFill>
              <a:effectLst/>
              <a:latin typeface="Source Sans Pro" panose="020B0503030403020204" pitchFamily="34" charset="0"/>
              <a:ea typeface="Source Sans Pro" panose="020B0503030403020204" pitchFamily="34" charset="0"/>
              <a:cs typeface="+mn-cs"/>
            </a:rPr>
            <a:t>guidance covers a wide scope but can act as a starting point to develop annual reporting boundaries. Note that the Emission Group numbers in the input tab are hypelinked to relevant sections below for ease of use.</a:t>
          </a:r>
        </a:p>
        <a:p>
          <a:pPr fontAlgn="base"/>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NZ" sz="1100" b="1" i="0" baseline="0">
              <a:solidFill>
                <a:srgbClr val="00456A"/>
              </a:solidFill>
              <a:effectLst/>
              <a:latin typeface="Source Sans Pro" panose="020B0503030403020204" pitchFamily="34" charset="0"/>
              <a:ea typeface="+mn-ea"/>
              <a:cs typeface="+mn-cs"/>
            </a:rPr>
            <a:t>0 Integrated Reporting &amp; the use of Other Emissions</a:t>
          </a:r>
        </a:p>
        <a:p>
          <a:pPr marL="0" marR="0" lvl="0" indent="0" defTabSz="914400" eaLnBrk="1" fontAlgn="base" latinLnBrk="0" hangingPunct="1">
            <a:lnSpc>
              <a:spcPct val="100000"/>
            </a:lnSpc>
            <a:spcBef>
              <a:spcPts val="0"/>
            </a:spcBef>
            <a:spcAft>
              <a:spcPts val="0"/>
            </a:spcAft>
            <a:buClrTx/>
            <a:buSzTx/>
            <a:buFontTx/>
            <a:buNone/>
            <a:tabLst/>
            <a:defRPr/>
          </a:pPr>
          <a:endParaRPr lang="en-NZ" sz="1100" b="1" i="0" baseline="0">
            <a:solidFill>
              <a:schemeClr val="dk1"/>
            </a:solidFill>
            <a:effectLst/>
            <a:latin typeface="Source Sans Pro" panose="020B0503030403020204" pitchFamily="34" charset="0"/>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NZ" sz="1100" b="0" i="0" baseline="0">
              <a:solidFill>
                <a:schemeClr val="dk1"/>
              </a:solidFill>
              <a:effectLst/>
              <a:latin typeface="Source Sans Pro" panose="020B0503030403020204" pitchFamily="34" charset="0"/>
              <a:ea typeface="+mn-ea"/>
              <a:cs typeface="+mn-cs"/>
            </a:rPr>
            <a:t>It is understood that not every combination of Emission Groups and Sources are available in this form to cover all scopes of activity. Suppliers who have mature carbon reporting systems with a wider scope can integrate with this tool by using the 'Other Emissions'  category present in most Emission Groups.</a:t>
          </a:r>
        </a:p>
        <a:p>
          <a:pPr marL="0" marR="0" lvl="0" indent="0" defTabSz="914400" eaLnBrk="1" fontAlgn="base"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fontAlgn="base"/>
          <a:r>
            <a:rPr lang="en-US" sz="1100">
              <a:solidFill>
                <a:schemeClr val="dk1"/>
              </a:solidFill>
              <a:effectLst/>
              <a:latin typeface="Source Sans Pro" panose="020B0503030403020204" pitchFamily="34" charset="0"/>
              <a:ea typeface="Source Sans Pro" panose="020B0503030403020204" pitchFamily="34" charset="0"/>
              <a:cs typeface="+mn-cs"/>
            </a:rPr>
            <a:t>The </a:t>
          </a:r>
          <a:r>
            <a:rPr lang="en-US" sz="1100" i="1">
              <a:solidFill>
                <a:schemeClr val="dk1"/>
              </a:solidFill>
              <a:effectLst/>
              <a:latin typeface="Source Sans Pro" panose="020B0503030403020204" pitchFamily="34" charset="0"/>
              <a:ea typeface="Source Sans Pro" panose="020B0503030403020204" pitchFamily="34" charset="0"/>
              <a:cs typeface="+mn-cs"/>
            </a:rPr>
            <a:t>Emissions Groups </a:t>
          </a:r>
          <a:r>
            <a:rPr lang="en-US" sz="1100">
              <a:solidFill>
                <a:schemeClr val="dk1"/>
              </a:solidFill>
              <a:effectLst/>
              <a:latin typeface="Source Sans Pro" panose="020B0503030403020204" pitchFamily="34" charset="0"/>
              <a:ea typeface="Source Sans Pro" panose="020B0503030403020204" pitchFamily="34" charset="0"/>
              <a:cs typeface="+mn-cs"/>
            </a:rPr>
            <a:t>are: </a:t>
          </a: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NZ" sz="1100" b="1" i="0" u="none" strike="noStrike" kern="0" cap="none" spc="0" normalizeH="0" baseline="0" noProof="0">
              <a:ln>
                <a:noFill/>
              </a:ln>
              <a:solidFill>
                <a:srgbClr val="00456A"/>
              </a:solidFill>
              <a:effectLst/>
              <a:uLnTx/>
              <a:uFillTx/>
              <a:latin typeface="Source Sans Pro" panose="020B0503030403020204" pitchFamily="34" charset="0"/>
              <a:ea typeface="Source Sans Pro" panose="020B0503030403020204" pitchFamily="34" charset="0"/>
              <a:cs typeface="+mn-cs"/>
            </a:rPr>
            <a:t>1 Energy</a:t>
          </a:r>
        </a:p>
        <a:p>
          <a:r>
            <a:rPr lang="en-US" sz="1100" baseline="0">
              <a:solidFill>
                <a:schemeClr val="dk1"/>
              </a:solidFill>
              <a:effectLst/>
              <a:latin typeface="Source Sans Pro" panose="020B0503030403020204" pitchFamily="34" charset="0"/>
              <a:ea typeface="Source Sans Pro" panose="020B0503030403020204" pitchFamily="34" charset="0"/>
              <a:cs typeface="+mn-cs"/>
            </a:rPr>
            <a:t>This </a:t>
          </a:r>
          <a:r>
            <a:rPr lang="en-US" sz="1100" i="1" baseline="0">
              <a:solidFill>
                <a:schemeClr val="dk1"/>
              </a:solidFill>
              <a:effectLst/>
              <a:latin typeface="Source Sans Pro" panose="020B0503030403020204" pitchFamily="34" charset="0"/>
              <a:ea typeface="Source Sans Pro" panose="020B0503030403020204" pitchFamily="34" charset="0"/>
              <a:cs typeface="+mn-cs"/>
            </a:rPr>
            <a:t>Emission Group </a:t>
          </a:r>
          <a:r>
            <a:rPr lang="en-US" sz="1100" baseline="0">
              <a:solidFill>
                <a:schemeClr val="dk1"/>
              </a:solidFill>
              <a:effectLst/>
              <a:latin typeface="Source Sans Pro" panose="020B0503030403020204" pitchFamily="34" charset="0"/>
              <a:ea typeface="Source Sans Pro" panose="020B0503030403020204" pitchFamily="34" charset="0"/>
              <a:cs typeface="+mn-cs"/>
            </a:rPr>
            <a:t>consists of 2 components:</a:t>
          </a: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r>
            <a:rPr lang="en-US" sz="1100" baseline="0">
              <a:solidFill>
                <a:schemeClr val="dk1"/>
              </a:solidFill>
              <a:effectLst/>
              <a:latin typeface="Source Sans Pro" panose="020B0503030403020204" pitchFamily="34" charset="0"/>
              <a:ea typeface="Source Sans Pro" panose="020B0503030403020204" pitchFamily="34" charset="0"/>
              <a:cs typeface="+mn-cs"/>
            </a:rPr>
            <a:t>-</a:t>
          </a:r>
          <a:r>
            <a:rPr lang="en-US" sz="1100">
              <a:solidFill>
                <a:schemeClr val="dk1"/>
              </a:solidFill>
              <a:effectLst/>
              <a:latin typeface="Source Sans Pro" panose="020B0503030403020204" pitchFamily="34" charset="0"/>
              <a:ea typeface="+mn-ea"/>
              <a:cs typeface="+mn-cs"/>
            </a:rPr>
            <a:t>Energy expended (heating, generators, lighting etc) in the running of both temporary and permanent depots/offices. If these facilities/utilities are shared proportion them based on Full-Time Employees (FTE’s) that utilise them.</a:t>
          </a: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r>
            <a:rPr lang="en-US" sz="1100" baseline="0">
              <a:solidFill>
                <a:schemeClr val="dk1"/>
              </a:solidFill>
              <a:effectLst/>
              <a:latin typeface="Source Sans Pro" panose="020B0503030403020204" pitchFamily="34" charset="0"/>
              <a:ea typeface="Source Sans Pro" panose="020B0503030403020204" pitchFamily="34" charset="0"/>
              <a:cs typeface="+mn-cs"/>
            </a:rPr>
            <a:t>-</a:t>
          </a:r>
          <a:r>
            <a:rPr lang="en-US" sz="1100">
              <a:solidFill>
                <a:schemeClr val="dk1"/>
              </a:solidFill>
              <a:effectLst/>
              <a:latin typeface="Source Sans Pro" panose="020B0503030403020204" pitchFamily="34" charset="0"/>
              <a:ea typeface="+mn-ea"/>
              <a:cs typeface="+mn-cs"/>
            </a:rPr>
            <a:t>Energy used in operation of on-site plant/equipment during asset installation (e.g., diesel consumed by paving machine).</a:t>
          </a:r>
        </a:p>
        <a:p>
          <a:endParaRPr lang="en-NZ" sz="1100" b="1"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1" i="0" baseline="0">
              <a:solidFill>
                <a:srgbClr val="00456A"/>
              </a:solidFill>
              <a:effectLst/>
              <a:latin typeface="Source Sans Pro" panose="020B0503030403020204" pitchFamily="34" charset="0"/>
              <a:ea typeface="Source Sans Pro" panose="020B0503030403020204" pitchFamily="34" charset="0"/>
              <a:cs typeface="+mn-cs"/>
            </a:rPr>
            <a:t>2 Transport</a:t>
          </a:r>
        </a:p>
        <a:p>
          <a:r>
            <a:rPr lang="en-NZ" sz="1100">
              <a:solidFill>
                <a:schemeClr val="dk1"/>
              </a:solidFill>
              <a:effectLst/>
              <a:latin typeface="Source Sans Pro" panose="020B0503030403020204" pitchFamily="34" charset="0"/>
              <a:ea typeface="+mn-ea"/>
              <a:cs typeface="+mn-cs"/>
            </a:rPr>
            <a:t>Emissions relating to mobile combustion moving material, plant and labour across the network would be captured here. </a:t>
          </a:r>
        </a:p>
        <a:p>
          <a:endParaRPr lang="en-US" sz="1100">
            <a:solidFill>
              <a:schemeClr val="dk1"/>
            </a:solidFill>
            <a:effectLst/>
            <a:latin typeface="Source Sans Pro" panose="020B0503030403020204" pitchFamily="34" charset="0"/>
            <a:ea typeface="+mn-ea"/>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There are two options for reporting levels:</a:t>
          </a:r>
        </a:p>
        <a:p>
          <a:pPr lvl="0"/>
          <a:r>
            <a:rPr lang="en-NZ" sz="1100">
              <a:solidFill>
                <a:schemeClr val="dk1"/>
              </a:solidFill>
              <a:effectLst/>
              <a:latin typeface="Source Sans Pro" panose="020B0503030403020204" pitchFamily="34" charset="0"/>
              <a:ea typeface="Source Sans Pro" panose="020B0503030403020204" pitchFamily="34" charset="0"/>
              <a:cs typeface="+mn-cs"/>
            </a:rPr>
            <a:t>-Liquid fuel combustion i.e., monthly fuel purchased (L)</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-Distance travelled by vehicles (km) multiplied by the vehicles loading (Tonnes). Note if the vehicle is unloaded assume 1 tonne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US" sz="1100">
              <a:solidFill>
                <a:schemeClr val="dk1"/>
              </a:solidFill>
              <a:effectLst/>
              <a:latin typeface="Source Sans Pro" panose="020B0503030403020204" pitchFamily="34" charset="0"/>
              <a:ea typeface="Source Sans Pro" panose="020B0503030403020204" pitchFamily="34" charset="0"/>
              <a:cs typeface="+mn-cs"/>
            </a:rPr>
            <a:t>Ensure that there is no double counting between liquid fuel and distance travelled, for each journey only one of the two options need to be </a:t>
          </a:r>
          <a:r>
            <a:rPr lang="en-US" sz="1100">
              <a:solidFill>
                <a:schemeClr val="dk1"/>
              </a:solidFill>
              <a:effectLst/>
              <a:latin typeface="Source Sans Pro" panose="020B0503030403020204" pitchFamily="34" charset="0"/>
              <a:ea typeface="+mn-ea"/>
              <a:cs typeface="+mn-cs"/>
            </a:rPr>
            <a:t>considered </a:t>
          </a:r>
          <a:r>
            <a:rPr lang="en-US" sz="1100">
              <a:solidFill>
                <a:schemeClr val="dk1"/>
              </a:solidFill>
              <a:effectLst/>
              <a:latin typeface="Source Sans Pro" panose="020B0503030403020204" pitchFamily="34" charset="0"/>
              <a:ea typeface="Source Sans Pro" panose="020B0503030403020204" pitchFamily="34" charset="0"/>
              <a:cs typeface="+mn-cs"/>
            </a:rPr>
            <a:t>depending on data availability. If the emissions regarding transportation are included in the liquid fuel combustion or other emissions stated in </a:t>
          </a:r>
          <a:r>
            <a:rPr lang="en-US" sz="1100" i="1">
              <a:solidFill>
                <a:schemeClr val="dk1"/>
              </a:solidFill>
              <a:effectLst/>
              <a:latin typeface="Source Sans Pro" panose="020B0503030403020204" pitchFamily="34" charset="0"/>
              <a:ea typeface="Source Sans Pro" panose="020B0503030403020204" pitchFamily="34" charset="0"/>
              <a:cs typeface="+mn-cs"/>
            </a:rPr>
            <a:t>Emission Group </a:t>
          </a:r>
          <a:r>
            <a:rPr lang="en-US" sz="1100">
              <a:solidFill>
                <a:schemeClr val="dk1"/>
              </a:solidFill>
              <a:effectLst/>
              <a:latin typeface="Source Sans Pro" panose="020B0503030403020204" pitchFamily="34" charset="0"/>
              <a:ea typeface="Source Sans Pro" panose="020B0503030403020204" pitchFamily="34" charset="0"/>
              <a:cs typeface="+mn-cs"/>
            </a:rPr>
            <a:t>1 then leave this section blank and add to </a:t>
          </a:r>
          <a:r>
            <a:rPr lang="en-US" sz="1100" i="1">
              <a:solidFill>
                <a:schemeClr val="dk1"/>
              </a:solidFill>
              <a:effectLst/>
              <a:latin typeface="Source Sans Pro" panose="020B0503030403020204" pitchFamily="34" charset="0"/>
              <a:ea typeface="Source Sans Pro" panose="020B0503030403020204" pitchFamily="34" charset="0"/>
              <a:cs typeface="+mn-cs"/>
            </a:rPr>
            <a:t>Notes</a:t>
          </a:r>
          <a:r>
            <a:rPr lang="en-US" sz="1100">
              <a:solidFill>
                <a:schemeClr val="dk1"/>
              </a:solidFill>
              <a:effectLst/>
              <a:latin typeface="Source Sans Pro" panose="020B0503030403020204" pitchFamily="34" charset="0"/>
              <a:ea typeface="Source Sans Pro" panose="020B0503030403020204" pitchFamily="34" charset="0"/>
              <a:cs typeface="+mn-cs"/>
            </a:rPr>
            <a:t> ‘accounted for in 1.1'</a:t>
          </a: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b="0" i="0" baseline="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3 Water</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Source Sans Pro" panose="020B0503030403020204" pitchFamily="34" charset="0"/>
              <a:ea typeface="Source Sans Pro" panose="020B0503030403020204" pitchFamily="34" charset="0"/>
              <a:cs typeface="+mn-cs"/>
            </a:rPr>
            <a:t>Water used has more implications than just carbon. Although water usage is carbon intensive, water is a scarce resource, it is important to understand how much water has been used in our maintenance work and at office/depots.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Source Sans Pro" panose="020B0503030403020204" pitchFamily="34" charset="0"/>
              <a:ea typeface="Source Sans Pro" panose="020B0503030403020204" pitchFamily="34" charset="0"/>
              <a:cs typeface="+mn-cs"/>
            </a:rPr>
            <a:t>The two sources of interest are:</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-Amount (L) of potable water has been used for any activities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-Amount (L) of water from any other source (i.e.</a:t>
          </a:r>
          <a:r>
            <a:rPr lang="en-NZ" sz="1100" baseline="0">
              <a:solidFill>
                <a:schemeClr val="dk1"/>
              </a:solidFill>
              <a:effectLst/>
              <a:latin typeface="Source Sans Pro" panose="020B0503030403020204" pitchFamily="34" charset="0"/>
              <a:ea typeface="Source Sans Pro" panose="020B0503030403020204" pitchFamily="34" charset="0"/>
              <a:cs typeface="+mn-cs"/>
            </a:rPr>
            <a:t> </a:t>
          </a:r>
          <a:r>
            <a:rPr lang="en-NZ" sz="1100">
              <a:solidFill>
                <a:schemeClr val="dk1"/>
              </a:solidFill>
              <a:effectLst/>
              <a:latin typeface="Source Sans Pro" panose="020B0503030403020204" pitchFamily="34" charset="0"/>
              <a:ea typeface="Source Sans Pro" panose="020B0503030403020204" pitchFamily="34" charset="0"/>
              <a:cs typeface="+mn-cs"/>
            </a:rPr>
            <a:t>collected rainwater) used for any activities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4 Waste</a:t>
          </a:r>
        </a:p>
        <a:p>
          <a:r>
            <a:rPr lang="en-NZ" sz="1100">
              <a:solidFill>
                <a:schemeClr val="dk1"/>
              </a:solidFill>
              <a:effectLst/>
              <a:latin typeface="Source Sans Pro" panose="020B0503030403020204" pitchFamily="34" charset="0"/>
              <a:ea typeface="Source Sans Pro" panose="020B0503030403020204" pitchFamily="34" charset="0"/>
              <a:cs typeface="+mn-cs"/>
            </a:rPr>
            <a:t>Similar to water the collection of waste has further implications regarding sustainability practices. Sub-groups include:</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rgbClr val="00456A"/>
              </a:solidFill>
              <a:effectLst/>
              <a:latin typeface="Source Sans Pro" panose="020B0503030403020204" pitchFamily="34" charset="0"/>
              <a:ea typeface="Source Sans Pro" panose="020B0503030403020204" pitchFamily="34" charset="0"/>
              <a:cs typeface="+mn-cs"/>
            </a:rPr>
            <a:t>Land Fill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-Construction material amounts removed from the network  during maintenance, separated into asphalt, concrete and other materials.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-An example could be a reseal that involves the asphalt layer being milled to waste. Examples of other materials can include clay tiles, timber that is sent to landfill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-Litter picked up from the roadside e.g., tyres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Waste generated in offices/depots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rgbClr val="00456A"/>
              </a:solidFill>
              <a:effectLst/>
              <a:latin typeface="Source Sans Pro" panose="020B0503030403020204" pitchFamily="34" charset="0"/>
              <a:ea typeface="Source Sans Pro" panose="020B0503030403020204" pitchFamily="34" charset="0"/>
              <a:cs typeface="+mn-cs"/>
            </a:rPr>
            <a:t>Clean fill</a:t>
          </a:r>
        </a:p>
        <a:p>
          <a:pPr lvl="0"/>
          <a:r>
            <a:rPr lang="en-NZ" sz="1100">
              <a:solidFill>
                <a:schemeClr val="dk1"/>
              </a:solidFill>
              <a:effectLst/>
              <a:latin typeface="Source Sans Pro" panose="020B0503030403020204" pitchFamily="34" charset="0"/>
              <a:ea typeface="Source Sans Pro" panose="020B0503030403020204" pitchFamily="34" charset="0"/>
              <a:cs typeface="+mn-cs"/>
            </a:rPr>
            <a:t> Total amount of material sent to clean fill sites. These usually involve the deposit of natural materials such as clay &amp; gravel that contain no contaminants and have to adverse effects on the environment.</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tx1"/>
            </a:solidFill>
            <a:effectLst/>
            <a:latin typeface="Source Sans Pro" panose="020B0503030403020204" pitchFamily="34" charset="0"/>
            <a:ea typeface="Source Sans Pro" panose="020B0503030403020204" pitchFamily="34" charset="0"/>
            <a:cs typeface="+mn-cs"/>
          </a:endParaRPr>
        </a:p>
        <a:p>
          <a:pPr lvl="0"/>
          <a:r>
            <a:rPr lang="en-NZ" sz="1100">
              <a:solidFill>
                <a:srgbClr val="00456A"/>
              </a:solidFill>
              <a:effectLst/>
              <a:latin typeface="Source Sans Pro" panose="020B0503030403020204" pitchFamily="34" charset="0"/>
              <a:ea typeface="Source Sans Pro" panose="020B0503030403020204" pitchFamily="34" charset="0"/>
              <a:cs typeface="+mn-cs"/>
            </a:rPr>
            <a:t>Managed fill</a:t>
          </a:r>
        </a:p>
        <a:p>
          <a:pPr lvl="0"/>
          <a:r>
            <a:rPr lang="en-NZ" sz="1100">
              <a:solidFill>
                <a:schemeClr val="dk1"/>
              </a:solidFill>
              <a:effectLst/>
              <a:latin typeface="Source Sans Pro" panose="020B0503030403020204" pitchFamily="34" charset="0"/>
              <a:ea typeface="Source Sans Pro" panose="020B0503030403020204" pitchFamily="34" charset="0"/>
              <a:cs typeface="+mn-cs"/>
            </a:rPr>
            <a:t>Total amount of material sent to managed fill sites. These usually involve the deposit of contaminated materials </a:t>
          </a:r>
        </a:p>
        <a:p>
          <a:pPr lvl="0"/>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rgbClr val="00456A"/>
              </a:solidFill>
              <a:effectLst/>
              <a:latin typeface="Source Sans Pro" panose="020B0503030403020204" pitchFamily="34" charset="0"/>
              <a:ea typeface="Source Sans Pro" panose="020B0503030403020204" pitchFamily="34" charset="0"/>
              <a:cs typeface="+mn-cs"/>
            </a:rPr>
            <a:t>Reuse/Recycle</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Total amount of material that is reused through either being sent to a plant to be recycled or substituted for new material in maintenance work. An example could be asphalt waste from a milled surface being reused for edge break or low shoulder work. As a rule of thumb any of the specified material that is not being sent to a land/clean/managed fill should be recorded here.</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b="1">
              <a:solidFill>
                <a:srgbClr val="00456A"/>
              </a:solidFill>
              <a:effectLst/>
              <a:latin typeface="Source Sans Pro" panose="020B0503030403020204" pitchFamily="34" charset="0"/>
              <a:ea typeface="Source Sans Pro" panose="020B0503030403020204" pitchFamily="34" charset="0"/>
              <a:cs typeface="+mn-cs"/>
            </a:rPr>
            <a:t>Materials General</a:t>
          </a:r>
          <a:endParaRPr lang="en-US" sz="1100" b="1">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Emission Groups 5-7 account for various groups of materials that are used in maintenance activities. The highest level of information required for each group is:</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-Steel : Mass (t)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-Aluminium: Mass (t)</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Concrete mix (mix type, strength, steel reinforcement, mass). Steel reinforcement can be left blank if already covered in </a:t>
          </a:r>
          <a:r>
            <a:rPr lang="en-NZ" sz="1100" i="0">
              <a:solidFill>
                <a:schemeClr val="dk1"/>
              </a:solidFill>
              <a:effectLst/>
              <a:latin typeface="Source Sans Pro" panose="020B0503030403020204" pitchFamily="34" charset="0"/>
              <a:ea typeface="Source Sans Pro" panose="020B0503030403020204" pitchFamily="34" charset="0"/>
              <a:cs typeface="+mn-cs"/>
            </a:rPr>
            <a:t>'</a:t>
          </a:r>
          <a:r>
            <a:rPr lang="en-NZ" sz="1100" i="1">
              <a:solidFill>
                <a:schemeClr val="dk1"/>
              </a:solidFill>
              <a:effectLst/>
              <a:latin typeface="Source Sans Pro" panose="020B0503030403020204" pitchFamily="34" charset="0"/>
              <a:ea typeface="Source Sans Pro" panose="020B0503030403020204" pitchFamily="34" charset="0"/>
              <a:cs typeface="+mn-cs"/>
            </a:rPr>
            <a:t>Steel other</a:t>
          </a:r>
          <a:r>
            <a:rPr lang="en-NZ" sz="1100">
              <a:solidFill>
                <a:schemeClr val="dk1"/>
              </a:solidFill>
              <a:effectLst/>
              <a:latin typeface="Source Sans Pro" panose="020B0503030403020204" pitchFamily="34" charset="0"/>
              <a:ea typeface="Source Sans Pro" panose="020B0503030403020204" pitchFamily="34" charset="0"/>
              <a:cs typeface="+mn-cs"/>
            </a:rPr>
            <a:t>', Put in Notes ‘Accounted for in 5.3.1’</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Proxies are available in each group to ease the difficulty of converting some assets into their associated materials. For example, under Group 5 Concrete, f-type and new jersey barriers can be entered as meters  instead of the concrete mix amount required in their manufacture.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However, if reporting at the higher levels defined above is easier than using the provided proxies, leave the proxies blank and put into notes ‘accounted for in </a:t>
          </a:r>
          <a:r>
            <a:rPr lang="en-NZ" sz="1100" b="1">
              <a:solidFill>
                <a:schemeClr val="dk1"/>
              </a:solidFill>
              <a:effectLst/>
              <a:latin typeface="Source Sans Pro" panose="020B0503030403020204" pitchFamily="34" charset="0"/>
              <a:ea typeface="Source Sans Pro" panose="020B0503030403020204" pitchFamily="34" charset="0"/>
              <a:cs typeface="+mn-cs"/>
            </a:rPr>
            <a:t>_______</a:t>
          </a:r>
          <a:r>
            <a:rPr lang="en-NZ" sz="1100">
              <a:solidFill>
                <a:schemeClr val="dk1"/>
              </a:solidFill>
              <a:effectLst/>
              <a:latin typeface="Source Sans Pro" panose="020B0503030403020204" pitchFamily="34" charset="0"/>
              <a:ea typeface="Source Sans Pro" panose="020B0503030403020204" pitchFamily="34" charset="0"/>
              <a:cs typeface="+mn-cs"/>
            </a:rPr>
            <a:t>’ where the blank is to be filled with the appropriate </a:t>
          </a:r>
          <a:r>
            <a:rPr lang="en-NZ" sz="1100" i="1">
              <a:solidFill>
                <a:schemeClr val="dk1"/>
              </a:solidFill>
              <a:effectLst/>
              <a:latin typeface="Source Sans Pro" panose="020B0503030403020204" pitchFamily="34" charset="0"/>
              <a:ea typeface="Source Sans Pro" panose="020B0503030403020204" pitchFamily="34" charset="0"/>
              <a:cs typeface="+mn-cs"/>
            </a:rPr>
            <a:t>Emission Source </a:t>
          </a:r>
          <a:r>
            <a:rPr lang="en-NZ" sz="1100" i="0">
              <a:solidFill>
                <a:schemeClr val="dk1"/>
              </a:solidFill>
              <a:effectLst/>
              <a:latin typeface="Source Sans Pro" panose="020B0503030403020204" pitchFamily="34" charset="0"/>
              <a:ea typeface="Source Sans Pro" panose="020B0503030403020204" pitchFamily="34" charset="0"/>
              <a:cs typeface="+mn-cs"/>
            </a:rPr>
            <a:t>reference</a:t>
          </a:r>
          <a:r>
            <a:rPr lang="en-NZ" sz="1100" i="1">
              <a:solidFill>
                <a:schemeClr val="dk1"/>
              </a:solidFill>
              <a:effectLst/>
              <a:latin typeface="Source Sans Pro" panose="020B0503030403020204" pitchFamily="34" charset="0"/>
              <a:ea typeface="Source Sans Pro" panose="020B0503030403020204" pitchFamily="34" charset="0"/>
              <a:cs typeface="+mn-cs"/>
            </a:rPr>
            <a:t> </a:t>
          </a:r>
          <a:r>
            <a:rPr lang="en-NZ" sz="1100">
              <a:solidFill>
                <a:schemeClr val="dk1"/>
              </a:solidFill>
              <a:effectLst/>
              <a:latin typeface="Source Sans Pro" panose="020B0503030403020204" pitchFamily="34" charset="0"/>
              <a:ea typeface="Source Sans Pro" panose="020B0503030403020204" pitchFamily="34" charset="0"/>
              <a:cs typeface="+mn-cs"/>
            </a:rPr>
            <a:t>the proxy is recorded against.</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For maintenance activities that do not have proxies such as concrete footpaths it is expected that they will be accounted for in the concrete mix sub-groups.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Emission Group 8 Pavement has very few proxies due to the changes in the different components of pavement having significantly</a:t>
          </a:r>
          <a:r>
            <a:rPr lang="en-NZ" sz="1100" baseline="0">
              <a:solidFill>
                <a:schemeClr val="dk1"/>
              </a:solidFill>
              <a:effectLst/>
              <a:latin typeface="Source Sans Pro" panose="020B0503030403020204" pitchFamily="34" charset="0"/>
              <a:ea typeface="Source Sans Pro" panose="020B0503030403020204" pitchFamily="34" charset="0"/>
              <a:cs typeface="+mn-cs"/>
            </a:rPr>
            <a:t> varying</a:t>
          </a:r>
          <a:r>
            <a:rPr lang="en-NZ" sz="1100">
              <a:solidFill>
                <a:schemeClr val="dk1"/>
              </a:solidFill>
              <a:effectLst/>
              <a:latin typeface="Source Sans Pro" panose="020B0503030403020204" pitchFamily="34" charset="0"/>
              <a:ea typeface="Source Sans Pro" panose="020B0503030403020204" pitchFamily="34" charset="0"/>
              <a:cs typeface="+mn-cs"/>
            </a:rPr>
            <a:t> carbon coefficients.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5 Steel</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Steel proxies include:</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-Steel poles used for signs, ITS and lighting. Measured in m calculated through summing the height of the various pole from the  ground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-Railings measured in metres installed/replaced</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Examples of Steel activities that could be included in </a:t>
          </a:r>
          <a:r>
            <a:rPr lang="en-NZ" sz="1100" i="1">
              <a:solidFill>
                <a:schemeClr val="dk1"/>
              </a:solidFill>
              <a:effectLst/>
              <a:latin typeface="Source Sans Pro" panose="020B0503030403020204" pitchFamily="34" charset="0"/>
              <a:ea typeface="Source Sans Pro" panose="020B0503030403020204" pitchFamily="34" charset="0"/>
              <a:cs typeface="+mn-cs"/>
            </a:rPr>
            <a:t>'Steel Other</a:t>
          </a:r>
          <a:r>
            <a:rPr lang="en-NZ" sz="1100">
              <a:solidFill>
                <a:schemeClr val="dk1"/>
              </a:solidFill>
              <a:effectLst/>
              <a:latin typeface="Source Sans Pro" panose="020B0503030403020204" pitchFamily="34" charset="0"/>
              <a:ea typeface="Source Sans Pro" panose="020B050303040302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-Fencing</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-Gantries</a:t>
          </a:r>
        </a:p>
        <a:p>
          <a:pPr lvl="0"/>
          <a:r>
            <a:rPr lang="en-NZ" sz="1100">
              <a:solidFill>
                <a:schemeClr val="dk1"/>
              </a:solidFill>
              <a:effectLst/>
              <a:latin typeface="Source Sans Pro" panose="020B0503030403020204" pitchFamily="34" charset="0"/>
              <a:ea typeface="Source Sans Pro" panose="020B0503030403020204" pitchFamily="34" charset="0"/>
              <a:cs typeface="+mn-cs"/>
            </a:rPr>
            <a:t>-Bridge maintenance</a:t>
          </a:r>
        </a:p>
        <a:p>
          <a:pPr lvl="0"/>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6 Aluminium</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Aluminium proxies include: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-Signs measure in surface area (m2). </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-Steel poles used for signs/ITS assets. Measured in m calculated through summing the height of the various pole from the ground</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00456A"/>
              </a:solidFill>
              <a:effectLst/>
              <a:latin typeface="Source Sans Pro" panose="020B0503030403020204" pitchFamily="34" charset="0"/>
              <a:ea typeface="Source Sans Pro" panose="020B0503030403020204" pitchFamily="34" charset="0"/>
              <a:cs typeface="+mn-cs"/>
            </a:rPr>
            <a:t>7 Concrete</a:t>
          </a:r>
          <a:endParaRPr lang="en-US">
            <a:solidFill>
              <a:srgbClr val="00456A"/>
            </a:solidFill>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proxies include: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barriers in metres installed/replaced, categorized by height 4m or 5m</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culverts by length (m) categorized into to one of the 5 diameters. If the exact diameter is not available select the closest option</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manholes by units categorized into depth ranges.</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mixes have different carbon footprints because of the different materials/heat levels (achieved by burning fossil fuels) that are required to achieve strength level ratings.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Concrete is sometimes reinforced with steel. Virgin/new steel produce a large amount of greenhouse gasses when extracted and processed.</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Examples of concrete maintenance activities that could be accounted for in the concrete mix sub-groups:</a:t>
          </a: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Footpath/cycleways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Kerb &amp; Channel</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structures such as drainage walls, retaining walls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pavement (despite being part of the pavement the emission</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-Bridge maintenance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crack filling and patching</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-Concrete drainage such as Catchpits, Drop chambers</a:t>
          </a: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456A"/>
              </a:solidFill>
              <a:effectLst/>
              <a:latin typeface="Source Sans Pro" panose="020B0503030403020204" pitchFamily="34" charset="0"/>
              <a:ea typeface="Source Sans Pro" panose="020B0503030403020204" pitchFamily="34" charset="0"/>
              <a:cs typeface="+mn-cs"/>
            </a:rPr>
            <a:t>8 Pavement</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This emission group contains various materials commonly used in pavements.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0">
              <a:solidFill>
                <a:srgbClr val="00456A"/>
              </a:solidFill>
              <a:effectLst/>
              <a:latin typeface="Source Sans Pro" panose="020B0503030403020204" pitchFamily="34" charset="0"/>
              <a:ea typeface="Source Sans Pro" panose="020B0503030403020204" pitchFamily="34" charset="0"/>
              <a:cs typeface="+mn-cs"/>
            </a:rPr>
            <a:t>Aggregates</a:t>
          </a:r>
        </a:p>
        <a:p>
          <a:r>
            <a:rPr lang="en-NZ" sz="1100">
              <a:solidFill>
                <a:schemeClr val="dk1"/>
              </a:solidFill>
              <a:effectLst/>
              <a:latin typeface="Source Sans Pro" panose="020B0503030403020204" pitchFamily="34" charset="0"/>
              <a:ea typeface="Source Sans Pro" panose="020B0503030403020204" pitchFamily="34" charset="0"/>
              <a:cs typeface="+mn-cs"/>
            </a:rPr>
            <a:t>This emission subgroups looks at the embodied carbon emissions of aggregate materials excluding asphalt.</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Crushed rock is the default material for most granular pavement assets such as basecourse, subbase, metal used on unsealed roads, as well as the aggregate component of spray seals such as chip seal.</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Other options for aggregates include: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-Crushed blast furnace slag used for pavement layers and spray seals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-Crushed concrete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-Crushed Limestone</a:t>
          </a:r>
        </a:p>
        <a:p>
          <a:pPr lvl="0"/>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0">
              <a:solidFill>
                <a:srgbClr val="00456A"/>
              </a:solidFill>
              <a:effectLst/>
              <a:latin typeface="Source Sans Pro" panose="020B0503030403020204" pitchFamily="34" charset="0"/>
              <a:ea typeface="Source Sans Pro" panose="020B0503030403020204" pitchFamily="34" charset="0"/>
              <a:cs typeface="+mn-cs"/>
            </a:rPr>
            <a:t>Pavement Stabilisation</a:t>
          </a:r>
          <a:endParaRPr lang="en-US" sz="1100" b="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Quantity of stabilising agent used to strengthen pavement, split into categories: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-Foam Bitumen</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-Lime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-Cement</a:t>
          </a:r>
        </a:p>
        <a:p>
          <a:pPr lvl="0"/>
          <a:endParaRPr lang="en-NZ"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0">
              <a:solidFill>
                <a:srgbClr val="00456A"/>
              </a:solidFill>
              <a:effectLst/>
              <a:latin typeface="Source Sans Pro" panose="020B0503030403020204" pitchFamily="34" charset="0"/>
              <a:ea typeface="Source Sans Pro" panose="020B0503030403020204" pitchFamily="34" charset="0"/>
              <a:cs typeface="+mn-cs"/>
            </a:rPr>
            <a:t>Asphalt Mix</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Source Sans Pro" panose="020B0503030403020204" pitchFamily="34" charset="0"/>
              <a:ea typeface="Source Sans Pro" panose="020B0503030403020204" pitchFamily="34" charset="0"/>
              <a:cs typeface="+mn-cs"/>
            </a:rPr>
            <a:t>Different asphalt mixes have different levels of bitumen content and temperature levels. Moreover, any use of RAP will reduce emissions. Therefore, it is important to understand the mix type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This subgroup is primarily for maintenance items for:</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-Hot &amp; warm mix used on roads</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-Hot &amp; warm mix used on footpaths &amp; cycleways</a:t>
          </a: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The fields required for each mix are:</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-Volume of asphalt applied on the network (m3)</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-Bitumen content (%) for stated volume of asphalt</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-Proportion of the bitumen (%) in the stated amount that has undergone emulsion</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-Proportion of the stated asphalt amount that consists of reclaimed asphalt pavement (RAP can originate from the network or be purchased) </a:t>
          </a:r>
        </a:p>
        <a:p>
          <a:pPr lvl="0"/>
          <a:endParaRPr lang="en-NZ"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rgbClr val="00456A"/>
              </a:solidFill>
              <a:effectLst/>
              <a:latin typeface="Source Sans Pro" panose="020B0503030403020204" pitchFamily="34" charset="0"/>
              <a:ea typeface="Source Sans Pro" panose="020B0503030403020204" pitchFamily="34" charset="0"/>
              <a:cs typeface="+mn-cs"/>
            </a:rPr>
            <a:t>Asphalt Cold Mix</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Source Sans Pro" panose="020B0503030403020204" pitchFamily="34" charset="0"/>
              <a:ea typeface="Source Sans Pro" panose="020B0503030403020204" pitchFamily="34" charset="0"/>
              <a:cs typeface="+mn-cs"/>
            </a:rPr>
            <a:t>This subgroup is primarily for maintenance items using cold mix asphalt such as asphalt rams on trips and minor patching</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1">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0">
              <a:solidFill>
                <a:srgbClr val="00456A"/>
              </a:solidFill>
              <a:effectLst/>
              <a:latin typeface="Source Sans Pro" panose="020B0503030403020204" pitchFamily="34" charset="0"/>
              <a:ea typeface="Source Sans Pro" panose="020B0503030403020204" pitchFamily="34" charset="0"/>
              <a:cs typeface="+mn-cs"/>
            </a:rPr>
            <a:t>Bitumen</a:t>
          </a:r>
          <a:endParaRPr lang="en-US" sz="1100" b="0">
            <a:solidFill>
              <a:srgbClr val="00456A"/>
            </a:solidFill>
            <a:effectLst/>
            <a:latin typeface="Source Sans Pro" panose="020B0503030403020204" pitchFamily="34" charset="0"/>
            <a:ea typeface="Source Sans Pro" panose="020B0503030403020204" pitchFamily="34" charset="0"/>
            <a:cs typeface="+mn-cs"/>
          </a:endParaRPr>
        </a:p>
        <a:p>
          <a:r>
            <a:rPr lang="en-NZ" sz="1100">
              <a:solidFill>
                <a:schemeClr val="dk1"/>
              </a:solidFill>
              <a:effectLst/>
              <a:latin typeface="Source Sans Pro" panose="020B0503030403020204" pitchFamily="34" charset="0"/>
              <a:ea typeface="Source Sans Pro" panose="020B0503030403020204" pitchFamily="34" charset="0"/>
              <a:cs typeface="+mn-cs"/>
            </a:rPr>
            <a:t>This subgroup accounts for:</a:t>
          </a: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-Bitumen content in spray seals i.e., chip seal. The aggregate component of this should be accounted for in aggregate sub-group under crushed rock or blast furnace slag</a:t>
          </a: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r>
            <a:rPr lang="en-NZ" sz="1100">
              <a:solidFill>
                <a:schemeClr val="dk1"/>
              </a:solidFill>
              <a:effectLst/>
              <a:latin typeface="Source Sans Pro" panose="020B0503030403020204" pitchFamily="34" charset="0"/>
              <a:ea typeface="Source Sans Pro" panose="020B0503030403020204" pitchFamily="34" charset="0"/>
              <a:cs typeface="+mn-cs"/>
            </a:rPr>
            <a:t>-Maintenance work such as bandage seals and others that is not covered under bitumen pavement stabilisation, asphalt mix or cold asphalt mix</a:t>
          </a: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b="1">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endParaRPr lang="en-US" sz="1100" b="1">
            <a:solidFill>
              <a:schemeClr val="dk1"/>
            </a:solidFill>
            <a:effectLst/>
            <a:latin typeface="Source Sans Pro" panose="020B0503030403020204" pitchFamily="34" charset="0"/>
            <a:ea typeface="Source Sans Pro" panose="020B0503030403020204" pitchFamily="34" charset="0"/>
            <a:cs typeface="+mn-cs"/>
          </a:endParaRP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rgbClr val="00456A"/>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Source Sans Pro" panose="020B0503030403020204" pitchFamily="34" charset="0"/>
            <a:ea typeface="Source Sans Pro" panose="020B0503030403020204" pitchFamily="34" charset="0"/>
          </a:endParaRP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Source Sans Pro" panose="020B0503030403020204" pitchFamily="34" charset="0"/>
            <a:ea typeface="Source Sans Pro" panose="020B0503030403020204" pitchFamily="34" charset="0"/>
            <a:cs typeface="+mn-cs"/>
          </a:endParaRPr>
        </a:p>
        <a:p>
          <a:pPr lvl="0"/>
          <a:endParaRPr lang="en-US" sz="110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tx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solidFill>
              <a:sysClr val="windowText" lastClr="000000"/>
            </a:solidFill>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solidFill>
              <a:sysClr val="windowText" lastClr="000000"/>
            </a:solidFill>
            <a:effectLst/>
            <a:latin typeface="Source Sans Pro" panose="020B0503030403020204" pitchFamily="34" charset="0"/>
            <a:ea typeface="Source Sans Pro" panose="020B0503030403020204" pitchFamily="34" charset="0"/>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latin typeface="Source Sans Pro" panose="020B0503030403020204" pitchFamily="34" charset="0"/>
            <a:ea typeface="Source Sans Pro" panose="020B0503030403020204" pitchFamily="34" charset="0"/>
          </a:endParaRPr>
        </a:p>
      </xdr:txBody>
    </xdr:sp>
    <xdr:clientData/>
  </xdr:twoCellAnchor>
  <xdr:twoCellAnchor>
    <xdr:from>
      <xdr:col>0</xdr:col>
      <xdr:colOff>596461</xdr:colOff>
      <xdr:row>17</xdr:row>
      <xdr:rowOff>111670</xdr:rowOff>
    </xdr:from>
    <xdr:to>
      <xdr:col>13</xdr:col>
      <xdr:colOff>233196</xdr:colOff>
      <xdr:row>33</xdr:row>
      <xdr:rowOff>59120</xdr:rowOff>
    </xdr:to>
    <xdr:sp macro="" textlink="">
      <xdr:nvSpPr>
        <xdr:cNvPr id="6" name="TextBox 5">
          <a:extLst>
            <a:ext uri="{FF2B5EF4-FFF2-40B4-BE49-F238E27FC236}">
              <a16:creationId xmlns:a16="http://schemas.microsoft.com/office/drawing/2014/main" id="{8A3A22BE-4151-4C5C-B4A2-7E1D6F80AD5B}"/>
            </a:ext>
          </a:extLst>
        </xdr:cNvPr>
        <xdr:cNvSpPr txBox="1"/>
      </xdr:nvSpPr>
      <xdr:spPr>
        <a:xfrm>
          <a:off x="596461" y="3987360"/>
          <a:ext cx="7578614" cy="29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u="sng">
              <a:solidFill>
                <a:srgbClr val="00456A"/>
              </a:solidFill>
              <a:effectLst/>
              <a:latin typeface="Source Sans Pro" panose="020B0503030403020204" pitchFamily="34" charset="0"/>
              <a:ea typeface="Source Sans Pro" panose="020B0503030403020204" pitchFamily="34" charset="0"/>
              <a:cs typeface="+mn-cs"/>
            </a:rPr>
            <a:t>Section 2: Glossary</a:t>
          </a:r>
        </a:p>
        <a:p>
          <a:r>
            <a:rPr lang="en-NZ" sz="1100">
              <a:solidFill>
                <a:schemeClr val="dk1"/>
              </a:solidFill>
              <a:effectLst/>
              <a:latin typeface="+mn-lt"/>
              <a:ea typeface="+mn-ea"/>
              <a:cs typeface="+mn-cs"/>
            </a:rPr>
            <a:t>Below are definitions of the attributes used for categorisation in the input tab:</a:t>
          </a:r>
          <a:endParaRPr lang="en-US" sz="1100">
            <a:solidFill>
              <a:schemeClr val="dk1"/>
            </a:solidFill>
            <a:effectLst/>
            <a:latin typeface="+mn-lt"/>
            <a:ea typeface="+mn-ea"/>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Emission</a:t>
          </a:r>
          <a:r>
            <a:rPr lang="en-US" sz="1100" baseline="0">
              <a:solidFill>
                <a:schemeClr val="dk1"/>
              </a:solidFill>
              <a:effectLst/>
              <a:latin typeface="+mn-lt"/>
              <a:ea typeface="+mn-ea"/>
              <a:cs typeface="+mn-cs"/>
            </a:rPr>
            <a:t> Source:</a:t>
          </a:r>
        </a:p>
        <a:p>
          <a:r>
            <a:rPr lang="en-NZ" sz="1100">
              <a:solidFill>
                <a:schemeClr val="dk1"/>
              </a:solidFill>
              <a:effectLst/>
              <a:latin typeface="+mn-lt"/>
              <a:ea typeface="+mn-ea"/>
              <a:cs typeface="+mn-cs"/>
            </a:rPr>
            <a:t>Level at which data is collected. Relates to specific energy/materials sources and details that will be used to derive network carbon and sustainability levels. Structured referencing is available for each </a:t>
          </a:r>
          <a:r>
            <a:rPr lang="en-NZ" sz="1100" i="1">
              <a:solidFill>
                <a:schemeClr val="dk1"/>
              </a:solidFill>
              <a:effectLst/>
              <a:latin typeface="+mn-lt"/>
              <a:ea typeface="+mn-ea"/>
              <a:cs typeface="+mn-cs"/>
            </a:rPr>
            <a:t>Emission Source</a:t>
          </a:r>
          <a:r>
            <a:rPr lang="en-NZ" sz="1100">
              <a:solidFill>
                <a:schemeClr val="dk1"/>
              </a:solidFill>
              <a:effectLst/>
              <a:latin typeface="+mn-lt"/>
              <a:ea typeface="+mn-ea"/>
              <a:cs typeface="+mn-cs"/>
            </a:rPr>
            <a:t> in the form of A.B.C where: A is the </a:t>
          </a:r>
          <a:r>
            <a:rPr lang="en-NZ" sz="1100" i="1">
              <a:solidFill>
                <a:schemeClr val="dk1"/>
              </a:solidFill>
              <a:effectLst/>
              <a:latin typeface="+mn-lt"/>
              <a:ea typeface="+mn-ea"/>
              <a:cs typeface="+mn-cs"/>
            </a:rPr>
            <a:t>Emissions Group</a:t>
          </a:r>
          <a:r>
            <a:rPr lang="en-NZ" sz="1100">
              <a:solidFill>
                <a:schemeClr val="dk1"/>
              </a:solidFill>
              <a:effectLst/>
              <a:latin typeface="+mn-lt"/>
              <a:ea typeface="+mn-ea"/>
              <a:cs typeface="+mn-cs"/>
            </a:rPr>
            <a:t>; B is the </a:t>
          </a:r>
          <a:r>
            <a:rPr lang="en-NZ" sz="1100" i="1">
              <a:solidFill>
                <a:schemeClr val="dk1"/>
              </a:solidFill>
              <a:effectLst/>
              <a:latin typeface="+mn-lt"/>
              <a:ea typeface="+mn-ea"/>
              <a:cs typeface="+mn-cs"/>
            </a:rPr>
            <a:t>Emission Sub-Group</a:t>
          </a:r>
          <a:r>
            <a:rPr lang="en-NZ" sz="1100">
              <a:solidFill>
                <a:schemeClr val="dk1"/>
              </a:solidFill>
              <a:effectLst/>
              <a:latin typeface="+mn-lt"/>
              <a:ea typeface="+mn-ea"/>
              <a:cs typeface="+mn-cs"/>
            </a:rPr>
            <a:t> and C is the associated </a:t>
          </a:r>
          <a:r>
            <a:rPr lang="en-NZ" sz="1100" i="1">
              <a:solidFill>
                <a:schemeClr val="dk1"/>
              </a:solidFill>
              <a:effectLst/>
              <a:latin typeface="+mn-lt"/>
              <a:ea typeface="+mn-ea"/>
              <a:cs typeface="+mn-cs"/>
            </a:rPr>
            <a:t>Emission Source</a:t>
          </a:r>
          <a:r>
            <a:rPr lang="en-NZ" sz="1100">
              <a:solidFill>
                <a:schemeClr val="dk1"/>
              </a:solidFill>
              <a:effectLst/>
              <a:latin typeface="+mn-lt"/>
              <a:ea typeface="+mn-ea"/>
              <a:cs typeface="+mn-cs"/>
            </a:rPr>
            <a:t>. An example of an </a:t>
          </a:r>
          <a:r>
            <a:rPr lang="en-NZ" sz="1100" i="1">
              <a:solidFill>
                <a:schemeClr val="dk1"/>
              </a:solidFill>
              <a:effectLst/>
              <a:latin typeface="+mn-lt"/>
              <a:ea typeface="+mn-ea"/>
              <a:cs typeface="+mn-cs"/>
            </a:rPr>
            <a:t>Emission Source</a:t>
          </a:r>
          <a:r>
            <a:rPr lang="en-NZ" sz="1100">
              <a:solidFill>
                <a:schemeClr val="dk1"/>
              </a:solidFill>
              <a:effectLst/>
              <a:latin typeface="+mn-lt"/>
              <a:ea typeface="+mn-ea"/>
              <a:cs typeface="+mn-cs"/>
            </a:rPr>
            <a:t> reference is 1.1.1 which relates to Energy. Liquid Fuel. Diesel.</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r>
            <a:rPr lang="en-NZ" sz="1100">
              <a:solidFill>
                <a:schemeClr val="dk1"/>
              </a:solidFill>
              <a:effectLst/>
              <a:latin typeface="+mn-lt"/>
              <a:ea typeface="+mn-ea"/>
              <a:cs typeface="+mn-cs"/>
            </a:rPr>
            <a:t>Emission Sub-Group : </a:t>
          </a:r>
          <a:endParaRPr lang="en-US" sz="1100">
            <a:solidFill>
              <a:schemeClr val="dk1"/>
            </a:solidFill>
            <a:effectLst/>
            <a:latin typeface="+mn-lt"/>
            <a:ea typeface="+mn-ea"/>
            <a:cs typeface="+mn-cs"/>
          </a:endParaRPr>
        </a:p>
        <a:p>
          <a:r>
            <a:rPr lang="en-NZ" sz="1100">
              <a:solidFill>
                <a:schemeClr val="dk1"/>
              </a:solidFill>
              <a:effectLst/>
              <a:latin typeface="+mn-lt"/>
              <a:ea typeface="+mn-ea"/>
              <a:cs typeface="+mn-cs"/>
            </a:rPr>
            <a:t>Intermediate level of categorisation linking Emission Source with Emission Group. Structured referencing is available for each </a:t>
          </a:r>
          <a:r>
            <a:rPr lang="en-NZ" sz="1100" i="1">
              <a:solidFill>
                <a:schemeClr val="dk1"/>
              </a:solidFill>
              <a:effectLst/>
              <a:latin typeface="+mn-lt"/>
              <a:ea typeface="+mn-ea"/>
              <a:cs typeface="+mn-cs"/>
            </a:rPr>
            <a:t>Emission Sub-Group</a:t>
          </a:r>
          <a:r>
            <a:rPr lang="en-NZ" sz="1100">
              <a:solidFill>
                <a:schemeClr val="dk1"/>
              </a:solidFill>
              <a:effectLst/>
              <a:latin typeface="+mn-lt"/>
              <a:ea typeface="+mn-ea"/>
              <a:cs typeface="+mn-cs"/>
            </a:rPr>
            <a:t> in the form of A.B where: A is the </a:t>
          </a:r>
          <a:r>
            <a:rPr lang="en-NZ" sz="1100" i="1">
              <a:solidFill>
                <a:schemeClr val="dk1"/>
              </a:solidFill>
              <a:effectLst/>
              <a:latin typeface="+mn-lt"/>
              <a:ea typeface="+mn-ea"/>
              <a:cs typeface="+mn-cs"/>
            </a:rPr>
            <a:t>Emissions Group</a:t>
          </a:r>
          <a:r>
            <a:rPr lang="en-NZ" sz="1100">
              <a:solidFill>
                <a:schemeClr val="dk1"/>
              </a:solidFill>
              <a:effectLst/>
              <a:latin typeface="+mn-lt"/>
              <a:ea typeface="+mn-ea"/>
              <a:cs typeface="+mn-cs"/>
            </a:rPr>
            <a:t>; B is the associated </a:t>
          </a:r>
          <a:r>
            <a:rPr lang="en-NZ" sz="1100" i="1">
              <a:solidFill>
                <a:schemeClr val="dk1"/>
              </a:solidFill>
              <a:effectLst/>
              <a:latin typeface="+mn-lt"/>
              <a:ea typeface="+mn-ea"/>
              <a:cs typeface="+mn-cs"/>
            </a:rPr>
            <a:t>Emission Sub-Group</a:t>
          </a:r>
          <a:r>
            <a:rPr lang="en-NZ"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Emission Group:</a:t>
          </a:r>
          <a:endParaRPr lang="en-US" sz="1100">
            <a:solidFill>
              <a:schemeClr val="dk1"/>
            </a:solidFill>
            <a:effectLst/>
            <a:latin typeface="+mn-lt"/>
            <a:ea typeface="+mn-ea"/>
            <a:cs typeface="+mn-cs"/>
          </a:endParaRPr>
        </a:p>
        <a:p>
          <a:r>
            <a:rPr lang="en-NZ" sz="1100">
              <a:solidFill>
                <a:schemeClr val="dk1"/>
              </a:solidFill>
              <a:effectLst/>
              <a:latin typeface="+mn-lt"/>
              <a:ea typeface="+mn-ea"/>
              <a:cs typeface="+mn-cs"/>
            </a:rPr>
            <a:t>Highest level of categorisation for </a:t>
          </a:r>
          <a:r>
            <a:rPr lang="en-NZ" sz="1100" i="1">
              <a:solidFill>
                <a:schemeClr val="dk1"/>
              </a:solidFill>
              <a:effectLst/>
              <a:latin typeface="+mn-lt"/>
              <a:ea typeface="+mn-ea"/>
              <a:cs typeface="+mn-cs"/>
            </a:rPr>
            <a:t>Emission Sub-groups </a:t>
          </a:r>
          <a:r>
            <a:rPr lang="en-NZ" sz="1100">
              <a:solidFill>
                <a:schemeClr val="dk1"/>
              </a:solidFill>
              <a:effectLst/>
              <a:latin typeface="+mn-lt"/>
              <a:ea typeface="+mn-ea"/>
              <a:cs typeface="+mn-cs"/>
            </a:rPr>
            <a:t>and </a:t>
          </a:r>
          <a:r>
            <a:rPr lang="en-NZ" sz="1100" i="1">
              <a:solidFill>
                <a:schemeClr val="dk1"/>
              </a:solidFill>
              <a:effectLst/>
              <a:latin typeface="+mn-lt"/>
              <a:ea typeface="+mn-ea"/>
              <a:cs typeface="+mn-cs"/>
            </a:rPr>
            <a:t>Emission Sources</a:t>
          </a:r>
          <a:r>
            <a:rPr lang="en-NZ" sz="1100">
              <a:solidFill>
                <a:schemeClr val="dk1"/>
              </a:solidFill>
              <a:effectLst/>
              <a:latin typeface="+mn-lt"/>
              <a:ea typeface="+mn-ea"/>
              <a:cs typeface="+mn-cs"/>
            </a:rPr>
            <a:t>. Each </a:t>
          </a:r>
          <a:r>
            <a:rPr lang="en-NZ" sz="1100" i="1">
              <a:solidFill>
                <a:schemeClr val="dk1"/>
              </a:solidFill>
              <a:effectLst/>
              <a:latin typeface="+mn-lt"/>
              <a:ea typeface="+mn-ea"/>
              <a:cs typeface="+mn-cs"/>
            </a:rPr>
            <a:t>Emission Group </a:t>
          </a:r>
          <a:r>
            <a:rPr lang="en-NZ" sz="1100">
              <a:solidFill>
                <a:schemeClr val="dk1"/>
              </a:solidFill>
              <a:effectLst/>
              <a:latin typeface="+mn-lt"/>
              <a:ea typeface="+mn-ea"/>
              <a:cs typeface="+mn-cs"/>
            </a:rPr>
            <a:t>is numbered from 1-8.</a:t>
          </a:r>
          <a:endParaRPr lang="en-US" sz="1100">
            <a:solidFill>
              <a:schemeClr val="dk1"/>
            </a:solidFill>
            <a:effectLst/>
            <a:latin typeface="+mn-lt"/>
            <a:ea typeface="+mn-ea"/>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US" sz="1100" baseline="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NZ"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solidFill>
              <a:schemeClr val="dk1"/>
            </a:solidFill>
            <a:effectLst/>
            <a:latin typeface="Source Sans Pro" panose="020B0503030403020204" pitchFamily="34" charset="0"/>
            <a:ea typeface="Source Sans Pro" panose="020B0503030403020204" pitchFamily="34" charset="0"/>
            <a:cs typeface="+mn-cs"/>
          </a:endParaRPr>
        </a:p>
        <a:p>
          <a:endParaRPr lang="en-US" sz="1100">
            <a:latin typeface="Source Sans Pro" panose="020B0503030403020204" pitchFamily="34" charset="0"/>
            <a:ea typeface="Source Sans Pro" panose="020B0503030403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600075</xdr:colOff>
      <xdr:row>0</xdr:row>
      <xdr:rowOff>252412</xdr:rowOff>
    </xdr:from>
    <xdr:to>
      <xdr:col>23</xdr:col>
      <xdr:colOff>352425</xdr:colOff>
      <xdr:row>20</xdr:row>
      <xdr:rowOff>114300</xdr:rowOff>
    </xdr:to>
    <xdr:graphicFrame macro="">
      <xdr:nvGraphicFramePr>
        <xdr:cNvPr id="2" name="Chart 1">
          <a:extLst>
            <a:ext uri="{FF2B5EF4-FFF2-40B4-BE49-F238E27FC236}">
              <a16:creationId xmlns:a16="http://schemas.microsoft.com/office/drawing/2014/main" id="{ECD56732-1823-48DF-A278-9E2CACDC2F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29</xdr:row>
      <xdr:rowOff>0</xdr:rowOff>
    </xdr:from>
    <xdr:to>
      <xdr:col>25</xdr:col>
      <xdr:colOff>304800</xdr:colOff>
      <xdr:row>43</xdr:row>
      <xdr:rowOff>76200</xdr:rowOff>
    </xdr:to>
    <xdr:graphicFrame macro="">
      <xdr:nvGraphicFramePr>
        <xdr:cNvPr id="10" name="Chart 9">
          <a:extLst>
            <a:ext uri="{FF2B5EF4-FFF2-40B4-BE49-F238E27FC236}">
              <a16:creationId xmlns:a16="http://schemas.microsoft.com/office/drawing/2014/main" id="{0845E583-98EC-48E0-8465-228B86D79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11</xdr:row>
      <xdr:rowOff>0</xdr:rowOff>
    </xdr:from>
    <xdr:to>
      <xdr:col>13</xdr:col>
      <xdr:colOff>419100</xdr:colOff>
      <xdr:row>29</xdr:row>
      <xdr:rowOff>47625</xdr:rowOff>
    </xdr:to>
    <xdr:graphicFrame macro="">
      <xdr:nvGraphicFramePr>
        <xdr:cNvPr id="11" name="Chart 10">
          <a:extLst>
            <a:ext uri="{FF2B5EF4-FFF2-40B4-BE49-F238E27FC236}">
              <a16:creationId xmlns:a16="http://schemas.microsoft.com/office/drawing/2014/main" id="{94F605E2-05F0-4EC5-B615-E48F024A7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30</xdr:row>
      <xdr:rowOff>104775</xdr:rowOff>
    </xdr:from>
    <xdr:to>
      <xdr:col>15</xdr:col>
      <xdr:colOff>257176</xdr:colOff>
      <xdr:row>54</xdr:row>
      <xdr:rowOff>152400</xdr:rowOff>
    </xdr:to>
    <xdr:graphicFrame macro="">
      <xdr:nvGraphicFramePr>
        <xdr:cNvPr id="12" name="Chart 11">
          <a:extLst>
            <a:ext uri="{FF2B5EF4-FFF2-40B4-BE49-F238E27FC236}">
              <a16:creationId xmlns:a16="http://schemas.microsoft.com/office/drawing/2014/main" id="{7697024C-19BB-4461-85B4-9C24E5627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42862</xdr:rowOff>
    </xdr:from>
    <xdr:to>
      <xdr:col>6</xdr:col>
      <xdr:colOff>133350</xdr:colOff>
      <xdr:row>45</xdr:row>
      <xdr:rowOff>76200</xdr:rowOff>
    </xdr:to>
    <xdr:graphicFrame macro="">
      <xdr:nvGraphicFramePr>
        <xdr:cNvPr id="2" name="Chart 1">
          <a:extLst>
            <a:ext uri="{FF2B5EF4-FFF2-40B4-BE49-F238E27FC236}">
              <a16:creationId xmlns:a16="http://schemas.microsoft.com/office/drawing/2014/main" id="{0ABF52D3-BC2F-C685-A8BA-4BD8861980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209549</xdr:colOff>
      <xdr:row>21</xdr:row>
      <xdr:rowOff>38100</xdr:rowOff>
    </xdr:from>
    <xdr:to>
      <xdr:col>17</xdr:col>
      <xdr:colOff>438150</xdr:colOff>
      <xdr:row>45</xdr:row>
      <xdr:rowOff>85725</xdr:rowOff>
    </xdr:to>
    <xdr:graphicFrame macro="">
      <xdr:nvGraphicFramePr>
        <xdr:cNvPr id="5" name="Chart 4">
          <a:extLst>
            <a:ext uri="{FF2B5EF4-FFF2-40B4-BE49-F238E27FC236}">
              <a16:creationId xmlns:a16="http://schemas.microsoft.com/office/drawing/2014/main" id="{349280EB-A5EA-9E1A-AA70-FE046DE11D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2400300</xdr:colOff>
      <xdr:row>49</xdr:row>
      <xdr:rowOff>166687</xdr:rowOff>
    </xdr:from>
    <xdr:to>
      <xdr:col>8</xdr:col>
      <xdr:colOff>0</xdr:colOff>
      <xdr:row>64</xdr:row>
      <xdr:rowOff>52387</xdr:rowOff>
    </xdr:to>
    <xdr:graphicFrame macro="">
      <xdr:nvGraphicFramePr>
        <xdr:cNvPr id="7" name="Chart 6">
          <a:extLst>
            <a:ext uri="{FF2B5EF4-FFF2-40B4-BE49-F238E27FC236}">
              <a16:creationId xmlns:a16="http://schemas.microsoft.com/office/drawing/2014/main" id="{939507C8-200B-CAA6-A771-AF9437C910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5A945F-60AA-4511-9A74-46C2AF2A0FFB}" name="EmissionTable" displayName="EmissionTable" ref="A2:K45" totalsRowShown="0" headerRowDxfId="120" dataDxfId="118" headerRowBorderDxfId="119" tableBorderDxfId="117">
  <autoFilter ref="A2:K45" xr:uid="{585A945F-60AA-4511-9A74-46C2AF2A0FFB}"/>
  <tableColumns count="11">
    <tableColumn id="1" xr3:uid="{833412F7-8FF5-4FF8-9CCF-B26C218EF525}" name="Name" dataDxfId="116" dataCellStyle="Normal 2"/>
    <tableColumn id="2" xr3:uid="{1C9AB733-7C44-4C23-8A13-EDE398D269B8}" name="Category" dataDxfId="115" dataCellStyle="Normal 2"/>
    <tableColumn id="3" xr3:uid="{F71EC00D-59FE-4B3F-A11C-1B50630D8775}" name="Lookup codes" dataDxfId="114" dataCellStyle="Normal 2"/>
    <tableColumn id="4" xr3:uid="{B77422CC-5DAF-4E43-9E76-9FB444E9A0ED}" name="Description" dataDxfId="113" dataCellStyle="Normal 2"/>
    <tableColumn id="5" xr3:uid="{C3391354-019A-4A20-B1EB-01F930171ED4}" name="Emissions Factor" dataDxfId="112" dataCellStyle="Normal 2"/>
    <tableColumn id="6" xr3:uid="{2BAABF79-AADE-48F4-B955-4EB853745894}" name="Units" dataDxfId="111"/>
    <tableColumn id="7" xr3:uid="{EBF7ACC1-894C-4D56-8F04-504414FEDB26}" name="Source" dataDxfId="110" dataCellStyle="Normal 2"/>
    <tableColumn id="8" xr3:uid="{9FE220CF-2435-4B45-B675-2458BA851739}" name="Notes" dataDxfId="109" dataCellStyle="Normal 2"/>
    <tableColumn id="11" xr3:uid="{C333515A-5F61-4C9F-A755-04D9C1E9798F}" name="Column1" dataDxfId="108" dataCellStyle="Normal 2"/>
    <tableColumn id="10" xr3:uid="{38A8E4DB-5A6A-40E7-AE83-20A0D0BB799C}" name="Material" dataDxfId="107" dataCellStyle="Normal 2"/>
    <tableColumn id="9" xr3:uid="{9A4DC538-7A82-4818-BB5A-E44DCFAD7291}" name="Density used in calculator (t/m3)" dataDxfId="106" dataCellStyle="Normal 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hyperlink" Target="https://www.boral.com.au/sites/default/files/media/field_document/National-Asphalt-EPD-0907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0D8C9-A0D9-486D-8343-EEB199A291EB}">
  <sheetPr codeName="Sheet1">
    <tabColor rgb="FFC9DB41"/>
  </sheetPr>
  <dimension ref="B2:J24"/>
  <sheetViews>
    <sheetView topLeftCell="A108" workbookViewId="0">
      <selection activeCell="AB117" sqref="AB117"/>
    </sheetView>
  </sheetViews>
  <sheetFormatPr defaultRowHeight="15" x14ac:dyDescent="0.25"/>
  <sheetData>
    <row r="2" spans="2:2" ht="61.5" x14ac:dyDescent="0.9">
      <c r="B2" s="9" t="s">
        <v>0</v>
      </c>
    </row>
    <row r="3" spans="2:2" ht="18.75" x14ac:dyDescent="0.3">
      <c r="B3" s="10" t="s">
        <v>1</v>
      </c>
    </row>
    <row r="24" spans="10:10" x14ac:dyDescent="0.25">
      <c r="J24" s="14"/>
    </row>
  </sheetData>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AA43-C7F4-4A5A-8933-B61FB1782401}">
  <sheetPr codeName="Sheet5"/>
  <dimension ref="A1:Y36"/>
  <sheetViews>
    <sheetView workbookViewId="0">
      <selection activeCell="P15" sqref="P15"/>
    </sheetView>
  </sheetViews>
  <sheetFormatPr defaultRowHeight="15" x14ac:dyDescent="0.25"/>
  <cols>
    <col min="1" max="1" width="14.140625" bestFit="1" customWidth="1"/>
    <col min="2" max="2" width="17.28515625" bestFit="1" customWidth="1"/>
    <col min="5" max="5" width="12.7109375" bestFit="1" customWidth="1"/>
    <col min="6" max="6" width="10.7109375" bestFit="1" customWidth="1"/>
  </cols>
  <sheetData>
    <row r="1" spans="1:25" x14ac:dyDescent="0.25">
      <c r="A1" t="s">
        <v>171</v>
      </c>
    </row>
    <row r="2" spans="1:25" x14ac:dyDescent="0.25">
      <c r="A2" t="s">
        <v>781</v>
      </c>
      <c r="B2" t="s">
        <v>782</v>
      </c>
      <c r="C2" t="s">
        <v>783</v>
      </c>
      <c r="D2" t="s">
        <v>784</v>
      </c>
      <c r="E2" t="s">
        <v>785</v>
      </c>
      <c r="F2" t="s">
        <v>786</v>
      </c>
      <c r="G2" t="s">
        <v>224</v>
      </c>
      <c r="H2" t="s">
        <v>787</v>
      </c>
      <c r="I2" t="s">
        <v>788</v>
      </c>
      <c r="J2" t="s">
        <v>950</v>
      </c>
      <c r="K2" t="s">
        <v>952</v>
      </c>
      <c r="N2">
        <v>1</v>
      </c>
      <c r="O2">
        <v>2</v>
      </c>
      <c r="P2">
        <v>3</v>
      </c>
      <c r="Q2">
        <v>4</v>
      </c>
      <c r="R2">
        <v>5</v>
      </c>
      <c r="S2">
        <v>6</v>
      </c>
      <c r="T2">
        <v>7</v>
      </c>
      <c r="U2">
        <v>8</v>
      </c>
      <c r="V2">
        <v>9</v>
      </c>
      <c r="W2">
        <v>10</v>
      </c>
      <c r="X2">
        <v>11</v>
      </c>
      <c r="Y2">
        <v>12</v>
      </c>
    </row>
    <row r="3" spans="1:25" x14ac:dyDescent="0.25">
      <c r="A3" t="s">
        <v>7</v>
      </c>
      <c r="B3" t="s">
        <v>789</v>
      </c>
      <c r="C3" t="s">
        <v>790</v>
      </c>
      <c r="D3" t="s">
        <v>791</v>
      </c>
      <c r="E3" t="s">
        <v>271</v>
      </c>
      <c r="F3" s="16">
        <v>43831</v>
      </c>
      <c r="G3" t="s">
        <v>237</v>
      </c>
      <c r="H3" s="24" t="s">
        <v>231</v>
      </c>
      <c r="I3" t="str">
        <f>"Emissions Profile: "&amp;'Project Details'!B6&amp;" "&amp;'Project Details'!B5</f>
        <v>Emissions Profile: Tier 3 Maintenance</v>
      </c>
      <c r="J3" t="s">
        <v>951</v>
      </c>
      <c r="K3" t="s">
        <v>953</v>
      </c>
      <c r="N3" s="70" t="s">
        <v>271</v>
      </c>
      <c r="O3" t="s">
        <v>272</v>
      </c>
      <c r="P3" t="s">
        <v>273</v>
      </c>
      <c r="Q3" t="s">
        <v>274</v>
      </c>
      <c r="R3" t="s">
        <v>275</v>
      </c>
      <c r="S3" t="s">
        <v>276</v>
      </c>
      <c r="T3" t="s">
        <v>10</v>
      </c>
      <c r="U3" t="s">
        <v>267</v>
      </c>
      <c r="V3" t="s">
        <v>268</v>
      </c>
      <c r="W3" t="s">
        <v>269</v>
      </c>
      <c r="X3" t="s">
        <v>13</v>
      </c>
      <c r="Y3" t="s">
        <v>270</v>
      </c>
    </row>
    <row r="4" spans="1:25" x14ac:dyDescent="0.25">
      <c r="A4" t="s">
        <v>792</v>
      </c>
      <c r="B4" t="s">
        <v>793</v>
      </c>
      <c r="C4" t="s">
        <v>794</v>
      </c>
      <c r="D4" t="s">
        <v>795</v>
      </c>
      <c r="E4" t="s">
        <v>272</v>
      </c>
      <c r="F4" s="16">
        <v>43862</v>
      </c>
      <c r="G4" t="s">
        <v>226</v>
      </c>
      <c r="H4" s="24" t="s">
        <v>232</v>
      </c>
      <c r="I4" t="str">
        <f>"Emissions Profile: "&amp;'Project Details'!$B$5</f>
        <v>Emissions Profile: Maintenance</v>
      </c>
      <c r="J4" t="s">
        <v>960</v>
      </c>
      <c r="K4" t="s">
        <v>954</v>
      </c>
      <c r="N4" s="70" t="s">
        <v>272</v>
      </c>
      <c r="O4" t="s">
        <v>273</v>
      </c>
      <c r="P4" t="s">
        <v>274</v>
      </c>
      <c r="Q4" t="s">
        <v>275</v>
      </c>
      <c r="R4" t="s">
        <v>276</v>
      </c>
      <c r="S4" t="s">
        <v>10</v>
      </c>
      <c r="T4" t="s">
        <v>267</v>
      </c>
      <c r="U4" t="s">
        <v>268</v>
      </c>
      <c r="V4" t="s">
        <v>269</v>
      </c>
      <c r="W4" t="s">
        <v>13</v>
      </c>
      <c r="X4" t="s">
        <v>270</v>
      </c>
      <c r="Y4" t="s">
        <v>271</v>
      </c>
    </row>
    <row r="5" spans="1:25" x14ac:dyDescent="0.25">
      <c r="A5" t="s">
        <v>796</v>
      </c>
      <c r="B5" t="s">
        <v>797</v>
      </c>
      <c r="C5" t="s">
        <v>717</v>
      </c>
      <c r="D5" t="s">
        <v>798</v>
      </c>
      <c r="E5" t="s">
        <v>273</v>
      </c>
      <c r="F5" s="16">
        <v>43891</v>
      </c>
      <c r="H5" s="24" t="s">
        <v>799</v>
      </c>
      <c r="N5" s="70" t="s">
        <v>273</v>
      </c>
      <c r="O5" t="s">
        <v>274</v>
      </c>
      <c r="P5" t="s">
        <v>275</v>
      </c>
      <c r="Q5" t="s">
        <v>276</v>
      </c>
      <c r="R5" t="s">
        <v>10</v>
      </c>
      <c r="S5" t="s">
        <v>267</v>
      </c>
      <c r="T5" t="s">
        <v>268</v>
      </c>
      <c r="U5" t="s">
        <v>269</v>
      </c>
      <c r="V5" t="s">
        <v>13</v>
      </c>
      <c r="W5" t="s">
        <v>270</v>
      </c>
      <c r="X5" t="s">
        <v>271</v>
      </c>
      <c r="Y5" t="s">
        <v>272</v>
      </c>
    </row>
    <row r="6" spans="1:25" x14ac:dyDescent="0.25">
      <c r="A6" t="s">
        <v>800</v>
      </c>
      <c r="B6" t="s">
        <v>801</v>
      </c>
      <c r="D6" t="s">
        <v>802</v>
      </c>
      <c r="E6" t="s">
        <v>274</v>
      </c>
      <c r="F6" s="16">
        <v>43922</v>
      </c>
      <c r="H6" s="24" t="s">
        <v>803</v>
      </c>
      <c r="N6" s="70" t="s">
        <v>274</v>
      </c>
      <c r="O6" t="s">
        <v>275</v>
      </c>
      <c r="P6" t="s">
        <v>276</v>
      </c>
      <c r="Q6" t="s">
        <v>10</v>
      </c>
      <c r="R6" t="s">
        <v>267</v>
      </c>
      <c r="S6" t="s">
        <v>268</v>
      </c>
      <c r="T6" t="s">
        <v>269</v>
      </c>
      <c r="U6" t="s">
        <v>13</v>
      </c>
      <c r="V6" t="s">
        <v>270</v>
      </c>
      <c r="W6" t="s">
        <v>271</v>
      </c>
      <c r="X6" t="s">
        <v>272</v>
      </c>
      <c r="Y6" t="s">
        <v>273</v>
      </c>
    </row>
    <row r="7" spans="1:25" x14ac:dyDescent="0.25">
      <c r="A7" t="s">
        <v>804</v>
      </c>
      <c r="E7" t="s">
        <v>275</v>
      </c>
      <c r="F7" s="16">
        <v>43952</v>
      </c>
      <c r="H7" s="25" t="s">
        <v>805</v>
      </c>
      <c r="N7" s="70" t="s">
        <v>275</v>
      </c>
      <c r="O7" t="s">
        <v>276</v>
      </c>
      <c r="P7" t="s">
        <v>10</v>
      </c>
      <c r="Q7" t="s">
        <v>267</v>
      </c>
      <c r="R7" t="s">
        <v>268</v>
      </c>
      <c r="S7" t="s">
        <v>269</v>
      </c>
      <c r="T7" t="s">
        <v>13</v>
      </c>
      <c r="U7" t="s">
        <v>270</v>
      </c>
      <c r="V7" t="s">
        <v>271</v>
      </c>
      <c r="W7" t="s">
        <v>272</v>
      </c>
      <c r="X7" t="s">
        <v>273</v>
      </c>
      <c r="Y7" t="s">
        <v>274</v>
      </c>
    </row>
    <row r="8" spans="1:25" x14ac:dyDescent="0.25">
      <c r="A8" t="s">
        <v>806</v>
      </c>
      <c r="E8" t="s">
        <v>276</v>
      </c>
      <c r="F8" s="16">
        <v>43983</v>
      </c>
      <c r="N8" s="70" t="s">
        <v>276</v>
      </c>
      <c r="O8" t="s">
        <v>10</v>
      </c>
      <c r="P8" t="s">
        <v>267</v>
      </c>
      <c r="Q8" t="s">
        <v>268</v>
      </c>
      <c r="R8" t="s">
        <v>269</v>
      </c>
      <c r="S8" t="s">
        <v>13</v>
      </c>
      <c r="T8" t="s">
        <v>270</v>
      </c>
      <c r="U8" t="s">
        <v>271</v>
      </c>
      <c r="V8" t="s">
        <v>272</v>
      </c>
      <c r="W8" t="s">
        <v>273</v>
      </c>
      <c r="X8" t="s">
        <v>274</v>
      </c>
      <c r="Y8" t="s">
        <v>275</v>
      </c>
    </row>
    <row r="9" spans="1:25" x14ac:dyDescent="0.25">
      <c r="A9" t="s">
        <v>807</v>
      </c>
      <c r="E9" t="s">
        <v>10</v>
      </c>
      <c r="F9" s="16">
        <v>44013</v>
      </c>
      <c r="N9" s="70" t="s">
        <v>10</v>
      </c>
      <c r="O9" t="s">
        <v>267</v>
      </c>
      <c r="P9" t="s">
        <v>268</v>
      </c>
      <c r="Q9" t="s">
        <v>269</v>
      </c>
      <c r="R9" t="s">
        <v>13</v>
      </c>
      <c r="S9" t="s">
        <v>270</v>
      </c>
      <c r="T9" t="s">
        <v>271</v>
      </c>
      <c r="U9" t="s">
        <v>272</v>
      </c>
      <c r="V9" t="s">
        <v>273</v>
      </c>
      <c r="W9" t="s">
        <v>274</v>
      </c>
      <c r="X9" t="s">
        <v>275</v>
      </c>
      <c r="Y9" t="s">
        <v>276</v>
      </c>
    </row>
    <row r="10" spans="1:25" x14ac:dyDescent="0.25">
      <c r="A10" t="s">
        <v>808</v>
      </c>
      <c r="E10" t="s">
        <v>267</v>
      </c>
      <c r="F10" s="16">
        <v>44044</v>
      </c>
      <c r="N10" s="70" t="s">
        <v>267</v>
      </c>
      <c r="O10" t="s">
        <v>268</v>
      </c>
      <c r="P10" t="s">
        <v>269</v>
      </c>
      <c r="Q10" t="s">
        <v>13</v>
      </c>
      <c r="R10" t="s">
        <v>270</v>
      </c>
      <c r="S10" t="s">
        <v>271</v>
      </c>
      <c r="T10" t="s">
        <v>272</v>
      </c>
      <c r="U10" t="s">
        <v>273</v>
      </c>
      <c r="V10" t="s">
        <v>274</v>
      </c>
      <c r="W10" t="s">
        <v>275</v>
      </c>
      <c r="X10" t="s">
        <v>276</v>
      </c>
      <c r="Y10" t="s">
        <v>10</v>
      </c>
    </row>
    <row r="11" spans="1:25" x14ac:dyDescent="0.25">
      <c r="A11" t="s">
        <v>809</v>
      </c>
      <c r="E11" t="s">
        <v>268</v>
      </c>
      <c r="F11" s="16">
        <v>44075</v>
      </c>
      <c r="N11" s="70" t="s">
        <v>268</v>
      </c>
      <c r="O11" t="s">
        <v>269</v>
      </c>
      <c r="P11" t="s">
        <v>13</v>
      </c>
      <c r="Q11" t="s">
        <v>270</v>
      </c>
      <c r="R11" t="s">
        <v>271</v>
      </c>
      <c r="S11" t="s">
        <v>272</v>
      </c>
      <c r="T11" t="s">
        <v>273</v>
      </c>
      <c r="U11" t="s">
        <v>274</v>
      </c>
      <c r="V11" t="s">
        <v>275</v>
      </c>
      <c r="W11" t="s">
        <v>276</v>
      </c>
      <c r="X11" t="s">
        <v>10</v>
      </c>
      <c r="Y11" t="s">
        <v>267</v>
      </c>
    </row>
    <row r="12" spans="1:25" x14ac:dyDescent="0.25">
      <c r="A12" t="s">
        <v>810</v>
      </c>
      <c r="E12" t="s">
        <v>269</v>
      </c>
      <c r="F12" s="16">
        <v>44105</v>
      </c>
      <c r="N12" s="70" t="s">
        <v>269</v>
      </c>
      <c r="O12" t="s">
        <v>13</v>
      </c>
      <c r="P12" t="s">
        <v>270</v>
      </c>
      <c r="Q12" t="s">
        <v>271</v>
      </c>
      <c r="R12" t="s">
        <v>272</v>
      </c>
      <c r="S12" t="s">
        <v>273</v>
      </c>
      <c r="T12" t="s">
        <v>274</v>
      </c>
      <c r="U12" t="s">
        <v>275</v>
      </c>
      <c r="V12" t="s">
        <v>276</v>
      </c>
      <c r="W12" t="s">
        <v>10</v>
      </c>
      <c r="X12" t="s">
        <v>267</v>
      </c>
      <c r="Y12" t="s">
        <v>268</v>
      </c>
    </row>
    <row r="13" spans="1:25" x14ac:dyDescent="0.25">
      <c r="A13" t="s">
        <v>811</v>
      </c>
      <c r="E13" t="s">
        <v>13</v>
      </c>
      <c r="F13" s="16">
        <v>44136</v>
      </c>
      <c r="N13" s="70" t="s">
        <v>13</v>
      </c>
      <c r="O13" t="s">
        <v>270</v>
      </c>
      <c r="P13" t="s">
        <v>271</v>
      </c>
      <c r="Q13" t="s">
        <v>272</v>
      </c>
      <c r="R13" t="s">
        <v>273</v>
      </c>
      <c r="S13" t="s">
        <v>274</v>
      </c>
      <c r="T13" t="s">
        <v>275</v>
      </c>
      <c r="U13" t="s">
        <v>276</v>
      </c>
      <c r="V13" t="s">
        <v>10</v>
      </c>
      <c r="W13" t="s">
        <v>267</v>
      </c>
      <c r="X13" t="s">
        <v>268</v>
      </c>
      <c r="Y13" t="s">
        <v>269</v>
      </c>
    </row>
    <row r="14" spans="1:25" x14ac:dyDescent="0.25">
      <c r="A14" t="s">
        <v>812</v>
      </c>
      <c r="E14" t="s">
        <v>270</v>
      </c>
      <c r="F14" s="16">
        <v>44166</v>
      </c>
      <c r="N14" s="70" t="s">
        <v>270</v>
      </c>
      <c r="O14" t="s">
        <v>271</v>
      </c>
      <c r="P14" t="s">
        <v>272</v>
      </c>
      <c r="Q14" t="s">
        <v>273</v>
      </c>
      <c r="R14" t="s">
        <v>274</v>
      </c>
      <c r="S14" t="s">
        <v>275</v>
      </c>
      <c r="T14" t="s">
        <v>276</v>
      </c>
      <c r="U14" t="s">
        <v>10</v>
      </c>
      <c r="V14" t="s">
        <v>267</v>
      </c>
      <c r="W14" t="s">
        <v>268</v>
      </c>
      <c r="X14" t="s">
        <v>269</v>
      </c>
      <c r="Y14" t="s">
        <v>13</v>
      </c>
    </row>
    <row r="15" spans="1:25" x14ac:dyDescent="0.25">
      <c r="A15" t="s">
        <v>813</v>
      </c>
      <c r="E15" t="s">
        <v>814</v>
      </c>
    </row>
    <row r="16" spans="1:25" x14ac:dyDescent="0.25">
      <c r="A16" t="s">
        <v>815</v>
      </c>
    </row>
    <row r="17" spans="1:14" x14ac:dyDescent="0.25">
      <c r="A17" t="s">
        <v>816</v>
      </c>
    </row>
    <row r="18" spans="1:14" x14ac:dyDescent="0.25">
      <c r="A18" t="s">
        <v>817</v>
      </c>
    </row>
    <row r="19" spans="1:14" x14ac:dyDescent="0.25">
      <c r="A19" t="s">
        <v>818</v>
      </c>
    </row>
    <row r="20" spans="1:14" x14ac:dyDescent="0.25">
      <c r="A20" t="s">
        <v>819</v>
      </c>
      <c r="N20" t="str">
        <f>VLOOKUP('Project Details'!B9, Lookup!N3:N14, 1, FALSE)</f>
        <v>May</v>
      </c>
    </row>
    <row r="21" spans="1:14" x14ac:dyDescent="0.25">
      <c r="A21" t="s">
        <v>820</v>
      </c>
    </row>
    <row r="22" spans="1:14" x14ac:dyDescent="0.25">
      <c r="A22" t="s">
        <v>821</v>
      </c>
    </row>
    <row r="23" spans="1:14" x14ac:dyDescent="0.25">
      <c r="A23" t="s">
        <v>822</v>
      </c>
    </row>
    <row r="24" spans="1:14" x14ac:dyDescent="0.25">
      <c r="A24" t="s">
        <v>823</v>
      </c>
    </row>
    <row r="25" spans="1:14" x14ac:dyDescent="0.25">
      <c r="A25" t="s">
        <v>824</v>
      </c>
    </row>
    <row r="26" spans="1:14" x14ac:dyDescent="0.25">
      <c r="A26" t="s">
        <v>825</v>
      </c>
    </row>
    <row r="27" spans="1:14" x14ac:dyDescent="0.25">
      <c r="A27" t="s">
        <v>826</v>
      </c>
    </row>
    <row r="28" spans="1:14" x14ac:dyDescent="0.25">
      <c r="A28" t="s">
        <v>827</v>
      </c>
    </row>
    <row r="29" spans="1:14" x14ac:dyDescent="0.25">
      <c r="A29" t="s">
        <v>828</v>
      </c>
    </row>
    <row r="30" spans="1:14" x14ac:dyDescent="0.25">
      <c r="A30" t="s">
        <v>829</v>
      </c>
    </row>
    <row r="31" spans="1:14" x14ac:dyDescent="0.25">
      <c r="A31" t="s">
        <v>830</v>
      </c>
    </row>
    <row r="32" spans="1:14" x14ac:dyDescent="0.25">
      <c r="A32" t="s">
        <v>831</v>
      </c>
    </row>
    <row r="33" spans="1:1" x14ac:dyDescent="0.25">
      <c r="A33" t="s">
        <v>832</v>
      </c>
    </row>
    <row r="34" spans="1:1" x14ac:dyDescent="0.25">
      <c r="A34" t="s">
        <v>833</v>
      </c>
    </row>
    <row r="35" spans="1:1" x14ac:dyDescent="0.25">
      <c r="A35" t="s">
        <v>834</v>
      </c>
    </row>
    <row r="36" spans="1:1" x14ac:dyDescent="0.25">
      <c r="A36" t="s">
        <v>835</v>
      </c>
    </row>
  </sheetData>
  <phoneticPr fontId="1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6118-5EF0-4B65-9A1F-EDC81D202D2B}">
  <dimension ref="A1:L13"/>
  <sheetViews>
    <sheetView workbookViewId="0">
      <selection activeCell="P15" sqref="P15"/>
    </sheetView>
  </sheetViews>
  <sheetFormatPr defaultRowHeight="15" x14ac:dyDescent="0.25"/>
  <sheetData>
    <row r="1" spans="1:12" x14ac:dyDescent="0.25">
      <c r="A1">
        <v>1</v>
      </c>
      <c r="B1">
        <v>2</v>
      </c>
      <c r="C1">
        <v>3</v>
      </c>
      <c r="D1">
        <v>4</v>
      </c>
      <c r="E1">
        <v>5</v>
      </c>
      <c r="F1">
        <v>6</v>
      </c>
      <c r="G1">
        <v>7</v>
      </c>
      <c r="H1">
        <v>8</v>
      </c>
      <c r="I1">
        <v>9</v>
      </c>
      <c r="J1">
        <v>10</v>
      </c>
      <c r="K1">
        <v>11</v>
      </c>
      <c r="L1">
        <v>12</v>
      </c>
    </row>
    <row r="2" spans="1:12" x14ac:dyDescent="0.25">
      <c r="A2" s="70" t="s">
        <v>271</v>
      </c>
      <c r="B2" t="s">
        <v>272</v>
      </c>
      <c r="C2" t="s">
        <v>273</v>
      </c>
      <c r="D2" t="s">
        <v>274</v>
      </c>
      <c r="E2" t="s">
        <v>275</v>
      </c>
      <c r="F2" t="s">
        <v>276</v>
      </c>
      <c r="G2" t="s">
        <v>10</v>
      </c>
      <c r="H2" t="s">
        <v>267</v>
      </c>
      <c r="I2" t="s">
        <v>268</v>
      </c>
      <c r="J2" t="s">
        <v>269</v>
      </c>
      <c r="K2" t="s">
        <v>13</v>
      </c>
      <c r="L2" t="s">
        <v>270</v>
      </c>
    </row>
    <row r="3" spans="1:12" x14ac:dyDescent="0.25">
      <c r="A3" s="70" t="s">
        <v>272</v>
      </c>
      <c r="B3" t="s">
        <v>273</v>
      </c>
      <c r="C3" t="s">
        <v>274</v>
      </c>
      <c r="D3" t="s">
        <v>275</v>
      </c>
      <c r="E3" t="s">
        <v>276</v>
      </c>
      <c r="F3" t="s">
        <v>10</v>
      </c>
      <c r="G3" t="s">
        <v>267</v>
      </c>
      <c r="H3" t="s">
        <v>268</v>
      </c>
      <c r="I3" t="s">
        <v>269</v>
      </c>
      <c r="J3" t="s">
        <v>13</v>
      </c>
      <c r="K3" t="s">
        <v>270</v>
      </c>
      <c r="L3" t="s">
        <v>271</v>
      </c>
    </row>
    <row r="4" spans="1:12" x14ac:dyDescent="0.25">
      <c r="A4" s="70" t="s">
        <v>273</v>
      </c>
      <c r="B4" t="s">
        <v>274</v>
      </c>
      <c r="C4" t="s">
        <v>275</v>
      </c>
      <c r="D4" t="s">
        <v>276</v>
      </c>
      <c r="E4" t="s">
        <v>10</v>
      </c>
      <c r="F4" t="s">
        <v>267</v>
      </c>
      <c r="G4" t="s">
        <v>268</v>
      </c>
      <c r="H4" t="s">
        <v>269</v>
      </c>
      <c r="I4" t="s">
        <v>13</v>
      </c>
      <c r="J4" t="s">
        <v>270</v>
      </c>
      <c r="K4" t="s">
        <v>271</v>
      </c>
      <c r="L4" t="s">
        <v>272</v>
      </c>
    </row>
    <row r="5" spans="1:12" x14ac:dyDescent="0.25">
      <c r="A5" s="70" t="s">
        <v>274</v>
      </c>
      <c r="B5" t="s">
        <v>275</v>
      </c>
      <c r="C5" t="s">
        <v>276</v>
      </c>
      <c r="D5" t="s">
        <v>10</v>
      </c>
      <c r="E5" t="s">
        <v>267</v>
      </c>
      <c r="F5" t="s">
        <v>268</v>
      </c>
      <c r="G5" t="s">
        <v>269</v>
      </c>
      <c r="H5" t="s">
        <v>13</v>
      </c>
      <c r="I5" t="s">
        <v>270</v>
      </c>
      <c r="J5" t="s">
        <v>271</v>
      </c>
      <c r="K5" t="s">
        <v>272</v>
      </c>
      <c r="L5" t="s">
        <v>273</v>
      </c>
    </row>
    <row r="6" spans="1:12" x14ac:dyDescent="0.25">
      <c r="A6" s="70" t="s">
        <v>275</v>
      </c>
      <c r="B6" t="s">
        <v>276</v>
      </c>
      <c r="C6" t="s">
        <v>10</v>
      </c>
      <c r="D6" t="s">
        <v>267</v>
      </c>
      <c r="E6" t="s">
        <v>268</v>
      </c>
      <c r="F6" t="s">
        <v>269</v>
      </c>
      <c r="G6" t="s">
        <v>13</v>
      </c>
      <c r="H6" t="s">
        <v>270</v>
      </c>
      <c r="I6" t="s">
        <v>271</v>
      </c>
      <c r="J6" t="s">
        <v>272</v>
      </c>
      <c r="K6" t="s">
        <v>273</v>
      </c>
      <c r="L6" t="s">
        <v>274</v>
      </c>
    </row>
    <row r="7" spans="1:12" x14ac:dyDescent="0.25">
      <c r="A7" s="70" t="s">
        <v>276</v>
      </c>
      <c r="B7" t="s">
        <v>10</v>
      </c>
      <c r="C7" t="s">
        <v>267</v>
      </c>
      <c r="D7" t="s">
        <v>268</v>
      </c>
      <c r="E7" t="s">
        <v>269</v>
      </c>
      <c r="F7" t="s">
        <v>13</v>
      </c>
      <c r="G7" t="s">
        <v>270</v>
      </c>
      <c r="H7" t="s">
        <v>271</v>
      </c>
      <c r="I7" t="s">
        <v>272</v>
      </c>
      <c r="J7" t="s">
        <v>273</v>
      </c>
      <c r="K7" t="s">
        <v>274</v>
      </c>
      <c r="L7" t="s">
        <v>275</v>
      </c>
    </row>
    <row r="8" spans="1:12" x14ac:dyDescent="0.25">
      <c r="A8" s="70" t="s">
        <v>10</v>
      </c>
      <c r="B8" t="s">
        <v>267</v>
      </c>
      <c r="C8" t="s">
        <v>268</v>
      </c>
      <c r="D8" t="s">
        <v>269</v>
      </c>
      <c r="E8" t="s">
        <v>13</v>
      </c>
      <c r="F8" t="s">
        <v>270</v>
      </c>
      <c r="G8" t="s">
        <v>271</v>
      </c>
      <c r="H8" t="s">
        <v>272</v>
      </c>
      <c r="I8" t="s">
        <v>273</v>
      </c>
      <c r="J8" t="s">
        <v>274</v>
      </c>
      <c r="K8" t="s">
        <v>275</v>
      </c>
      <c r="L8" t="s">
        <v>276</v>
      </c>
    </row>
    <row r="9" spans="1:12" x14ac:dyDescent="0.25">
      <c r="A9" s="70" t="s">
        <v>267</v>
      </c>
      <c r="B9" t="s">
        <v>268</v>
      </c>
      <c r="C9" t="s">
        <v>269</v>
      </c>
      <c r="D9" t="s">
        <v>13</v>
      </c>
      <c r="E9" t="s">
        <v>270</v>
      </c>
      <c r="F9" t="s">
        <v>271</v>
      </c>
      <c r="G9" t="s">
        <v>272</v>
      </c>
      <c r="H9" t="s">
        <v>273</v>
      </c>
      <c r="I9" t="s">
        <v>274</v>
      </c>
      <c r="J9" t="s">
        <v>275</v>
      </c>
      <c r="K9" t="s">
        <v>276</v>
      </c>
      <c r="L9" t="s">
        <v>10</v>
      </c>
    </row>
    <row r="10" spans="1:12" x14ac:dyDescent="0.25">
      <c r="A10" s="70" t="s">
        <v>268</v>
      </c>
      <c r="B10" t="s">
        <v>269</v>
      </c>
      <c r="C10" t="s">
        <v>13</v>
      </c>
      <c r="D10" t="s">
        <v>270</v>
      </c>
      <c r="E10" t="s">
        <v>271</v>
      </c>
      <c r="F10" t="s">
        <v>272</v>
      </c>
      <c r="G10" t="s">
        <v>273</v>
      </c>
      <c r="H10" t="s">
        <v>274</v>
      </c>
      <c r="I10" t="s">
        <v>275</v>
      </c>
      <c r="J10" t="s">
        <v>276</v>
      </c>
      <c r="K10" t="s">
        <v>10</v>
      </c>
      <c r="L10" t="s">
        <v>267</v>
      </c>
    </row>
    <row r="11" spans="1:12" x14ac:dyDescent="0.25">
      <c r="A11" s="70" t="s">
        <v>269</v>
      </c>
      <c r="B11" t="s">
        <v>13</v>
      </c>
      <c r="C11" t="s">
        <v>270</v>
      </c>
      <c r="D11" t="s">
        <v>271</v>
      </c>
      <c r="E11" t="s">
        <v>272</v>
      </c>
      <c r="F11" t="s">
        <v>273</v>
      </c>
      <c r="G11" t="s">
        <v>274</v>
      </c>
      <c r="H11" t="s">
        <v>275</v>
      </c>
      <c r="I11" t="s">
        <v>276</v>
      </c>
      <c r="J11" t="s">
        <v>10</v>
      </c>
      <c r="K11" t="s">
        <v>267</v>
      </c>
      <c r="L11" t="s">
        <v>268</v>
      </c>
    </row>
    <row r="12" spans="1:12" x14ac:dyDescent="0.25">
      <c r="A12" s="70" t="s">
        <v>13</v>
      </c>
      <c r="B12" t="s">
        <v>270</v>
      </c>
      <c r="C12" t="s">
        <v>271</v>
      </c>
      <c r="D12" t="s">
        <v>272</v>
      </c>
      <c r="E12" t="s">
        <v>273</v>
      </c>
      <c r="F12" t="s">
        <v>274</v>
      </c>
      <c r="G12" t="s">
        <v>275</v>
      </c>
      <c r="H12" t="s">
        <v>276</v>
      </c>
      <c r="I12" t="s">
        <v>10</v>
      </c>
      <c r="J12" t="s">
        <v>267</v>
      </c>
      <c r="K12" t="s">
        <v>268</v>
      </c>
      <c r="L12" t="s">
        <v>269</v>
      </c>
    </row>
    <row r="13" spans="1:12" x14ac:dyDescent="0.25">
      <c r="A13" s="70" t="s">
        <v>270</v>
      </c>
      <c r="B13" t="s">
        <v>271</v>
      </c>
      <c r="C13" t="s">
        <v>272</v>
      </c>
      <c r="D13" t="s">
        <v>273</v>
      </c>
      <c r="E13" t="s">
        <v>274</v>
      </c>
      <c r="F13" t="s">
        <v>275</v>
      </c>
      <c r="G13" t="s">
        <v>276</v>
      </c>
      <c r="H13" t="s">
        <v>10</v>
      </c>
      <c r="I13" t="s">
        <v>267</v>
      </c>
      <c r="J13" t="s">
        <v>268</v>
      </c>
      <c r="K13" t="s">
        <v>269</v>
      </c>
      <c r="L13"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D0A29-B574-4BB9-92AA-F2212DA21CC3}">
  <sheetPr codeName="Sheet2">
    <tabColor rgb="FFC9DB41"/>
  </sheetPr>
  <dimension ref="A1:D29"/>
  <sheetViews>
    <sheetView tabSelected="1" workbookViewId="0">
      <selection activeCell="B8" sqref="B8"/>
    </sheetView>
  </sheetViews>
  <sheetFormatPr defaultRowHeight="15" x14ac:dyDescent="0.25"/>
  <cols>
    <col min="1" max="1" width="27.7109375" customWidth="1"/>
    <col min="2" max="2" width="30.42578125" bestFit="1" customWidth="1"/>
  </cols>
  <sheetData>
    <row r="1" spans="1:4" ht="20.25" thickBot="1" x14ac:dyDescent="0.35">
      <c r="A1" s="94" t="s">
        <v>2</v>
      </c>
      <c r="B1" s="94"/>
    </row>
    <row r="2" spans="1:4" ht="20.25" thickTop="1" x14ac:dyDescent="0.3">
      <c r="A2" s="11"/>
      <c r="B2" s="11"/>
    </row>
    <row r="3" spans="1:4" x14ac:dyDescent="0.25">
      <c r="A3" s="12" t="s">
        <v>3</v>
      </c>
      <c r="B3" s="3"/>
      <c r="D3" s="13" t="s">
        <v>4</v>
      </c>
    </row>
    <row r="4" spans="1:4" x14ac:dyDescent="0.25">
      <c r="A4" s="12" t="s">
        <v>5</v>
      </c>
      <c r="B4" s="88"/>
      <c r="D4" s="13" t="s">
        <v>959</v>
      </c>
    </row>
    <row r="5" spans="1:4" x14ac:dyDescent="0.25">
      <c r="A5" s="12" t="s">
        <v>947</v>
      </c>
      <c r="B5" s="3" t="s">
        <v>953</v>
      </c>
      <c r="D5" s="13" t="s">
        <v>958</v>
      </c>
    </row>
    <row r="6" spans="1:4" x14ac:dyDescent="0.25">
      <c r="A6" s="12" t="s">
        <v>948</v>
      </c>
      <c r="B6" s="3" t="s">
        <v>420</v>
      </c>
      <c r="D6" s="13" t="s">
        <v>957</v>
      </c>
    </row>
    <row r="7" spans="1:4" x14ac:dyDescent="0.25">
      <c r="A7" s="12" t="s">
        <v>6</v>
      </c>
      <c r="B7" s="3" t="s">
        <v>7</v>
      </c>
      <c r="D7" s="13" t="s">
        <v>8</v>
      </c>
    </row>
    <row r="8" spans="1:4" x14ac:dyDescent="0.25">
      <c r="A8" s="12" t="s">
        <v>949</v>
      </c>
      <c r="B8" s="140" t="s">
        <v>951</v>
      </c>
      <c r="D8" s="13" t="s">
        <v>961</v>
      </c>
    </row>
    <row r="9" spans="1:4" x14ac:dyDescent="0.25">
      <c r="A9" s="12" t="s">
        <v>9</v>
      </c>
      <c r="B9" s="3" t="s">
        <v>275</v>
      </c>
      <c r="D9" s="13" t="s">
        <v>11</v>
      </c>
    </row>
    <row r="11" spans="1:4" ht="20.25" thickBot="1" x14ac:dyDescent="0.35">
      <c r="A11" s="21" t="s">
        <v>12</v>
      </c>
      <c r="B11" s="22" t="s">
        <v>946</v>
      </c>
    </row>
    <row r="12" spans="1:4" ht="15.75" thickTop="1" x14ac:dyDescent="0.25"/>
    <row r="13" spans="1:4" x14ac:dyDescent="0.25">
      <c r="A13" s="91" t="s">
        <v>955</v>
      </c>
      <c r="B13" s="92" t="s">
        <v>15</v>
      </c>
    </row>
    <row r="14" spans="1:4" x14ac:dyDescent="0.25">
      <c r="A14" s="91" t="s">
        <v>277</v>
      </c>
      <c r="B14" s="93">
        <f>'Data Collection'!AF3</f>
        <v>5119802.3389192214</v>
      </c>
    </row>
    <row r="15" spans="1:4" x14ac:dyDescent="0.25">
      <c r="A15" s="91" t="s">
        <v>17</v>
      </c>
      <c r="B15" s="93">
        <f>'Data Collection'!AF12</f>
        <v>9873311.8284045793</v>
      </c>
    </row>
    <row r="16" spans="1:4" ht="15" customHeight="1" x14ac:dyDescent="0.25">
      <c r="A16" s="91" t="s">
        <v>71</v>
      </c>
      <c r="B16" s="93">
        <f>'Data Collection'!AF18</f>
        <v>0</v>
      </c>
    </row>
    <row r="17" spans="1:2" ht="15" customHeight="1" x14ac:dyDescent="0.25">
      <c r="A17" s="91" t="s">
        <v>78</v>
      </c>
      <c r="B17" s="93">
        <f>'Data Collection'!AF21</f>
        <v>0</v>
      </c>
    </row>
    <row r="18" spans="1:2" ht="15" customHeight="1" x14ac:dyDescent="0.25">
      <c r="A18" s="91" t="s">
        <v>21</v>
      </c>
      <c r="B18" s="93">
        <f>'Data Collection'!AF34</f>
        <v>16598928.746694453</v>
      </c>
    </row>
    <row r="19" spans="1:2" ht="15" customHeight="1" x14ac:dyDescent="0.25">
      <c r="A19" s="91" t="s">
        <v>279</v>
      </c>
      <c r="B19" s="93">
        <f>'Data Collection'!AF56</f>
        <v>0</v>
      </c>
    </row>
    <row r="20" spans="1:2" ht="15" customHeight="1" x14ac:dyDescent="0.25">
      <c r="A20" s="91" t="s">
        <v>334</v>
      </c>
      <c r="B20" s="93">
        <f>'Data Collection'!AF103</f>
        <v>5067254.8814362772</v>
      </c>
    </row>
    <row r="21" spans="1:2" ht="15" customHeight="1" x14ac:dyDescent="0.25">
      <c r="A21" s="91" t="s">
        <v>355</v>
      </c>
      <c r="B21" s="93">
        <f>'Data Collection'!AF142</f>
        <v>0</v>
      </c>
    </row>
    <row r="22" spans="1:2" ht="15" customHeight="1" x14ac:dyDescent="0.25">
      <c r="A22" s="91" t="s">
        <v>367</v>
      </c>
      <c r="B22" s="93">
        <f>'Data Collection'!AF164</f>
        <v>0</v>
      </c>
    </row>
    <row r="23" spans="1:2" ht="15" customHeight="1" x14ac:dyDescent="0.25">
      <c r="A23" s="91" t="s">
        <v>956</v>
      </c>
      <c r="B23" s="93">
        <f>'Data Collection'!AF189</f>
        <v>0</v>
      </c>
    </row>
    <row r="24" spans="1:2" ht="15" customHeight="1" x14ac:dyDescent="0.25">
      <c r="A24" s="91" t="s">
        <v>380</v>
      </c>
      <c r="B24" s="93">
        <f>'Data Collection'!AF189</f>
        <v>0</v>
      </c>
    </row>
    <row r="25" spans="1:2" ht="15" customHeight="1" x14ac:dyDescent="0.25">
      <c r="A25" s="91" t="s">
        <v>390</v>
      </c>
      <c r="B25" s="93">
        <f>'Data Collection'!AF197</f>
        <v>0</v>
      </c>
    </row>
    <row r="26" spans="1:2" ht="15" customHeight="1" x14ac:dyDescent="0.25">
      <c r="A26" s="91" t="s">
        <v>403</v>
      </c>
      <c r="B26" s="93">
        <f>'Data Collection'!AF221</f>
        <v>0</v>
      </c>
    </row>
    <row r="27" spans="1:2" x14ac:dyDescent="0.25">
      <c r="A27" s="91" t="s">
        <v>412</v>
      </c>
      <c r="B27" s="93">
        <f>'Data Collection'!AF228</f>
        <v>0</v>
      </c>
    </row>
    <row r="28" spans="1:2" x14ac:dyDescent="0.25">
      <c r="A28" s="91" t="s">
        <v>413</v>
      </c>
      <c r="B28" s="93">
        <f>'Data Collection'!AF242</f>
        <v>0</v>
      </c>
    </row>
    <row r="29" spans="1:2" x14ac:dyDescent="0.25">
      <c r="A29" s="91" t="s">
        <v>946</v>
      </c>
      <c r="B29" s="93">
        <f>SUM(B14:B28)</f>
        <v>36659297.795454532</v>
      </c>
    </row>
  </sheetData>
  <sheetProtection sheet="1" objects="1" scenarios="1"/>
  <mergeCells count="1">
    <mergeCell ref="A1:B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2C09F24-606B-4EB6-8AA1-1E7B7B411391}">
          <x14:formula1>
            <xm:f>Lookup!$A$3:$A$36</xm:f>
          </x14:formula1>
          <xm:sqref>B7</xm:sqref>
        </x14:dataValidation>
        <x14:dataValidation type="list" allowBlank="1" showInputMessage="1" showErrorMessage="1" xr:uid="{AB01F460-6317-4CA2-9AAA-E080760745EC}">
          <x14:formula1>
            <xm:f>Lookup!$E$3:$E$14</xm:f>
          </x14:formula1>
          <xm:sqref>B9</xm:sqref>
        </x14:dataValidation>
        <x14:dataValidation type="list" allowBlank="1" showInputMessage="1" showErrorMessage="1" xr:uid="{72C642FA-BF71-49BB-8DF9-1F4681498442}">
          <x14:formula1>
            <xm:f>'Index Formatting'!$D$1:$F$1</xm:f>
          </x14:formula1>
          <xm:sqref>B6</xm:sqref>
        </x14:dataValidation>
        <x14:dataValidation type="list" allowBlank="1" showInputMessage="1" showErrorMessage="1" xr:uid="{9CC0116F-FB54-4B3F-A1D8-E2CC012A6C46}">
          <x14:formula1>
            <xm:f>Lookup!$K$3:$K$4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AE7D-3D2E-4D46-BCE5-BF6556C92700}">
  <sheetPr codeName="Sheet3">
    <tabColor rgb="FFC9DB41"/>
    <pageSetUpPr autoPageBreaks="0"/>
  </sheetPr>
  <dimension ref="A1:AJ84"/>
  <sheetViews>
    <sheetView workbookViewId="0">
      <selection sqref="A1:B3"/>
    </sheetView>
  </sheetViews>
  <sheetFormatPr defaultRowHeight="18.75" x14ac:dyDescent="0.3"/>
  <cols>
    <col min="1" max="1" width="3.42578125" style="18" customWidth="1"/>
    <col min="2" max="2" width="21.140625" customWidth="1"/>
    <col min="3" max="3" width="5" bestFit="1" customWidth="1"/>
    <col min="4" max="4" width="29.140625" customWidth="1"/>
    <col min="5" max="5" width="5.140625" bestFit="1" customWidth="1"/>
    <col min="6" max="6" width="41.140625" customWidth="1"/>
    <col min="7" max="7" width="8.7109375" customWidth="1"/>
    <col min="8" max="8" width="42.28515625" style="1" customWidth="1"/>
    <col min="9" max="32" width="15" style="1" customWidth="1"/>
    <col min="33" max="33" width="25.140625" style="1" bestFit="1" customWidth="1"/>
    <col min="34" max="34" width="43.140625" customWidth="1"/>
    <col min="35" max="35" width="15.140625" customWidth="1"/>
    <col min="36" max="36" width="43.140625" customWidth="1"/>
  </cols>
  <sheetData>
    <row r="1" spans="1:36" s="2" customFormat="1" ht="38.25" customHeight="1" x14ac:dyDescent="0.25">
      <c r="A1" s="121" t="s">
        <v>14</v>
      </c>
      <c r="B1" s="121"/>
      <c r="C1" s="121" t="s">
        <v>22</v>
      </c>
      <c r="D1" s="121"/>
      <c r="E1" s="121" t="s">
        <v>23</v>
      </c>
      <c r="F1" s="121"/>
      <c r="G1" s="121" t="s">
        <v>24</v>
      </c>
      <c r="H1" s="121" t="s">
        <v>25</v>
      </c>
      <c r="I1" s="125" t="s">
        <v>26</v>
      </c>
      <c r="J1" s="125"/>
      <c r="K1" s="125"/>
      <c r="L1" s="125"/>
      <c r="M1" s="125"/>
      <c r="N1" s="125"/>
      <c r="O1" s="125"/>
      <c r="P1" s="125"/>
      <c r="Q1" s="125"/>
      <c r="R1" s="125"/>
      <c r="S1" s="125"/>
      <c r="T1" s="125"/>
      <c r="U1" s="125"/>
      <c r="V1" s="125"/>
      <c r="W1" s="125"/>
      <c r="X1" s="125"/>
      <c r="Y1" s="125"/>
      <c r="Z1" s="125"/>
      <c r="AA1" s="125"/>
      <c r="AB1" s="125"/>
      <c r="AC1" s="125"/>
      <c r="AD1" s="125"/>
      <c r="AE1" s="125"/>
      <c r="AF1" s="125"/>
      <c r="AG1" s="125" t="s">
        <v>27</v>
      </c>
      <c r="AH1" s="125" t="s">
        <v>28</v>
      </c>
      <c r="AI1" s="125" t="s">
        <v>29</v>
      </c>
      <c r="AJ1" s="125" t="s">
        <v>30</v>
      </c>
    </row>
    <row r="2" spans="1:36" s="2" customFormat="1" ht="38.25" customHeight="1" x14ac:dyDescent="0.25">
      <c r="A2" s="121"/>
      <c r="B2" s="121"/>
      <c r="C2" s="121"/>
      <c r="D2" s="121"/>
      <c r="E2" s="121"/>
      <c r="F2" s="121"/>
      <c r="G2" s="121"/>
      <c r="H2" s="121"/>
      <c r="I2" s="120" t="e">
        <f>VLOOKUP('Project Details'!B6,Lookup!$E$3:$F$14,2,0)</f>
        <v>#N/A</v>
      </c>
      <c r="J2" s="120"/>
      <c r="K2" s="120" t="e">
        <f>EDATE(I2,1)</f>
        <v>#N/A</v>
      </c>
      <c r="L2" s="120"/>
      <c r="M2" s="120" t="e">
        <f>EDATE(K2,1)</f>
        <v>#N/A</v>
      </c>
      <c r="N2" s="120"/>
      <c r="O2" s="120" t="e">
        <f>EDATE(M2,1)</f>
        <v>#N/A</v>
      </c>
      <c r="P2" s="120"/>
      <c r="Q2" s="120" t="e">
        <f>EDATE(O2,1)</f>
        <v>#N/A</v>
      </c>
      <c r="R2" s="120"/>
      <c r="S2" s="120" t="e">
        <f>EDATE(Q2,1)</f>
        <v>#N/A</v>
      </c>
      <c r="T2" s="120"/>
      <c r="U2" s="120" t="e">
        <f>EDATE(S2,1)</f>
        <v>#N/A</v>
      </c>
      <c r="V2" s="120"/>
      <c r="W2" s="120" t="e">
        <f>EDATE(U2,1)</f>
        <v>#N/A</v>
      </c>
      <c r="X2" s="120"/>
      <c r="Y2" s="120" t="e">
        <f>EDATE(W2,1)</f>
        <v>#N/A</v>
      </c>
      <c r="Z2" s="120"/>
      <c r="AA2" s="120" t="e">
        <f>EDATE(Y2,1)</f>
        <v>#N/A</v>
      </c>
      <c r="AB2" s="120"/>
      <c r="AC2" s="120" t="e">
        <f>EDATE(AA2,1)</f>
        <v>#N/A</v>
      </c>
      <c r="AD2" s="120"/>
      <c r="AE2" s="120" t="e">
        <f>EDATE(AC2,1)</f>
        <v>#N/A</v>
      </c>
      <c r="AF2" s="120"/>
      <c r="AG2" s="125"/>
      <c r="AH2" s="125"/>
      <c r="AI2" s="125"/>
      <c r="AJ2" s="125"/>
    </row>
    <row r="3" spans="1:36" s="2" customFormat="1" ht="38.25" customHeight="1" thickBot="1" x14ac:dyDescent="0.3">
      <c r="A3" s="122"/>
      <c r="B3" s="122"/>
      <c r="C3" s="122"/>
      <c r="D3" s="122"/>
      <c r="E3" s="122"/>
      <c r="F3" s="122"/>
      <c r="G3" s="122"/>
      <c r="H3" s="122"/>
      <c r="I3" s="17" t="s">
        <v>31</v>
      </c>
      <c r="J3" s="17" t="s">
        <v>32</v>
      </c>
      <c r="K3" s="17" t="s">
        <v>31</v>
      </c>
      <c r="L3" s="17" t="s">
        <v>32</v>
      </c>
      <c r="M3" s="17" t="s">
        <v>31</v>
      </c>
      <c r="N3" s="17" t="s">
        <v>32</v>
      </c>
      <c r="O3" s="17" t="s">
        <v>31</v>
      </c>
      <c r="P3" s="17" t="s">
        <v>32</v>
      </c>
      <c r="Q3" s="17" t="s">
        <v>31</v>
      </c>
      <c r="R3" s="17" t="s">
        <v>32</v>
      </c>
      <c r="S3" s="17" t="s">
        <v>31</v>
      </c>
      <c r="T3" s="17" t="s">
        <v>32</v>
      </c>
      <c r="U3" s="17" t="s">
        <v>31</v>
      </c>
      <c r="V3" s="17" t="s">
        <v>32</v>
      </c>
      <c r="W3" s="17" t="s">
        <v>31</v>
      </c>
      <c r="X3" s="17" t="s">
        <v>32</v>
      </c>
      <c r="Y3" s="17" t="s">
        <v>31</v>
      </c>
      <c r="Z3" s="17" t="s">
        <v>32</v>
      </c>
      <c r="AA3" s="17" t="s">
        <v>31</v>
      </c>
      <c r="AB3" s="17" t="s">
        <v>32</v>
      </c>
      <c r="AC3" s="17" t="s">
        <v>31</v>
      </c>
      <c r="AD3" s="17" t="s">
        <v>32</v>
      </c>
      <c r="AE3" s="17" t="s">
        <v>31</v>
      </c>
      <c r="AF3" s="17" t="s">
        <v>32</v>
      </c>
      <c r="AG3" s="126"/>
      <c r="AH3" s="126"/>
      <c r="AI3" s="126"/>
      <c r="AJ3" s="126"/>
    </row>
    <row r="4" spans="1:36" s="2" customFormat="1" ht="15.75" customHeight="1" thickTop="1" x14ac:dyDescent="0.25">
      <c r="A4" s="103">
        <v>1</v>
      </c>
      <c r="B4" s="113" t="s">
        <v>16</v>
      </c>
      <c r="C4" s="123">
        <v>1.1000000000000001</v>
      </c>
      <c r="D4" s="117" t="s">
        <v>33</v>
      </c>
      <c r="E4" s="5" t="s">
        <v>34</v>
      </c>
      <c r="F4" s="5" t="s">
        <v>35</v>
      </c>
      <c r="G4" s="6" t="s">
        <v>36</v>
      </c>
      <c r="H4" s="124" t="s">
        <v>37</v>
      </c>
      <c r="I4" s="31"/>
      <c r="J4" s="19">
        <f>I4*VLOOKUP($F4, 'Emission Factors'!$A$3:$E$44, 5, FALSE)*1000</f>
        <v>0</v>
      </c>
      <c r="K4" s="31"/>
      <c r="L4" s="19">
        <f>K4*VLOOKUP($F4, 'Emission Factors'!$A$3:$E$44, 5, FALSE)*1000</f>
        <v>0</v>
      </c>
      <c r="M4" s="31"/>
      <c r="N4" s="19">
        <f>M4*VLOOKUP($F4, 'Emission Factors'!$A$3:$E$44, 5, FALSE)*1000</f>
        <v>0</v>
      </c>
      <c r="O4" s="31"/>
      <c r="P4" s="19">
        <f>O4*VLOOKUP($F4, 'Emission Factors'!$A$3:$E$44, 5, FALSE)*1000</f>
        <v>0</v>
      </c>
      <c r="Q4" s="31"/>
      <c r="R4" s="19">
        <f>Q4*VLOOKUP($F4, 'Emission Factors'!$A$3:$E$44, 5, FALSE)*1000</f>
        <v>0</v>
      </c>
      <c r="S4" s="31"/>
      <c r="T4" s="19">
        <f>S4*VLOOKUP($F4, 'Emission Factors'!$A$3:$E$44, 5, FALSE)*1000</f>
        <v>0</v>
      </c>
      <c r="U4" s="31"/>
      <c r="V4" s="19">
        <f>U4*VLOOKUP($F4, 'Emission Factors'!$A$3:$E$44, 5, FALSE)*1000</f>
        <v>0</v>
      </c>
      <c r="W4" s="31"/>
      <c r="X4" s="19">
        <f>W4*VLOOKUP($F4, 'Emission Factors'!$A$3:$E$44, 5, FALSE)*1000</f>
        <v>0</v>
      </c>
      <c r="Y4" s="31"/>
      <c r="Z4" s="19">
        <f>Y4*VLOOKUP($F4, 'Emission Factors'!$A$3:$E$44, 5, FALSE)*1000</f>
        <v>0</v>
      </c>
      <c r="AA4" s="31"/>
      <c r="AB4" s="19">
        <f>AA4*VLOOKUP($F4, 'Emission Factors'!$A$3:$E$44, 5, FALSE)*1000</f>
        <v>0</v>
      </c>
      <c r="AC4" s="31"/>
      <c r="AD4" s="19">
        <f>AC4*VLOOKUP($F4, 'Emission Factors'!$A$3:$E$44, 5, FALSE)*1000</f>
        <v>0</v>
      </c>
      <c r="AE4" s="31"/>
      <c r="AF4" s="19">
        <f>AE4*VLOOKUP($F4, 'Emission Factors'!$A$3:$E$44, 5, FALSE)*1000</f>
        <v>0</v>
      </c>
      <c r="AG4" s="31"/>
      <c r="AH4" s="31"/>
      <c r="AI4" s="31"/>
      <c r="AJ4" s="31"/>
    </row>
    <row r="5" spans="1:36" s="2" customFormat="1" ht="15" customHeight="1" x14ac:dyDescent="0.25">
      <c r="A5" s="102"/>
      <c r="B5" s="119"/>
      <c r="C5" s="123"/>
      <c r="D5" s="108"/>
      <c r="E5" s="7" t="s">
        <v>38</v>
      </c>
      <c r="F5" s="7" t="s">
        <v>39</v>
      </c>
      <c r="G5" s="8" t="s">
        <v>36</v>
      </c>
      <c r="H5" s="98"/>
      <c r="I5" s="32"/>
      <c r="J5" s="40">
        <f>I5*VLOOKUP($F5, 'Emission Factors'!$A$3:$E$44, 5, FALSE)</f>
        <v>0</v>
      </c>
      <c r="K5" s="32"/>
      <c r="L5" s="19">
        <f>K5*VLOOKUP($F5, 'Emission Factors'!$A$3:$E$44, 5, FALSE)</f>
        <v>0</v>
      </c>
      <c r="M5" s="32"/>
      <c r="N5" s="19">
        <f>M5*VLOOKUP($F5, 'Emission Factors'!$A$3:$E$44, 5, FALSE)</f>
        <v>0</v>
      </c>
      <c r="O5" s="32"/>
      <c r="P5" s="19">
        <f>O5*VLOOKUP($F5, 'Emission Factors'!$A$3:$E$44, 5, FALSE)</f>
        <v>0</v>
      </c>
      <c r="Q5" s="32"/>
      <c r="R5" s="19">
        <f>Q5*VLOOKUP($F5, 'Emission Factors'!$A$3:$E$44, 5, FALSE)</f>
        <v>0</v>
      </c>
      <c r="S5" s="32"/>
      <c r="T5" s="19">
        <f>S5*VLOOKUP($F5, 'Emission Factors'!$A$3:$E$44, 5, FALSE)</f>
        <v>0</v>
      </c>
      <c r="U5" s="32"/>
      <c r="V5" s="19">
        <f>U5*VLOOKUP($F5, 'Emission Factors'!$A$3:$E$44, 5, FALSE)</f>
        <v>0</v>
      </c>
      <c r="W5" s="32"/>
      <c r="X5" s="19">
        <f>W5*VLOOKUP($F5, 'Emission Factors'!$A$3:$E$44, 5, FALSE)</f>
        <v>0</v>
      </c>
      <c r="Y5" s="32"/>
      <c r="Z5" s="19">
        <f>Y5*VLOOKUP($F5, 'Emission Factors'!$A$3:$E$44, 5, FALSE)</f>
        <v>0</v>
      </c>
      <c r="AA5" s="32"/>
      <c r="AB5" s="19">
        <f>AA5*VLOOKUP($F5, 'Emission Factors'!$A$3:$E$44, 5, FALSE)</f>
        <v>0</v>
      </c>
      <c r="AC5" s="32"/>
      <c r="AD5" s="19">
        <f>AC5*VLOOKUP($F5, 'Emission Factors'!$A$3:$E$44, 5, FALSE)</f>
        <v>0</v>
      </c>
      <c r="AE5" s="32"/>
      <c r="AF5" s="19">
        <f>AE5*VLOOKUP($F5, 'Emission Factors'!$A$3:$E$44, 5, FALSE)</f>
        <v>0</v>
      </c>
      <c r="AG5" s="32"/>
      <c r="AH5" s="32"/>
      <c r="AI5" s="32"/>
      <c r="AJ5" s="32"/>
    </row>
    <row r="6" spans="1:36" s="2" customFormat="1" ht="15" customHeight="1" x14ac:dyDescent="0.25">
      <c r="A6" s="102"/>
      <c r="B6" s="119"/>
      <c r="C6" s="115"/>
      <c r="D6" s="108"/>
      <c r="E6" s="7" t="s">
        <v>40</v>
      </c>
      <c r="F6" s="7" t="s">
        <v>41</v>
      </c>
      <c r="G6" s="8" t="s">
        <v>36</v>
      </c>
      <c r="H6" s="98"/>
      <c r="I6" s="32"/>
      <c r="J6" s="19">
        <f>I6*VLOOKUP($F6, 'Emission Factors'!$A$3:$E$44, 5, FALSE)</f>
        <v>0</v>
      </c>
      <c r="K6" s="32"/>
      <c r="L6" s="19">
        <f>K6*VLOOKUP($F6, 'Emission Factors'!$A$3:$E$44, 5, FALSE)</f>
        <v>0</v>
      </c>
      <c r="M6" s="32"/>
      <c r="N6" s="19">
        <f>M6*VLOOKUP($F6, 'Emission Factors'!$A$3:$E$44, 5, FALSE)</f>
        <v>0</v>
      </c>
      <c r="O6" s="32"/>
      <c r="P6" s="19">
        <f>O6*VLOOKUP($F6, 'Emission Factors'!$A$3:$E$44, 5, FALSE)</f>
        <v>0</v>
      </c>
      <c r="Q6" s="32"/>
      <c r="R6" s="19">
        <f>Q6*VLOOKUP($F6, 'Emission Factors'!$A$3:$E$44, 5, FALSE)</f>
        <v>0</v>
      </c>
      <c r="S6" s="32"/>
      <c r="T6" s="19">
        <f>S6*VLOOKUP($F6, 'Emission Factors'!$A$3:$E$44, 5, FALSE)</f>
        <v>0</v>
      </c>
      <c r="U6" s="32"/>
      <c r="V6" s="19">
        <f>U6*VLOOKUP($F6, 'Emission Factors'!$A$3:$E$44, 5, FALSE)</f>
        <v>0</v>
      </c>
      <c r="W6" s="32"/>
      <c r="X6" s="19">
        <f>W6*VLOOKUP($F6, 'Emission Factors'!$A$3:$E$44, 5, FALSE)</f>
        <v>0</v>
      </c>
      <c r="Y6" s="32"/>
      <c r="Z6" s="19">
        <f>Y6*VLOOKUP($F6, 'Emission Factors'!$A$3:$E$44, 5, FALSE)</f>
        <v>0</v>
      </c>
      <c r="AA6" s="32"/>
      <c r="AB6" s="19">
        <f>AA6*VLOOKUP($F6, 'Emission Factors'!$A$3:$E$44, 5, FALSE)</f>
        <v>0</v>
      </c>
      <c r="AC6" s="32"/>
      <c r="AD6" s="19">
        <f>AC6*VLOOKUP($F6, 'Emission Factors'!$A$3:$E$44, 5, FALSE)</f>
        <v>0</v>
      </c>
      <c r="AE6" s="32"/>
      <c r="AF6" s="19">
        <f>AE6*VLOOKUP($F6, 'Emission Factors'!$A$3:$E$44, 5, FALSE)</f>
        <v>0</v>
      </c>
      <c r="AG6" s="32"/>
      <c r="AH6" s="32"/>
      <c r="AI6" s="32"/>
      <c r="AJ6" s="32"/>
    </row>
    <row r="7" spans="1:36" s="2" customFormat="1" ht="15" customHeight="1" x14ac:dyDescent="0.25">
      <c r="A7" s="102"/>
      <c r="B7" s="119"/>
      <c r="C7" s="114">
        <v>1.2</v>
      </c>
      <c r="D7" s="108" t="s">
        <v>42</v>
      </c>
      <c r="E7" s="7" t="s">
        <v>43</v>
      </c>
      <c r="F7" s="7" t="s">
        <v>44</v>
      </c>
      <c r="G7" s="8" t="s">
        <v>45</v>
      </c>
      <c r="H7" s="98"/>
      <c r="I7" s="32"/>
      <c r="J7" s="19">
        <f>I7*VLOOKUP($F7, 'Emission Factors'!$A$3:$E$44, 5, FALSE)*1000</f>
        <v>0</v>
      </c>
      <c r="K7" s="32"/>
      <c r="L7" s="19">
        <f>K7*VLOOKUP($F7, 'Emission Factors'!$A$3:$E$44, 5, FALSE)</f>
        <v>0</v>
      </c>
      <c r="M7" s="32"/>
      <c r="N7" s="19">
        <f>M7*VLOOKUP($F7, 'Emission Factors'!$A$3:$E$44, 5, FALSE)</f>
        <v>0</v>
      </c>
      <c r="O7" s="32"/>
      <c r="P7" s="19">
        <f>O7*VLOOKUP($F7, 'Emission Factors'!$A$3:$E$44, 5, FALSE)</f>
        <v>0</v>
      </c>
      <c r="Q7" s="32"/>
      <c r="R7" s="19">
        <f>Q7*VLOOKUP($F7, 'Emission Factors'!$A$3:$E$44, 5, FALSE)</f>
        <v>0</v>
      </c>
      <c r="S7" s="32"/>
      <c r="T7" s="19">
        <f>S7*VLOOKUP($F7, 'Emission Factors'!$A$3:$E$44, 5, FALSE)</f>
        <v>0</v>
      </c>
      <c r="U7" s="32"/>
      <c r="V7" s="19">
        <f>U7*VLOOKUP($F7, 'Emission Factors'!$A$3:$E$44, 5, FALSE)</f>
        <v>0</v>
      </c>
      <c r="W7" s="32"/>
      <c r="X7" s="19">
        <f>W7*VLOOKUP($F7, 'Emission Factors'!$A$3:$E$44, 5, FALSE)</f>
        <v>0</v>
      </c>
      <c r="Y7" s="32"/>
      <c r="Z7" s="19">
        <f>Y7*VLOOKUP($F7, 'Emission Factors'!$A$3:$E$44, 5, FALSE)</f>
        <v>0</v>
      </c>
      <c r="AA7" s="32"/>
      <c r="AB7" s="19">
        <f>AA7*VLOOKUP($F7, 'Emission Factors'!$A$3:$E$44, 5, FALSE)</f>
        <v>0</v>
      </c>
      <c r="AC7" s="32"/>
      <c r="AD7" s="19">
        <f>AC7*VLOOKUP($F7, 'Emission Factors'!$A$3:$E$44, 5, FALSE)</f>
        <v>0</v>
      </c>
      <c r="AE7" s="32"/>
      <c r="AF7" s="19">
        <f>AE7*VLOOKUP($F7, 'Emission Factors'!$A$3:$E$44, 5, FALSE)</f>
        <v>0</v>
      </c>
      <c r="AG7" s="32"/>
      <c r="AH7" s="32"/>
      <c r="AI7" s="32"/>
      <c r="AJ7" s="32"/>
    </row>
    <row r="8" spans="1:36" s="2" customFormat="1" ht="15" customHeight="1" x14ac:dyDescent="0.25">
      <c r="A8" s="102"/>
      <c r="B8" s="119"/>
      <c r="C8" s="115"/>
      <c r="D8" s="108"/>
      <c r="E8" s="7" t="s">
        <v>46</v>
      </c>
      <c r="F8" s="7" t="s">
        <v>47</v>
      </c>
      <c r="G8" s="8" t="s">
        <v>48</v>
      </c>
      <c r="H8" s="98"/>
      <c r="I8" s="32"/>
      <c r="J8" s="19">
        <f>I8*VLOOKUP($F8, 'Emission Factors'!$A$3:$E$44, 5, FALSE)</f>
        <v>0</v>
      </c>
      <c r="K8" s="32"/>
      <c r="L8" s="19">
        <f>K8*VLOOKUP($F8, 'Emission Factors'!$A$3:$E$44, 5, FALSE)</f>
        <v>0</v>
      </c>
      <c r="M8" s="32"/>
      <c r="N8" s="19">
        <f>M8*VLOOKUP($F8, 'Emission Factors'!$A$3:$E$44, 5, FALSE)</f>
        <v>0</v>
      </c>
      <c r="O8" s="32"/>
      <c r="P8" s="19">
        <f>O8*VLOOKUP($F8, 'Emission Factors'!$A$3:$E$44, 5, FALSE)</f>
        <v>0</v>
      </c>
      <c r="Q8" s="32"/>
      <c r="R8" s="19">
        <f>Q8*VLOOKUP($F8, 'Emission Factors'!$A$3:$E$44, 5, FALSE)</f>
        <v>0</v>
      </c>
      <c r="S8" s="32"/>
      <c r="T8" s="19">
        <f>S8*VLOOKUP($F8, 'Emission Factors'!$A$3:$E$44, 5, FALSE)</f>
        <v>0</v>
      </c>
      <c r="U8" s="32"/>
      <c r="V8" s="19">
        <f>U8*VLOOKUP($F8, 'Emission Factors'!$A$3:$E$44, 5, FALSE)</f>
        <v>0</v>
      </c>
      <c r="W8" s="32"/>
      <c r="X8" s="19">
        <f>W8*VLOOKUP($F8, 'Emission Factors'!$A$3:$E$44, 5, FALSE)</f>
        <v>0</v>
      </c>
      <c r="Y8" s="32"/>
      <c r="Z8" s="19">
        <f>Y8*VLOOKUP($F8, 'Emission Factors'!$A$3:$E$44, 5, FALSE)</f>
        <v>0</v>
      </c>
      <c r="AA8" s="32"/>
      <c r="AB8" s="19">
        <f>AA8*VLOOKUP($F8, 'Emission Factors'!$A$3:$E$44, 5, FALSE)</f>
        <v>0</v>
      </c>
      <c r="AC8" s="32"/>
      <c r="AD8" s="19">
        <f>AC8*VLOOKUP($F8, 'Emission Factors'!$A$3:$E$44, 5, FALSE)</f>
        <v>0</v>
      </c>
      <c r="AE8" s="32"/>
      <c r="AF8" s="19">
        <f>AE8*VLOOKUP($F8, 'Emission Factors'!$A$3:$E$44, 5, FALSE)</f>
        <v>0</v>
      </c>
      <c r="AG8" s="32"/>
      <c r="AH8" s="32"/>
      <c r="AI8" s="32"/>
      <c r="AJ8" s="32"/>
    </row>
    <row r="9" spans="1:36" s="2" customFormat="1" ht="15" customHeight="1" x14ac:dyDescent="0.25">
      <c r="A9" s="102"/>
      <c r="B9" s="119"/>
      <c r="C9" s="114">
        <v>1.3</v>
      </c>
      <c r="D9" s="116" t="s">
        <v>49</v>
      </c>
      <c r="E9" s="7" t="s">
        <v>50</v>
      </c>
      <c r="F9" s="7" t="s">
        <v>51</v>
      </c>
      <c r="G9" s="8" t="s">
        <v>48</v>
      </c>
      <c r="H9" s="28" t="s">
        <v>52</v>
      </c>
      <c r="I9" s="32"/>
      <c r="J9" s="19">
        <f>I9*VLOOKUP($D9, 'Emission Factors'!$A$3:$E$44, 5, FALSE)</f>
        <v>0</v>
      </c>
      <c r="K9" s="32"/>
      <c r="L9" s="19">
        <f>K9*VLOOKUP($D9, 'Emission Factors'!$A$3:$E$44, 5, FALSE)</f>
        <v>0</v>
      </c>
      <c r="M9" s="32"/>
      <c r="N9" s="19">
        <f>M9*VLOOKUP($D9, 'Emission Factors'!$A$3:$E$44, 5, FALSE)</f>
        <v>0</v>
      </c>
      <c r="O9" s="32"/>
      <c r="P9" s="19">
        <f>O9*VLOOKUP($D9, 'Emission Factors'!$A$3:$E$44, 5, FALSE)</f>
        <v>0</v>
      </c>
      <c r="Q9" s="32"/>
      <c r="R9" s="19">
        <f>Q9*VLOOKUP($D9, 'Emission Factors'!$A$3:$E$44, 5, FALSE)</f>
        <v>0</v>
      </c>
      <c r="S9" s="32"/>
      <c r="T9" s="19">
        <f>S9*VLOOKUP($D9, 'Emission Factors'!$A$3:$E$44, 5, FALSE)</f>
        <v>0</v>
      </c>
      <c r="U9" s="32"/>
      <c r="V9" s="19">
        <f>U9*VLOOKUP($D9, 'Emission Factors'!$A$3:$E$44, 5, FALSE)</f>
        <v>0</v>
      </c>
      <c r="W9" s="32"/>
      <c r="X9" s="19">
        <f>W9*VLOOKUP($D9, 'Emission Factors'!$A$3:$E$44, 5, FALSE)</f>
        <v>0</v>
      </c>
      <c r="Y9" s="32"/>
      <c r="Z9" s="19">
        <f>Y9*VLOOKUP($D9, 'Emission Factors'!$A$3:$E$44, 5, FALSE)</f>
        <v>0</v>
      </c>
      <c r="AA9" s="32"/>
      <c r="AB9" s="19">
        <f>AA9*VLOOKUP($D9, 'Emission Factors'!$A$3:$E$44, 5, FALSE)</f>
        <v>0</v>
      </c>
      <c r="AC9" s="32"/>
      <c r="AD9" s="19">
        <f>AC9*VLOOKUP($D9, 'Emission Factors'!$A$3:$E$44, 5, FALSE)</f>
        <v>0</v>
      </c>
      <c r="AE9" s="32"/>
      <c r="AF9" s="19">
        <f>AE9*VLOOKUP($D9, 'Emission Factors'!$A$3:$E$44, 5, FALSE)</f>
        <v>0</v>
      </c>
      <c r="AG9" s="32"/>
      <c r="AH9" s="32"/>
      <c r="AI9" s="32"/>
      <c r="AJ9" s="32"/>
    </row>
    <row r="10" spans="1:36" s="2" customFormat="1" ht="30" x14ac:dyDescent="0.25">
      <c r="A10" s="102"/>
      <c r="B10" s="119"/>
      <c r="C10" s="115"/>
      <c r="D10" s="117"/>
      <c r="E10" s="7" t="s">
        <v>53</v>
      </c>
      <c r="F10" s="7" t="s">
        <v>54</v>
      </c>
      <c r="G10" s="8" t="s">
        <v>48</v>
      </c>
      <c r="H10" s="28" t="s">
        <v>55</v>
      </c>
      <c r="I10" s="32"/>
      <c r="J10" s="19">
        <f>I10*VLOOKUP($D9, 'Emission Factors'!$A$3:$E$44, 5, FALSE)</f>
        <v>0</v>
      </c>
      <c r="K10" s="32"/>
      <c r="L10" s="19">
        <f>K10*VLOOKUP($D9, 'Emission Factors'!$A$3:$E$44, 5, FALSE)</f>
        <v>0</v>
      </c>
      <c r="M10" s="32"/>
      <c r="N10" s="19">
        <f>M10*VLOOKUP($D9, 'Emission Factors'!$A$3:$E$44, 5, FALSE)</f>
        <v>0</v>
      </c>
      <c r="O10" s="32"/>
      <c r="P10" s="19">
        <f>O10*VLOOKUP($D9, 'Emission Factors'!$A$3:$E$44, 5, FALSE)</f>
        <v>0</v>
      </c>
      <c r="Q10" s="32"/>
      <c r="R10" s="19">
        <f>Q10*VLOOKUP($D9, 'Emission Factors'!$A$3:$E$44, 5, FALSE)</f>
        <v>0</v>
      </c>
      <c r="S10" s="32"/>
      <c r="T10" s="19">
        <f>S10*VLOOKUP($D9, 'Emission Factors'!$A$3:$E$44, 5, FALSE)</f>
        <v>0</v>
      </c>
      <c r="U10" s="32"/>
      <c r="V10" s="19">
        <f>U10*VLOOKUP($D9, 'Emission Factors'!$A$3:$E$44, 5, FALSE)</f>
        <v>0</v>
      </c>
      <c r="W10" s="32"/>
      <c r="X10" s="19">
        <f>W10*VLOOKUP($D9, 'Emission Factors'!$A$3:$E$44, 5, FALSE)</f>
        <v>0</v>
      </c>
      <c r="Y10" s="32"/>
      <c r="Z10" s="19">
        <f>Y10*VLOOKUP($D9, 'Emission Factors'!$A$3:$E$44, 5, FALSE)</f>
        <v>0</v>
      </c>
      <c r="AA10" s="32"/>
      <c r="AB10" s="19">
        <f>AA10*VLOOKUP($D9, 'Emission Factors'!$A$3:$E$44, 5, FALSE)</f>
        <v>0</v>
      </c>
      <c r="AC10" s="32"/>
      <c r="AD10" s="19">
        <f>AC10*VLOOKUP($D9, 'Emission Factors'!$A$3:$E$44, 5, FALSE)</f>
        <v>0</v>
      </c>
      <c r="AE10" s="32"/>
      <c r="AF10" s="19">
        <f>AE10*VLOOKUP($D9, 'Emission Factors'!$A$3:$E$44, 5, FALSE)</f>
        <v>0</v>
      </c>
      <c r="AG10" s="32"/>
      <c r="AH10" s="32"/>
      <c r="AI10" s="32"/>
      <c r="AJ10" s="32"/>
    </row>
    <row r="11" spans="1:36" s="2" customFormat="1" ht="30" x14ac:dyDescent="0.25">
      <c r="A11" s="103"/>
      <c r="B11" s="119"/>
      <c r="C11" s="29">
        <v>1.4</v>
      </c>
      <c r="D11" s="27" t="s">
        <v>56</v>
      </c>
      <c r="E11" s="7" t="s">
        <v>57</v>
      </c>
      <c r="F11" s="7" t="s">
        <v>56</v>
      </c>
      <c r="G11" s="8" t="s">
        <v>15</v>
      </c>
      <c r="H11" s="28" t="s">
        <v>58</v>
      </c>
      <c r="I11" s="32"/>
      <c r="J11" s="19">
        <f>I11</f>
        <v>0</v>
      </c>
      <c r="K11" s="32"/>
      <c r="L11" s="19">
        <f>K11</f>
        <v>0</v>
      </c>
      <c r="M11" s="32"/>
      <c r="N11" s="19">
        <f>M11</f>
        <v>0</v>
      </c>
      <c r="O11" s="32"/>
      <c r="P11" s="19">
        <f>O11</f>
        <v>0</v>
      </c>
      <c r="Q11" s="32"/>
      <c r="R11" s="19">
        <f>Q11</f>
        <v>0</v>
      </c>
      <c r="S11" s="32"/>
      <c r="T11" s="19">
        <f>S11</f>
        <v>0</v>
      </c>
      <c r="U11" s="32"/>
      <c r="V11" s="19">
        <f>U11</f>
        <v>0</v>
      </c>
      <c r="W11" s="32"/>
      <c r="X11" s="19">
        <f>W11</f>
        <v>0</v>
      </c>
      <c r="Y11" s="32"/>
      <c r="Z11" s="19">
        <f>Y11</f>
        <v>0</v>
      </c>
      <c r="AA11" s="32"/>
      <c r="AB11" s="19">
        <f>AA11</f>
        <v>0</v>
      </c>
      <c r="AC11" s="32"/>
      <c r="AD11" s="19">
        <f>AC11</f>
        <v>0</v>
      </c>
      <c r="AE11" s="32"/>
      <c r="AF11" s="19">
        <f>AE11</f>
        <v>0</v>
      </c>
      <c r="AG11" s="32"/>
      <c r="AH11" s="32"/>
      <c r="AI11" s="32"/>
      <c r="AJ11" s="32"/>
    </row>
    <row r="12" spans="1:36" s="2" customFormat="1" ht="15" customHeight="1" x14ac:dyDescent="0.25">
      <c r="A12" s="118">
        <v>2</v>
      </c>
      <c r="B12" s="119" t="s">
        <v>59</v>
      </c>
      <c r="C12" s="107">
        <v>2.1</v>
      </c>
      <c r="D12" s="108" t="s">
        <v>17</v>
      </c>
      <c r="E12" s="7" t="s">
        <v>60</v>
      </c>
      <c r="F12" s="7" t="s">
        <v>35</v>
      </c>
      <c r="G12" s="15" t="s">
        <v>36</v>
      </c>
      <c r="H12" s="28" t="s">
        <v>61</v>
      </c>
      <c r="I12" s="32"/>
      <c r="J12" s="19">
        <f>I12*VLOOKUP($F12, 'Emission Factors'!$A$3:$E$44, 5, FALSE)*1000</f>
        <v>0</v>
      </c>
      <c r="K12" s="32"/>
      <c r="L12" s="19">
        <f>K12*VLOOKUP($F12, 'Emission Factors'!$A$3:$E$44, 5, FALSE)</f>
        <v>0</v>
      </c>
      <c r="M12" s="32"/>
      <c r="N12" s="19">
        <f>M12*VLOOKUP($F12, 'Emission Factors'!$A$3:$E$44, 5, FALSE)</f>
        <v>0</v>
      </c>
      <c r="O12" s="32"/>
      <c r="P12" s="19">
        <f>O12*VLOOKUP($F12, 'Emission Factors'!$A$3:$E$44, 5, FALSE)</f>
        <v>0</v>
      </c>
      <c r="Q12" s="32"/>
      <c r="R12" s="19">
        <f>Q12*VLOOKUP($F12, 'Emission Factors'!$A$3:$E$44, 5, FALSE)</f>
        <v>0</v>
      </c>
      <c r="S12" s="32"/>
      <c r="T12" s="19">
        <f>S12*VLOOKUP($F12, 'Emission Factors'!$A$3:$E$44, 5, FALSE)</f>
        <v>0</v>
      </c>
      <c r="U12" s="32"/>
      <c r="V12" s="19">
        <f>U12*VLOOKUP($F12, 'Emission Factors'!$A$3:$E$44, 5, FALSE)</f>
        <v>0</v>
      </c>
      <c r="W12" s="32"/>
      <c r="X12" s="19">
        <f>W12*VLOOKUP($F12, 'Emission Factors'!$A$3:$E$44, 5, FALSE)</f>
        <v>0</v>
      </c>
      <c r="Y12" s="32"/>
      <c r="Z12" s="19">
        <f>Y12*VLOOKUP($F12, 'Emission Factors'!$A$3:$E$44, 5, FALSE)</f>
        <v>0</v>
      </c>
      <c r="AA12" s="32"/>
      <c r="AB12" s="19">
        <f>AA12*VLOOKUP($F12, 'Emission Factors'!$A$3:$E$44, 5, FALSE)</f>
        <v>0</v>
      </c>
      <c r="AC12" s="32"/>
      <c r="AD12" s="19">
        <f>AC12*VLOOKUP($F12, 'Emission Factors'!$A$3:$E$44, 5, FALSE)</f>
        <v>0</v>
      </c>
      <c r="AE12" s="32"/>
      <c r="AF12" s="19">
        <f>AE12*VLOOKUP($F12, 'Emission Factors'!$A$3:$E$44, 5, FALSE)</f>
        <v>0</v>
      </c>
      <c r="AG12" s="32"/>
      <c r="AH12" s="32"/>
      <c r="AI12" s="32"/>
      <c r="AJ12" s="32"/>
    </row>
    <row r="13" spans="1:36" s="2" customFormat="1" ht="15" customHeight="1" x14ac:dyDescent="0.25">
      <c r="A13" s="118"/>
      <c r="B13" s="119"/>
      <c r="C13" s="107"/>
      <c r="D13" s="108"/>
      <c r="E13" s="7" t="s">
        <v>62</v>
      </c>
      <c r="F13" s="7" t="s">
        <v>39</v>
      </c>
      <c r="G13" s="15" t="s">
        <v>36</v>
      </c>
      <c r="H13" s="28" t="s">
        <v>63</v>
      </c>
      <c r="I13" s="32"/>
      <c r="J13" s="40">
        <f>I13*VLOOKUP($F13, 'Emission Factors'!$A$3:$E$44, 5, FALSE)</f>
        <v>0</v>
      </c>
      <c r="K13" s="32"/>
      <c r="L13" s="19">
        <f>K13*VLOOKUP($F13, 'Emission Factors'!$A$3:$E$44, 5, FALSE)*1000</f>
        <v>0</v>
      </c>
      <c r="M13" s="32"/>
      <c r="N13" s="19">
        <f>M13*VLOOKUP($F13, 'Emission Factors'!$A$3:$E$44, 5, FALSE)*1000</f>
        <v>0</v>
      </c>
      <c r="O13" s="32"/>
      <c r="P13" s="19">
        <f>O13*VLOOKUP($F13, 'Emission Factors'!$A$3:$E$44, 5, FALSE)*1000</f>
        <v>0</v>
      </c>
      <c r="Q13" s="32"/>
      <c r="R13" s="19">
        <f>Q13*VLOOKUP($F13, 'Emission Factors'!$A$3:$E$44, 5, FALSE)*1000</f>
        <v>0</v>
      </c>
      <c r="S13" s="32"/>
      <c r="T13" s="19">
        <f>S13*VLOOKUP($F13, 'Emission Factors'!$A$3:$E$44, 5, FALSE)*1000</f>
        <v>0</v>
      </c>
      <c r="U13" s="32"/>
      <c r="V13" s="19">
        <f>U13*VLOOKUP($F13, 'Emission Factors'!$A$3:$E$44, 5, FALSE)*1000</f>
        <v>0</v>
      </c>
      <c r="W13" s="32"/>
      <c r="X13" s="19">
        <f>W13*VLOOKUP($F13, 'Emission Factors'!$A$3:$E$44, 5, FALSE)*1000</f>
        <v>0</v>
      </c>
      <c r="Y13" s="32"/>
      <c r="Z13" s="19">
        <f>Y13*VLOOKUP($F13, 'Emission Factors'!$A$3:$E$44, 5, FALSE)*1000</f>
        <v>0</v>
      </c>
      <c r="AA13" s="32"/>
      <c r="AB13" s="19">
        <f>AA13*VLOOKUP($F13, 'Emission Factors'!$A$3:$E$44, 5, FALSE)*1000</f>
        <v>0</v>
      </c>
      <c r="AC13" s="32"/>
      <c r="AD13" s="19">
        <f>AC13*VLOOKUP($F13, 'Emission Factors'!$A$3:$E$44, 5, FALSE)*1000</f>
        <v>0</v>
      </c>
      <c r="AE13" s="32"/>
      <c r="AF13" s="19">
        <f>AE13*VLOOKUP($F13, 'Emission Factors'!$A$3:$E$44, 5, FALSE)*1000</f>
        <v>0</v>
      </c>
      <c r="AG13" s="32"/>
      <c r="AH13" s="32"/>
      <c r="AI13" s="32"/>
      <c r="AJ13" s="32"/>
    </row>
    <row r="14" spans="1:36" s="2" customFormat="1" ht="15" customHeight="1" x14ac:dyDescent="0.25">
      <c r="A14" s="118"/>
      <c r="B14" s="119"/>
      <c r="C14" s="107"/>
      <c r="D14" s="108"/>
      <c r="E14" s="7" t="s">
        <v>64</v>
      </c>
      <c r="F14" s="7" t="s">
        <v>41</v>
      </c>
      <c r="G14" s="15" t="s">
        <v>36</v>
      </c>
      <c r="H14" s="28" t="s">
        <v>65</v>
      </c>
      <c r="I14" s="32"/>
      <c r="J14" s="19">
        <f>I14*VLOOKUP($F14, 'Emission Factors'!$A$3:$E$44, 5, FALSE)</f>
        <v>0</v>
      </c>
      <c r="K14" s="32"/>
      <c r="L14" s="19">
        <f>K14*VLOOKUP($F14, 'Emission Factors'!$A$3:$E$44, 5, FALSE)</f>
        <v>0</v>
      </c>
      <c r="M14" s="32"/>
      <c r="N14" s="19">
        <f>M14*VLOOKUP($F14, 'Emission Factors'!$A$3:$E$44, 5, FALSE)</f>
        <v>0</v>
      </c>
      <c r="O14" s="32"/>
      <c r="P14" s="19">
        <f>O14*VLOOKUP($F14, 'Emission Factors'!$A$3:$E$44, 5, FALSE)</f>
        <v>0</v>
      </c>
      <c r="Q14" s="32"/>
      <c r="R14" s="19">
        <f>Q14*VLOOKUP($F14, 'Emission Factors'!$A$3:$E$44, 5, FALSE)</f>
        <v>0</v>
      </c>
      <c r="S14" s="32"/>
      <c r="T14" s="19">
        <f>S14*VLOOKUP($F14, 'Emission Factors'!$A$3:$E$44, 5, FALSE)</f>
        <v>0</v>
      </c>
      <c r="U14" s="32"/>
      <c r="V14" s="19">
        <f>U14*VLOOKUP($F14, 'Emission Factors'!$A$3:$E$44, 5, FALSE)</f>
        <v>0</v>
      </c>
      <c r="W14" s="32"/>
      <c r="X14" s="19">
        <f>W14*VLOOKUP($F14, 'Emission Factors'!$A$3:$E$44, 5, FALSE)</f>
        <v>0</v>
      </c>
      <c r="Y14" s="32"/>
      <c r="Z14" s="19">
        <f>Y14*VLOOKUP($F14, 'Emission Factors'!$A$3:$E$44, 5, FALSE)</f>
        <v>0</v>
      </c>
      <c r="AA14" s="32"/>
      <c r="AB14" s="19">
        <f>AA14*VLOOKUP($F14, 'Emission Factors'!$A$3:$E$44, 5, FALSE)</f>
        <v>0</v>
      </c>
      <c r="AC14" s="32"/>
      <c r="AD14" s="19">
        <f>AC14*VLOOKUP($F14, 'Emission Factors'!$A$3:$E$44, 5, FALSE)</f>
        <v>0</v>
      </c>
      <c r="AE14" s="32"/>
      <c r="AF14" s="19">
        <f>AE14*VLOOKUP($F14, 'Emission Factors'!$A$3:$E$44, 5, FALSE)</f>
        <v>0</v>
      </c>
      <c r="AG14" s="32"/>
      <c r="AH14" s="32"/>
      <c r="AI14" s="32"/>
      <c r="AJ14" s="32"/>
    </row>
    <row r="15" spans="1:36" s="2" customFormat="1" ht="105" x14ac:dyDescent="0.25">
      <c r="A15" s="118"/>
      <c r="B15" s="119"/>
      <c r="C15" s="107"/>
      <c r="D15" s="108"/>
      <c r="E15" s="7" t="s">
        <v>66</v>
      </c>
      <c r="F15" s="7" t="s">
        <v>67</v>
      </c>
      <c r="G15" s="15" t="s">
        <v>68</v>
      </c>
      <c r="H15" s="28" t="s">
        <v>69</v>
      </c>
      <c r="I15" s="32"/>
      <c r="J15" s="19">
        <f>I15*VLOOKUP($F15, 'Emission Factors'!$A$3:$E$44, 5, FALSE)*1000</f>
        <v>0</v>
      </c>
      <c r="K15" s="32"/>
      <c r="L15" s="19">
        <f>K15*VLOOKUP($F15, 'Emission Factors'!$A$3:$E$44, 5, FALSE)*1000</f>
        <v>0</v>
      </c>
      <c r="M15" s="32"/>
      <c r="N15" s="19">
        <f>M15*VLOOKUP($F15, 'Emission Factors'!$A$3:$E$44, 5, FALSE)*1000</f>
        <v>0</v>
      </c>
      <c r="O15" s="32"/>
      <c r="P15" s="19">
        <f>O15*VLOOKUP($F15, 'Emission Factors'!$A$3:$E$44, 5, FALSE)*1000</f>
        <v>0</v>
      </c>
      <c r="Q15" s="32"/>
      <c r="R15" s="19">
        <f>Q15*VLOOKUP($F15, 'Emission Factors'!$A$3:$E$44, 5, FALSE)*1000</f>
        <v>0</v>
      </c>
      <c r="S15" s="32"/>
      <c r="T15" s="19">
        <f>S15*VLOOKUP($F15, 'Emission Factors'!$A$3:$E$44, 5, FALSE)*1000</f>
        <v>0</v>
      </c>
      <c r="U15" s="32"/>
      <c r="V15" s="19">
        <f>U15*VLOOKUP($F15, 'Emission Factors'!$A$3:$E$44, 5, FALSE)*1000</f>
        <v>0</v>
      </c>
      <c r="W15" s="32"/>
      <c r="X15" s="19">
        <f>W15*VLOOKUP($F15, 'Emission Factors'!$A$3:$E$44, 5, FALSE)*1000</f>
        <v>0</v>
      </c>
      <c r="Y15" s="32"/>
      <c r="Z15" s="19">
        <f>Y15*VLOOKUP($F15, 'Emission Factors'!$A$3:$E$44, 5, FALSE)*1000</f>
        <v>0</v>
      </c>
      <c r="AA15" s="32"/>
      <c r="AB15" s="19">
        <f>AA15*VLOOKUP($F15, 'Emission Factors'!$A$3:$E$44, 5, FALSE)*1000</f>
        <v>0</v>
      </c>
      <c r="AC15" s="32"/>
      <c r="AD15" s="19">
        <f>AC15*VLOOKUP($F15, 'Emission Factors'!$A$3:$E$44, 5, FALSE)*1000</f>
        <v>0</v>
      </c>
      <c r="AE15" s="32"/>
      <c r="AF15" s="19">
        <f>AE15*VLOOKUP($F15, 'Emission Factors'!$A$3:$E$44, 5, FALSE)*1000</f>
        <v>0</v>
      </c>
      <c r="AG15" s="32"/>
      <c r="AH15" s="32"/>
      <c r="AI15" s="32"/>
      <c r="AJ15" s="32"/>
    </row>
    <row r="16" spans="1:36" s="2" customFormat="1" ht="30" x14ac:dyDescent="0.25">
      <c r="A16" s="118"/>
      <c r="B16" s="119"/>
      <c r="C16" s="29">
        <v>2.2000000000000002</v>
      </c>
      <c r="D16" s="27" t="s">
        <v>56</v>
      </c>
      <c r="E16" s="7" t="s">
        <v>70</v>
      </c>
      <c r="F16" s="7" t="s">
        <v>56</v>
      </c>
      <c r="G16" s="15" t="s">
        <v>15</v>
      </c>
      <c r="H16" s="28" t="s">
        <v>58</v>
      </c>
      <c r="I16" s="32"/>
      <c r="J16" s="19">
        <f>I16</f>
        <v>0</v>
      </c>
      <c r="K16" s="32"/>
      <c r="L16" s="19">
        <f>K16</f>
        <v>0</v>
      </c>
      <c r="M16" s="32"/>
      <c r="N16" s="19">
        <f>M16</f>
        <v>0</v>
      </c>
      <c r="O16" s="32"/>
      <c r="P16" s="19">
        <f>O16</f>
        <v>0</v>
      </c>
      <c r="Q16" s="32"/>
      <c r="R16" s="19">
        <f>Q16</f>
        <v>0</v>
      </c>
      <c r="S16" s="32"/>
      <c r="T16" s="19">
        <f>S16</f>
        <v>0</v>
      </c>
      <c r="U16" s="32"/>
      <c r="V16" s="19">
        <f>U16</f>
        <v>0</v>
      </c>
      <c r="W16" s="32"/>
      <c r="X16" s="19">
        <f>W16</f>
        <v>0</v>
      </c>
      <c r="Y16" s="32"/>
      <c r="Z16" s="19">
        <f>Y16</f>
        <v>0</v>
      </c>
      <c r="AA16" s="32"/>
      <c r="AB16" s="19">
        <f>AA16</f>
        <v>0</v>
      </c>
      <c r="AC16" s="32"/>
      <c r="AD16" s="19">
        <f>AC16</f>
        <v>0</v>
      </c>
      <c r="AE16" s="32"/>
      <c r="AF16" s="19">
        <f>AE16</f>
        <v>0</v>
      </c>
      <c r="AG16" s="32"/>
      <c r="AH16" s="32"/>
      <c r="AI16" s="32"/>
      <c r="AJ16" s="32"/>
    </row>
    <row r="17" spans="1:36" s="2" customFormat="1" ht="15" customHeight="1" x14ac:dyDescent="0.25">
      <c r="A17" s="118">
        <v>3</v>
      </c>
      <c r="B17" s="119" t="s">
        <v>71</v>
      </c>
      <c r="C17" s="107">
        <v>3.1</v>
      </c>
      <c r="D17" s="108" t="s">
        <v>71</v>
      </c>
      <c r="E17" s="7" t="s">
        <v>72</v>
      </c>
      <c r="F17" s="7" t="s">
        <v>73</v>
      </c>
      <c r="G17" s="15" t="s">
        <v>36</v>
      </c>
      <c r="H17" s="28" t="s">
        <v>74</v>
      </c>
      <c r="I17" s="32"/>
      <c r="J17" s="20"/>
      <c r="K17" s="32"/>
      <c r="L17" s="20"/>
      <c r="M17" s="32"/>
      <c r="N17" s="20"/>
      <c r="O17" s="32"/>
      <c r="P17" s="20"/>
      <c r="Q17" s="32"/>
      <c r="R17" s="20"/>
      <c r="S17" s="32"/>
      <c r="T17" s="20"/>
      <c r="U17" s="32"/>
      <c r="V17" s="20"/>
      <c r="W17" s="32"/>
      <c r="X17" s="20"/>
      <c r="Y17" s="32"/>
      <c r="Z17" s="20"/>
      <c r="AA17" s="32"/>
      <c r="AB17" s="20"/>
      <c r="AC17" s="32"/>
      <c r="AD17" s="20"/>
      <c r="AE17" s="32"/>
      <c r="AF17" s="20"/>
      <c r="AG17" s="32"/>
      <c r="AH17" s="32"/>
      <c r="AI17" s="32"/>
      <c r="AJ17" s="32"/>
    </row>
    <row r="18" spans="1:36" s="2" customFormat="1" ht="15" customHeight="1" x14ac:dyDescent="0.25">
      <c r="A18" s="118"/>
      <c r="B18" s="119"/>
      <c r="C18" s="107"/>
      <c r="D18" s="108"/>
      <c r="E18" s="7" t="s">
        <v>75</v>
      </c>
      <c r="F18" s="7" t="s">
        <v>76</v>
      </c>
      <c r="G18" s="15" t="s">
        <v>36</v>
      </c>
      <c r="H18" s="28" t="s">
        <v>77</v>
      </c>
      <c r="I18" s="32"/>
      <c r="J18" s="20"/>
      <c r="K18" s="32"/>
      <c r="L18" s="20"/>
      <c r="M18" s="32"/>
      <c r="N18" s="20"/>
      <c r="O18" s="32"/>
      <c r="P18" s="20"/>
      <c r="Q18" s="32"/>
      <c r="R18" s="20"/>
      <c r="S18" s="32"/>
      <c r="T18" s="20"/>
      <c r="U18" s="32"/>
      <c r="V18" s="20"/>
      <c r="W18" s="32"/>
      <c r="X18" s="20"/>
      <c r="Y18" s="32"/>
      <c r="Z18" s="20"/>
      <c r="AA18" s="32"/>
      <c r="AB18" s="20"/>
      <c r="AC18" s="32"/>
      <c r="AD18" s="20"/>
      <c r="AE18" s="32"/>
      <c r="AF18" s="20"/>
      <c r="AG18" s="32"/>
      <c r="AH18" s="32"/>
      <c r="AI18" s="32"/>
      <c r="AJ18" s="32"/>
    </row>
    <row r="19" spans="1:36" s="2" customFormat="1" ht="15" customHeight="1" x14ac:dyDescent="0.25">
      <c r="A19" s="118">
        <v>4</v>
      </c>
      <c r="B19" s="119" t="s">
        <v>78</v>
      </c>
      <c r="C19" s="107">
        <v>4.0999999999999996</v>
      </c>
      <c r="D19" s="108" t="s">
        <v>79</v>
      </c>
      <c r="E19" s="7" t="s">
        <v>80</v>
      </c>
      <c r="F19" s="7" t="s">
        <v>81</v>
      </c>
      <c r="G19" s="15" t="s">
        <v>82</v>
      </c>
      <c r="H19" s="98" t="s">
        <v>83</v>
      </c>
      <c r="I19" s="32"/>
      <c r="J19" s="20"/>
      <c r="K19" s="32"/>
      <c r="L19" s="20"/>
      <c r="M19" s="32"/>
      <c r="N19" s="20"/>
      <c r="O19" s="32"/>
      <c r="P19" s="20"/>
      <c r="Q19" s="32"/>
      <c r="R19" s="20"/>
      <c r="S19" s="32"/>
      <c r="T19" s="20"/>
      <c r="U19" s="32"/>
      <c r="V19" s="20"/>
      <c r="W19" s="32"/>
      <c r="X19" s="20"/>
      <c r="Y19" s="32"/>
      <c r="Z19" s="20"/>
      <c r="AA19" s="32"/>
      <c r="AB19" s="20"/>
      <c r="AC19" s="32"/>
      <c r="AD19" s="20"/>
      <c r="AE19" s="32"/>
      <c r="AF19" s="20"/>
      <c r="AG19" s="32"/>
      <c r="AH19" s="32"/>
      <c r="AI19" s="32"/>
      <c r="AJ19" s="32"/>
    </row>
    <row r="20" spans="1:36" s="2" customFormat="1" ht="15" customHeight="1" x14ac:dyDescent="0.25">
      <c r="A20" s="118"/>
      <c r="B20" s="119"/>
      <c r="C20" s="107"/>
      <c r="D20" s="108"/>
      <c r="E20" s="7" t="s">
        <v>84</v>
      </c>
      <c r="F20" s="7" t="s">
        <v>20</v>
      </c>
      <c r="G20" s="15" t="s">
        <v>82</v>
      </c>
      <c r="H20" s="98"/>
      <c r="I20" s="32"/>
      <c r="J20" s="20"/>
      <c r="K20" s="32"/>
      <c r="L20" s="20"/>
      <c r="M20" s="32"/>
      <c r="N20" s="20"/>
      <c r="O20" s="32"/>
      <c r="P20" s="20"/>
      <c r="Q20" s="32"/>
      <c r="R20" s="20"/>
      <c r="S20" s="32"/>
      <c r="T20" s="20"/>
      <c r="U20" s="32"/>
      <c r="V20" s="20"/>
      <c r="W20" s="32"/>
      <c r="X20" s="20"/>
      <c r="Y20" s="32"/>
      <c r="Z20" s="20"/>
      <c r="AA20" s="32"/>
      <c r="AB20" s="20"/>
      <c r="AC20" s="32"/>
      <c r="AD20" s="20"/>
      <c r="AE20" s="32"/>
      <c r="AF20" s="20"/>
      <c r="AG20" s="32"/>
      <c r="AH20" s="32"/>
      <c r="AI20" s="32"/>
      <c r="AJ20" s="32"/>
    </row>
    <row r="21" spans="1:36" s="2" customFormat="1" ht="15" customHeight="1" x14ac:dyDescent="0.25">
      <c r="A21" s="118"/>
      <c r="B21" s="119"/>
      <c r="C21" s="107"/>
      <c r="D21" s="108"/>
      <c r="E21" s="7" t="s">
        <v>85</v>
      </c>
      <c r="F21" s="7" t="s">
        <v>86</v>
      </c>
      <c r="G21" s="15" t="s">
        <v>82</v>
      </c>
      <c r="H21" s="98"/>
      <c r="I21" s="32"/>
      <c r="J21" s="20"/>
      <c r="K21" s="32"/>
      <c r="L21" s="20"/>
      <c r="M21" s="32"/>
      <c r="N21" s="20"/>
      <c r="O21" s="32"/>
      <c r="P21" s="20"/>
      <c r="Q21" s="32"/>
      <c r="R21" s="20"/>
      <c r="S21" s="32"/>
      <c r="T21" s="20"/>
      <c r="U21" s="32"/>
      <c r="V21" s="20"/>
      <c r="W21" s="32"/>
      <c r="X21" s="20"/>
      <c r="Y21" s="32"/>
      <c r="Z21" s="20"/>
      <c r="AA21" s="32"/>
      <c r="AB21" s="20"/>
      <c r="AC21" s="32"/>
      <c r="AD21" s="20"/>
      <c r="AE21" s="32"/>
      <c r="AF21" s="20"/>
      <c r="AG21" s="32"/>
      <c r="AH21" s="32"/>
      <c r="AI21" s="32"/>
      <c r="AJ21" s="32"/>
    </row>
    <row r="22" spans="1:36" s="2" customFormat="1" ht="15" customHeight="1" x14ac:dyDescent="0.25">
      <c r="A22" s="118"/>
      <c r="B22" s="119"/>
      <c r="C22" s="107"/>
      <c r="D22" s="108"/>
      <c r="E22" s="7" t="s">
        <v>87</v>
      </c>
      <c r="F22" s="7" t="s">
        <v>88</v>
      </c>
      <c r="G22" s="15" t="s">
        <v>82</v>
      </c>
      <c r="H22" s="4" t="s">
        <v>89</v>
      </c>
      <c r="I22" s="32"/>
      <c r="J22" s="20"/>
      <c r="K22" s="32"/>
      <c r="L22" s="20"/>
      <c r="M22" s="32"/>
      <c r="N22" s="20"/>
      <c r="O22" s="32"/>
      <c r="P22" s="20"/>
      <c r="Q22" s="32"/>
      <c r="R22" s="20"/>
      <c r="S22" s="32"/>
      <c r="T22" s="20"/>
      <c r="U22" s="32"/>
      <c r="V22" s="20"/>
      <c r="W22" s="32"/>
      <c r="X22" s="20"/>
      <c r="Y22" s="32"/>
      <c r="Z22" s="20"/>
      <c r="AA22" s="32"/>
      <c r="AB22" s="20"/>
      <c r="AC22" s="32"/>
      <c r="AD22" s="20"/>
      <c r="AE22" s="32"/>
      <c r="AF22" s="20"/>
      <c r="AG22" s="32"/>
      <c r="AH22" s="32"/>
      <c r="AI22" s="32"/>
      <c r="AJ22" s="32"/>
    </row>
    <row r="23" spans="1:36" s="2" customFormat="1" ht="15" customHeight="1" x14ac:dyDescent="0.25">
      <c r="A23" s="118"/>
      <c r="B23" s="119"/>
      <c r="C23" s="107"/>
      <c r="D23" s="108"/>
      <c r="E23" s="7" t="s">
        <v>90</v>
      </c>
      <c r="F23" s="7" t="s">
        <v>91</v>
      </c>
      <c r="G23" s="15" t="s">
        <v>82</v>
      </c>
      <c r="H23" s="4" t="s">
        <v>92</v>
      </c>
      <c r="I23" s="32"/>
      <c r="J23" s="20"/>
      <c r="K23" s="32"/>
      <c r="L23" s="20"/>
      <c r="M23" s="32"/>
      <c r="N23" s="20"/>
      <c r="O23" s="32"/>
      <c r="P23" s="20"/>
      <c r="Q23" s="32"/>
      <c r="R23" s="20"/>
      <c r="S23" s="32"/>
      <c r="T23" s="20"/>
      <c r="U23" s="32"/>
      <c r="V23" s="20"/>
      <c r="W23" s="32"/>
      <c r="X23" s="20"/>
      <c r="Y23" s="32"/>
      <c r="Z23" s="20"/>
      <c r="AA23" s="32"/>
      <c r="AB23" s="20"/>
      <c r="AC23" s="32"/>
      <c r="AD23" s="20"/>
      <c r="AE23" s="32"/>
      <c r="AF23" s="20"/>
      <c r="AG23" s="32"/>
      <c r="AH23" s="32"/>
      <c r="AI23" s="32"/>
      <c r="AJ23" s="32"/>
    </row>
    <row r="24" spans="1:36" s="2" customFormat="1" ht="15.75" x14ac:dyDescent="0.25">
      <c r="A24" s="118"/>
      <c r="B24" s="119"/>
      <c r="C24" s="29">
        <v>4.2</v>
      </c>
      <c r="D24" s="27" t="s">
        <v>93</v>
      </c>
      <c r="E24" s="7" t="s">
        <v>94</v>
      </c>
      <c r="F24" s="7" t="s">
        <v>93</v>
      </c>
      <c r="G24" s="15" t="s">
        <v>82</v>
      </c>
      <c r="H24" s="4" t="s">
        <v>95</v>
      </c>
      <c r="I24" s="32"/>
      <c r="J24" s="20"/>
      <c r="K24" s="32"/>
      <c r="L24" s="20"/>
      <c r="M24" s="32"/>
      <c r="N24" s="20"/>
      <c r="O24" s="32"/>
      <c r="P24" s="20"/>
      <c r="Q24" s="32"/>
      <c r="R24" s="20"/>
      <c r="S24" s="32"/>
      <c r="T24" s="20"/>
      <c r="U24" s="32"/>
      <c r="V24" s="20"/>
      <c r="W24" s="32"/>
      <c r="X24" s="20"/>
      <c r="Y24" s="32"/>
      <c r="Z24" s="20"/>
      <c r="AA24" s="32"/>
      <c r="AB24" s="20"/>
      <c r="AC24" s="32"/>
      <c r="AD24" s="20"/>
      <c r="AE24" s="32"/>
      <c r="AF24" s="20"/>
      <c r="AG24" s="32"/>
      <c r="AH24" s="32"/>
      <c r="AI24" s="32"/>
      <c r="AJ24" s="32"/>
    </row>
    <row r="25" spans="1:36" s="2" customFormat="1" ht="15.75" x14ac:dyDescent="0.25">
      <c r="A25" s="118"/>
      <c r="B25" s="119"/>
      <c r="C25" s="29">
        <v>4.3</v>
      </c>
      <c r="D25" s="27" t="s">
        <v>96</v>
      </c>
      <c r="E25" s="7" t="s">
        <v>97</v>
      </c>
      <c r="F25" s="7" t="s">
        <v>96</v>
      </c>
      <c r="G25" s="15" t="s">
        <v>82</v>
      </c>
      <c r="H25" s="4" t="s">
        <v>98</v>
      </c>
      <c r="I25" s="32"/>
      <c r="J25" s="20"/>
      <c r="K25" s="32"/>
      <c r="L25" s="20"/>
      <c r="M25" s="32"/>
      <c r="N25" s="20"/>
      <c r="O25" s="32"/>
      <c r="P25" s="20"/>
      <c r="Q25" s="32"/>
      <c r="R25" s="20"/>
      <c r="S25" s="32"/>
      <c r="T25" s="20"/>
      <c r="U25" s="32"/>
      <c r="V25" s="20"/>
      <c r="W25" s="32"/>
      <c r="X25" s="20"/>
      <c r="Y25" s="32"/>
      <c r="Z25" s="20"/>
      <c r="AA25" s="32"/>
      <c r="AB25" s="20"/>
      <c r="AC25" s="32"/>
      <c r="AD25" s="20"/>
      <c r="AE25" s="32"/>
      <c r="AF25" s="20"/>
      <c r="AG25" s="32"/>
      <c r="AH25" s="32"/>
      <c r="AI25" s="32"/>
      <c r="AJ25" s="32"/>
    </row>
    <row r="26" spans="1:36" s="2" customFormat="1" ht="15" customHeight="1" x14ac:dyDescent="0.25">
      <c r="A26" s="118"/>
      <c r="B26" s="119"/>
      <c r="C26" s="107">
        <v>4.4000000000000004</v>
      </c>
      <c r="D26" s="108" t="s">
        <v>99</v>
      </c>
      <c r="E26" s="7" t="s">
        <v>100</v>
      </c>
      <c r="F26" s="7" t="s">
        <v>19</v>
      </c>
      <c r="G26" s="15" t="s">
        <v>82</v>
      </c>
      <c r="H26" s="98" t="s">
        <v>101</v>
      </c>
      <c r="I26" s="32"/>
      <c r="J26" s="20"/>
      <c r="K26" s="32"/>
      <c r="L26" s="20"/>
      <c r="M26" s="32"/>
      <c r="N26" s="20"/>
      <c r="O26" s="32"/>
      <c r="P26" s="20"/>
      <c r="Q26" s="32"/>
      <c r="R26" s="20"/>
      <c r="S26" s="32"/>
      <c r="T26" s="20"/>
      <c r="U26" s="32"/>
      <c r="V26" s="20"/>
      <c r="W26" s="32"/>
      <c r="X26" s="20"/>
      <c r="Y26" s="32"/>
      <c r="Z26" s="20"/>
      <c r="AA26" s="32"/>
      <c r="AB26" s="20"/>
      <c r="AC26" s="32"/>
      <c r="AD26" s="20"/>
      <c r="AE26" s="32"/>
      <c r="AF26" s="20"/>
      <c r="AG26" s="32"/>
      <c r="AH26" s="32"/>
      <c r="AI26" s="32"/>
      <c r="AJ26" s="32"/>
    </row>
    <row r="27" spans="1:36" s="2" customFormat="1" ht="15" customHeight="1" x14ac:dyDescent="0.25">
      <c r="A27" s="118"/>
      <c r="B27" s="119"/>
      <c r="C27" s="107"/>
      <c r="D27" s="108"/>
      <c r="E27" s="7" t="s">
        <v>102</v>
      </c>
      <c r="F27" s="7" t="s">
        <v>18</v>
      </c>
      <c r="G27" s="15" t="s">
        <v>82</v>
      </c>
      <c r="H27" s="98"/>
      <c r="I27" s="32"/>
      <c r="J27" s="20"/>
      <c r="K27" s="32"/>
      <c r="L27" s="20"/>
      <c r="M27" s="32"/>
      <c r="N27" s="20"/>
      <c r="O27" s="32"/>
      <c r="P27" s="20"/>
      <c r="Q27" s="32"/>
      <c r="R27" s="20"/>
      <c r="S27" s="32"/>
      <c r="T27" s="20"/>
      <c r="U27" s="32"/>
      <c r="V27" s="20"/>
      <c r="W27" s="32"/>
      <c r="X27" s="20"/>
      <c r="Y27" s="32"/>
      <c r="Z27" s="20"/>
      <c r="AA27" s="32"/>
      <c r="AB27" s="20"/>
      <c r="AC27" s="32"/>
      <c r="AD27" s="20"/>
      <c r="AE27" s="32"/>
      <c r="AF27" s="20"/>
      <c r="AG27" s="32"/>
      <c r="AH27" s="32"/>
      <c r="AI27" s="32"/>
      <c r="AJ27" s="32"/>
    </row>
    <row r="28" spans="1:36" s="2" customFormat="1" ht="15" customHeight="1" x14ac:dyDescent="0.25">
      <c r="A28" s="118"/>
      <c r="B28" s="119"/>
      <c r="C28" s="107"/>
      <c r="D28" s="108"/>
      <c r="E28" s="7" t="s">
        <v>103</v>
      </c>
      <c r="F28" s="7" t="s">
        <v>81</v>
      </c>
      <c r="G28" s="15" t="s">
        <v>82</v>
      </c>
      <c r="H28" s="98"/>
      <c r="I28" s="32"/>
      <c r="J28" s="20"/>
      <c r="K28" s="32">
        <v>246.65</v>
      </c>
      <c r="L28" s="20"/>
      <c r="M28" s="32">
        <v>88</v>
      </c>
      <c r="N28" s="20"/>
      <c r="O28" s="32">
        <v>21</v>
      </c>
      <c r="P28" s="20"/>
      <c r="Q28" s="32">
        <v>183</v>
      </c>
      <c r="R28" s="20"/>
      <c r="S28" s="32">
        <v>1318</v>
      </c>
      <c r="T28" s="20"/>
      <c r="U28" s="32"/>
      <c r="V28" s="20"/>
      <c r="W28" s="32"/>
      <c r="X28" s="20"/>
      <c r="Y28" s="32"/>
      <c r="Z28" s="20"/>
      <c r="AA28" s="32"/>
      <c r="AB28" s="20"/>
      <c r="AC28" s="32"/>
      <c r="AD28" s="20"/>
      <c r="AE28" s="32"/>
      <c r="AF28" s="20"/>
      <c r="AG28" s="32"/>
      <c r="AH28" s="32"/>
      <c r="AI28" s="32"/>
      <c r="AJ28" s="32"/>
    </row>
    <row r="29" spans="1:36" s="2" customFormat="1" ht="15" customHeight="1" x14ac:dyDescent="0.25">
      <c r="A29" s="118"/>
      <c r="B29" s="119"/>
      <c r="C29" s="107"/>
      <c r="D29" s="108"/>
      <c r="E29" s="7" t="s">
        <v>104</v>
      </c>
      <c r="F29" s="7" t="s">
        <v>20</v>
      </c>
      <c r="G29" s="15" t="s">
        <v>82</v>
      </c>
      <c r="H29" s="98"/>
      <c r="I29" s="32"/>
      <c r="J29" s="20"/>
      <c r="K29" s="32"/>
      <c r="L29" s="20"/>
      <c r="M29" s="32"/>
      <c r="N29" s="20"/>
      <c r="O29" s="32"/>
      <c r="P29" s="20"/>
      <c r="Q29" s="32"/>
      <c r="R29" s="20"/>
      <c r="S29" s="32"/>
      <c r="T29" s="20"/>
      <c r="U29" s="32"/>
      <c r="V29" s="20"/>
      <c r="W29" s="32"/>
      <c r="X29" s="20"/>
      <c r="Y29" s="32"/>
      <c r="Z29" s="20"/>
      <c r="AA29" s="32"/>
      <c r="AB29" s="20"/>
      <c r="AC29" s="32"/>
      <c r="AD29" s="20"/>
      <c r="AE29" s="32"/>
      <c r="AF29" s="20"/>
      <c r="AG29" s="32"/>
      <c r="AH29" s="32"/>
      <c r="AI29" s="32"/>
      <c r="AJ29" s="32"/>
    </row>
    <row r="30" spans="1:36" s="2" customFormat="1" ht="30" x14ac:dyDescent="0.25">
      <c r="A30" s="118"/>
      <c r="B30" s="119"/>
      <c r="C30" s="29">
        <v>4.5</v>
      </c>
      <c r="D30" s="27" t="s">
        <v>56</v>
      </c>
      <c r="E30" s="7" t="s">
        <v>105</v>
      </c>
      <c r="F30" s="7" t="s">
        <v>56</v>
      </c>
      <c r="G30" s="15" t="s">
        <v>15</v>
      </c>
      <c r="H30" s="4" t="s">
        <v>58</v>
      </c>
      <c r="I30" s="32"/>
      <c r="J30" s="19">
        <f>I30</f>
        <v>0</v>
      </c>
      <c r="K30" s="32"/>
      <c r="L30" s="19">
        <f>K30</f>
        <v>0</v>
      </c>
      <c r="M30" s="32"/>
      <c r="N30" s="19">
        <f>M30</f>
        <v>0</v>
      </c>
      <c r="O30" s="32"/>
      <c r="P30" s="19">
        <f>O30</f>
        <v>0</v>
      </c>
      <c r="Q30" s="32"/>
      <c r="R30" s="19">
        <f>Q30</f>
        <v>0</v>
      </c>
      <c r="S30" s="32"/>
      <c r="T30" s="19">
        <f>S30</f>
        <v>0</v>
      </c>
      <c r="U30" s="32"/>
      <c r="V30" s="19">
        <f>U30</f>
        <v>0</v>
      </c>
      <c r="W30" s="32"/>
      <c r="X30" s="19">
        <f>W30</f>
        <v>0</v>
      </c>
      <c r="Y30" s="32"/>
      <c r="Z30" s="19">
        <f>Y30</f>
        <v>0</v>
      </c>
      <c r="AA30" s="32"/>
      <c r="AB30" s="19">
        <f>AA30</f>
        <v>0</v>
      </c>
      <c r="AC30" s="32"/>
      <c r="AD30" s="19">
        <f>AC30</f>
        <v>0</v>
      </c>
      <c r="AE30" s="32"/>
      <c r="AF30" s="19">
        <f>AE30</f>
        <v>0</v>
      </c>
      <c r="AG30" s="32"/>
      <c r="AH30" s="32"/>
      <c r="AI30" s="32"/>
      <c r="AJ30" s="32"/>
    </row>
    <row r="31" spans="1:36" s="2" customFormat="1" ht="15" customHeight="1" x14ac:dyDescent="0.25">
      <c r="A31" s="101">
        <v>5</v>
      </c>
      <c r="B31" s="111" t="s">
        <v>18</v>
      </c>
      <c r="C31" s="107">
        <v>5.0999999999999996</v>
      </c>
      <c r="D31" s="114" t="s">
        <v>106</v>
      </c>
      <c r="E31" s="7" t="s">
        <v>107</v>
      </c>
      <c r="F31" s="30" t="s">
        <v>108</v>
      </c>
      <c r="G31" s="15" t="s">
        <v>109</v>
      </c>
      <c r="H31" s="98" t="s">
        <v>110</v>
      </c>
      <c r="I31" s="32">
        <v>97.5</v>
      </c>
      <c r="J31" s="19">
        <f>I31*VLOOKUP(RIGHT($F31, 5), 'Emission Factors'!$A$3:$K$44, 5, FALSE)*PI()*(0.2*0.2-0.195*0.195)*VLOOKUP(RIGHT($F31, 5), 'Emission Factors'!$A$3:$K$44, 11, FALSE)*1000</f>
        <v>2930.9969718041116</v>
      </c>
      <c r="K31" s="32">
        <v>110</v>
      </c>
      <c r="L31" s="19">
        <f>K31*VLOOKUP(RIGHT($F31, 5), 'Emission Factors'!$A$3:$K$44, 5, FALSE)*PI()*(0.1*0.1-0.095*0.095)*VLOOKUP(RIGHT($F31, 5), 'Emission Factors'!$A$3:$K$44, 11, FALSE)*1000</f>
        <v>1632.4540096124163</v>
      </c>
      <c r="M31" s="32">
        <v>30</v>
      </c>
      <c r="N31" s="19">
        <f>M31*VLOOKUP(RIGHT($F31, 5), 'Emission Factors'!$A$3:$K$44, 5, FALSE)*PI()*(0.1*0.1-0.095*0.095)*VLOOKUP(RIGHT($F31, 5), 'Emission Factors'!$A$3:$K$44, 11, FALSE)*1000</f>
        <v>445.21472989429537</v>
      </c>
      <c r="O31" s="32">
        <v>10</v>
      </c>
      <c r="P31" s="19">
        <f>O31*VLOOKUP(RIGHT($F31, 5), 'Emission Factors'!$A$3:$K$44, 5, FALSE)*PI()*(0.1*0.1-0.095*0.095)*VLOOKUP(RIGHT($F31, 5), 'Emission Factors'!$A$3:$K$44, 11, FALSE)*1000</f>
        <v>148.40490996476512</v>
      </c>
      <c r="Q31" s="32">
        <v>157.5</v>
      </c>
      <c r="R31" s="19">
        <f>Q31*VLOOKUP(RIGHT($F31, 5), 'Emission Factors'!$A$3:$K$44, 5, FALSE)*PI()*(0.1*0.1-0.095*0.095)*VLOOKUP(RIGHT($F31, 5), 'Emission Factors'!$A$3:$K$44, 11, FALSE)*1000</f>
        <v>2337.3773319450506</v>
      </c>
      <c r="S31" s="32">
        <v>21</v>
      </c>
      <c r="T31" s="19">
        <f>S31*VLOOKUP(RIGHT($F31, 5), 'Emission Factors'!$A$3:$K$44, 5, FALSE)*PI()*(0.1*0.1-0.095*0.095)*VLOOKUP(RIGHT($F31, 5), 'Emission Factors'!$A$3:$K$44, 11, FALSE)*1000</f>
        <v>311.65031092600674</v>
      </c>
      <c r="U31" s="32"/>
      <c r="V31" s="19">
        <f>U31*VLOOKUP(RIGHT($F31, 5), 'Emission Factors'!$A$3:$K$44, 5, FALSE)*PI()*(0.1*0.1-0.095*0.095)*VLOOKUP(RIGHT($F31, 5), 'Emission Factors'!$A$3:$K$44, 11, FALSE)*1000</f>
        <v>0</v>
      </c>
      <c r="W31" s="32">
        <v>33</v>
      </c>
      <c r="X31" s="19">
        <f>W31*VLOOKUP(RIGHT($F31, 5), 'Emission Factors'!$A$3:$K$44, 5, FALSE)*PI()*(0.1*0.1-0.095*0.095)*VLOOKUP(RIGHT($F31, 5), 'Emission Factors'!$A$3:$K$44, 11, FALSE)*1000</f>
        <v>489.73620288372501</v>
      </c>
      <c r="Y31" s="32"/>
      <c r="Z31" s="19">
        <f>Y31*VLOOKUP(RIGHT($F31, 5), 'Emission Factors'!$A$3:$K$44, 5, FALSE)*PI()*(0.1*0.1-0.095*0.095)*VLOOKUP(RIGHT($F31, 5), 'Emission Factors'!$A$3:$K$44, 11, FALSE)*1000</f>
        <v>0</v>
      </c>
      <c r="AA31" s="32"/>
      <c r="AB31" s="19">
        <f>AA31*VLOOKUP(RIGHT($F31, 5), 'Emission Factors'!$A$3:$K$44, 5, FALSE)*PI()*(0.1*0.1-0.095*0.095)*VLOOKUP(RIGHT($F31, 5), 'Emission Factors'!$A$3:$K$44, 11, FALSE)*1000</f>
        <v>0</v>
      </c>
      <c r="AC31" s="32"/>
      <c r="AD31" s="19">
        <f>AC31*VLOOKUP(RIGHT($F31, 5), 'Emission Factors'!$A$3:$K$44, 5, FALSE)*PI()*(0.1*0.1-0.095*0.095)*VLOOKUP(RIGHT($F31, 5), 'Emission Factors'!$A$3:$K$44, 11, FALSE)*1000</f>
        <v>0</v>
      </c>
      <c r="AE31" s="32"/>
      <c r="AF31" s="19">
        <f>AE31*VLOOKUP(RIGHT($F31, 5), 'Emission Factors'!$A$3:$K$44, 5, FALSE)*PI()*(0.1*0.1-0.095*0.095)*VLOOKUP(RIGHT($F31, 5), 'Emission Factors'!$A$3:$K$44, 11, FALSE)*1000</f>
        <v>0</v>
      </c>
      <c r="AG31" s="32"/>
      <c r="AH31" s="32"/>
      <c r="AI31" s="32"/>
      <c r="AJ31" s="32"/>
    </row>
    <row r="32" spans="1:36" s="2" customFormat="1" ht="49.5" customHeight="1" x14ac:dyDescent="0.25">
      <c r="A32" s="102"/>
      <c r="B32" s="112"/>
      <c r="C32" s="107"/>
      <c r="D32" s="115"/>
      <c r="E32" s="7" t="s">
        <v>111</v>
      </c>
      <c r="F32" s="30" t="s">
        <v>112</v>
      </c>
      <c r="G32" s="15" t="s">
        <v>109</v>
      </c>
      <c r="H32" s="98"/>
      <c r="I32" s="32">
        <v>366</v>
      </c>
      <c r="J32" s="19">
        <f>I32*VLOOKUP(RIGHT($F$32, 5), 'Emission Factors'!$A$3:$K$44, 5, FALSE)*PI()*(0.1*0.1-0.095*0.095)*VLOOKUP(RIGHT($F$32, 5), 'Emission Factors'!$A$3:$K$44, 11, FALSE)*1000</f>
        <v>5431.6197047104042</v>
      </c>
      <c r="K32" s="32">
        <v>306</v>
      </c>
      <c r="L32" s="19">
        <f>K32*VLOOKUP(RIGHT($F$32, 5), 'Emission Factors'!$A$3:$K$44, 5, FALSE)*PI()*(0.1*0.1-0.095*0.095)*VLOOKUP(RIGHT($F$32, 5), 'Emission Factors'!$A$3:$K$44, 11, FALSE)*1000</f>
        <v>4541.1902449218132</v>
      </c>
      <c r="M32" s="32">
        <v>615</v>
      </c>
      <c r="N32" s="19">
        <f>M32*VLOOKUP(RIGHT($F$32, 5), 'Emission Factors'!$A$3:$K$44, 5, FALSE)*PI()*(0.1*0.1-0.095*0.095)*VLOOKUP(RIGHT($F$32, 5), 'Emission Factors'!$A$3:$K$44, 11, FALSE)*1000</f>
        <v>9126.9019628330552</v>
      </c>
      <c r="O32" s="32">
        <v>346.5</v>
      </c>
      <c r="P32" s="19">
        <f>O32*VLOOKUP(RIGHT($F$32, 5), 'Emission Factors'!$A$3:$K$44, 5, FALSE)*PI()*(0.1*0.1-0.095*0.095)*VLOOKUP(RIGHT($F$32, 5), 'Emission Factors'!$A$3:$K$44, 11, FALSE)*1000</f>
        <v>5142.230130279112</v>
      </c>
      <c r="Q32" s="32">
        <v>321</v>
      </c>
      <c r="R32" s="19">
        <f>Q32*VLOOKUP(RIGHT($F$32, 5), 'Emission Factors'!$A$3:$K$44, 5, FALSE)*PI()*(0.1*0.1-0.095*0.095)*VLOOKUP(RIGHT($F$32, 5), 'Emission Factors'!$A$3:$K$44, 11, FALSE)*1000</f>
        <v>4763.7976098689596</v>
      </c>
      <c r="S32" s="32">
        <v>277.5</v>
      </c>
      <c r="T32" s="19">
        <f>S32*VLOOKUP(RIGHT($F$32, 5), 'Emission Factors'!$A$3:$K$44, 5, FALSE)*PI()*(0.1*0.1-0.095*0.095)*VLOOKUP(RIGHT($F$32, 5), 'Emission Factors'!$A$3:$K$44, 11, FALSE)*1000</f>
        <v>4118.2362515222321</v>
      </c>
      <c r="U32" s="32">
        <v>277.5</v>
      </c>
      <c r="V32" s="19">
        <f>U32*VLOOKUP(RIGHT($F$32, 5), 'Emission Factors'!$A$3:$K$44, 5, FALSE)*PI()*(0.1*0.1-0.095*0.095)*VLOOKUP(RIGHT($F$32, 5), 'Emission Factors'!$A$3:$K$44, 11, FALSE)*1000</f>
        <v>4118.2362515222321</v>
      </c>
      <c r="W32" s="32">
        <v>25.5</v>
      </c>
      <c r="X32" s="19">
        <f>W32*VLOOKUP(RIGHT($F$32, 5), 'Emission Factors'!$A$3:$K$44, 5, FALSE)*PI()*(0.1*0.1-0.095*0.095)*VLOOKUP(RIGHT($F$32, 5), 'Emission Factors'!$A$3:$K$44, 11, FALSE)*1000</f>
        <v>378.43252041015108</v>
      </c>
      <c r="Y32" s="32"/>
      <c r="Z32" s="19">
        <f>Y32*VLOOKUP(RIGHT($F$32, 5), 'Emission Factors'!$A$3:$K$44, 5, FALSE)*PI()*(0.1*0.1-0.095*0.095)*VLOOKUP(RIGHT($F$32, 5), 'Emission Factors'!$A$3:$K$44, 11, FALSE)*1000</f>
        <v>0</v>
      </c>
      <c r="AA32" s="32"/>
      <c r="AB32" s="19">
        <f>AA32*VLOOKUP(RIGHT($F$32, 5), 'Emission Factors'!$A$3:$K$44, 5, FALSE)*PI()*(0.1*0.1-0.095*0.095)*VLOOKUP(RIGHT($F$32, 5), 'Emission Factors'!$A$3:$K$44, 11, FALSE)*1000</f>
        <v>0</v>
      </c>
      <c r="AC32" s="32"/>
      <c r="AD32" s="19">
        <f>AC32*VLOOKUP(RIGHT($F$32, 5), 'Emission Factors'!$A$3:$K$44, 5, FALSE)*PI()*(0.1*0.1-0.095*0.095)*VLOOKUP(RIGHT($F$32, 5), 'Emission Factors'!$A$3:$K$44, 11, FALSE)*1000</f>
        <v>0</v>
      </c>
      <c r="AE32" s="32"/>
      <c r="AF32" s="19">
        <f>AE32*VLOOKUP(RIGHT($F$32, 5), 'Emission Factors'!$A$3:$K$44, 5, FALSE)*PI()*(0.1*0.1-0.095*0.095)*VLOOKUP(RIGHT($F$32, 5), 'Emission Factors'!$A$3:$K$44, 11, FALSE)*1000</f>
        <v>0</v>
      </c>
      <c r="AG32" s="32"/>
      <c r="AH32" s="32"/>
      <c r="AI32" s="32"/>
      <c r="AJ32" s="32"/>
    </row>
    <row r="33" spans="1:36" s="2" customFormat="1" ht="15" customHeight="1" x14ac:dyDescent="0.25">
      <c r="A33" s="102"/>
      <c r="B33" s="112"/>
      <c r="C33" s="107">
        <v>5.2</v>
      </c>
      <c r="D33" s="108" t="s">
        <v>113</v>
      </c>
      <c r="E33" s="7" t="s">
        <v>114</v>
      </c>
      <c r="F33" s="30" t="s">
        <v>115</v>
      </c>
      <c r="G33" s="15" t="s">
        <v>109</v>
      </c>
      <c r="H33" s="4" t="s">
        <v>116</v>
      </c>
      <c r="I33" s="32">
        <v>1484</v>
      </c>
      <c r="J33" s="19">
        <f>I33*VLOOKUP($F33, 'Emission Factors'!$A$3:$E$44, 5, FALSE)*1000</f>
        <v>221466.76363636358</v>
      </c>
      <c r="K33" s="32">
        <v>2408</v>
      </c>
      <c r="L33" s="19">
        <f>K33*VLOOKUP($F33, 'Emission Factors'!$A$3:$E$44, 5, FALSE)*1000</f>
        <v>359361.16363636358</v>
      </c>
      <c r="M33" s="32">
        <v>2863</v>
      </c>
      <c r="N33" s="19">
        <f>M33*VLOOKUP($F33, 'Emission Factors'!$A$3:$E$44, 5, FALSE)*1000</f>
        <v>427263.70909090899</v>
      </c>
      <c r="O33" s="32">
        <v>378</v>
      </c>
      <c r="P33" s="19">
        <f>O33*VLOOKUP($F33, 'Emission Factors'!$A$3:$E$44, 5, FALSE)*1000</f>
        <v>56411.345454545444</v>
      </c>
      <c r="Q33" s="32">
        <v>3139</v>
      </c>
      <c r="R33" s="19">
        <f>Q33*VLOOKUP($F33, 'Emission Factors'!$A$3:$E$44, 5, FALSE)*1000</f>
        <v>468452.94545454538</v>
      </c>
      <c r="S33" s="32">
        <v>322</v>
      </c>
      <c r="T33" s="19">
        <f>S33*VLOOKUP($F33, 'Emission Factors'!$A$3:$E$44, 5, FALSE)*1000</f>
        <v>48054.109090909078</v>
      </c>
      <c r="U33" s="32"/>
      <c r="V33" s="19">
        <f>U33*VLOOKUP($F33, 'Emission Factors'!$A$3:$E$44, 5, FALSE)*1000</f>
        <v>0</v>
      </c>
      <c r="W33" s="32"/>
      <c r="X33" s="19">
        <f>W33*VLOOKUP($F33, 'Emission Factors'!$A$3:$E$44, 5, FALSE)*1000</f>
        <v>0</v>
      </c>
      <c r="Y33" s="32"/>
      <c r="Z33" s="19">
        <f>Y33*VLOOKUP($F33, 'Emission Factors'!$A$3:$E$44, 5, FALSE)*1000</f>
        <v>0</v>
      </c>
      <c r="AA33" s="32"/>
      <c r="AB33" s="19">
        <f>AA33*VLOOKUP($F33, 'Emission Factors'!$A$3:$E$44, 5, FALSE)*1000</f>
        <v>0</v>
      </c>
      <c r="AC33" s="32"/>
      <c r="AD33" s="19">
        <f>AC33*VLOOKUP($F33, 'Emission Factors'!$A$3:$E$44, 5, FALSE)*1000</f>
        <v>0</v>
      </c>
      <c r="AE33" s="32"/>
      <c r="AF33" s="19">
        <f>AE33*VLOOKUP($F33, 'Emission Factors'!$A$3:$E$44, 5, FALSE)*1000</f>
        <v>0</v>
      </c>
      <c r="AG33" s="32"/>
      <c r="AH33" s="32"/>
      <c r="AI33" s="32"/>
      <c r="AJ33" s="32"/>
    </row>
    <row r="34" spans="1:36" s="2" customFormat="1" ht="15" customHeight="1" x14ac:dyDescent="0.25">
      <c r="A34" s="102"/>
      <c r="B34" s="112"/>
      <c r="C34" s="107"/>
      <c r="D34" s="108"/>
      <c r="E34" s="7" t="s">
        <v>117</v>
      </c>
      <c r="F34" s="30" t="s">
        <v>118</v>
      </c>
      <c r="G34" s="15" t="s">
        <v>109</v>
      </c>
      <c r="H34" s="4" t="s">
        <v>119</v>
      </c>
      <c r="I34" s="32">
        <v>890</v>
      </c>
      <c r="J34" s="19">
        <f>I34*VLOOKUP($F34, 'Emission Factors'!$A$3:$E$44, 5, FALSE)*1000</f>
        <v>51257.592000000004</v>
      </c>
      <c r="K34" s="32">
        <v>1740</v>
      </c>
      <c r="L34" s="19">
        <f>K34*VLOOKUP($F34, 'Emission Factors'!$A$3:$E$44, 5, FALSE)*1000</f>
        <v>100211.47199999999</v>
      </c>
      <c r="M34" s="32">
        <v>611</v>
      </c>
      <c r="N34" s="19">
        <f>M34*VLOOKUP($F34, 'Emission Factors'!$A$3:$E$44, 5, FALSE)*1000</f>
        <v>35189.200799999999</v>
      </c>
      <c r="O34" s="32"/>
      <c r="P34" s="19">
        <f>O34*VLOOKUP($F34, 'Emission Factors'!$A$3:$E$44, 5, FALSE)*1000</f>
        <v>0</v>
      </c>
      <c r="Q34" s="32"/>
      <c r="R34" s="19">
        <f>Q34*VLOOKUP($F34, 'Emission Factors'!$A$3:$E$44, 5, FALSE)*1000</f>
        <v>0</v>
      </c>
      <c r="S34" s="32"/>
      <c r="T34" s="19">
        <f>S34*VLOOKUP($F34, 'Emission Factors'!$A$3:$E$44, 5, FALSE)*1000</f>
        <v>0</v>
      </c>
      <c r="U34" s="32"/>
      <c r="V34" s="19">
        <f>U34*VLOOKUP($F34, 'Emission Factors'!$A$3:$E$44, 5, FALSE)*1000</f>
        <v>0</v>
      </c>
      <c r="W34" s="32"/>
      <c r="X34" s="19">
        <f>W34*VLOOKUP($F34, 'Emission Factors'!$A$3:$E$44, 5, FALSE)*1000</f>
        <v>0</v>
      </c>
      <c r="Y34" s="32"/>
      <c r="Z34" s="19">
        <f>Y34*VLOOKUP($F34, 'Emission Factors'!$A$3:$E$44, 5, FALSE)*1000</f>
        <v>0</v>
      </c>
      <c r="AA34" s="32"/>
      <c r="AB34" s="19">
        <f>AA34*VLOOKUP($F34, 'Emission Factors'!$A$3:$E$44, 5, FALSE)*1000</f>
        <v>0</v>
      </c>
      <c r="AC34" s="32"/>
      <c r="AD34" s="19">
        <f>AC34*VLOOKUP($F34, 'Emission Factors'!$A$3:$E$44, 5, FALSE)*1000</f>
        <v>0</v>
      </c>
      <c r="AE34" s="32"/>
      <c r="AF34" s="19">
        <f>AE34*VLOOKUP($F34, 'Emission Factors'!$A$3:$E$44, 5, FALSE)*1000</f>
        <v>0</v>
      </c>
      <c r="AG34" s="32"/>
      <c r="AH34" s="32"/>
      <c r="AI34" s="32"/>
      <c r="AJ34" s="32"/>
    </row>
    <row r="35" spans="1:36" s="2" customFormat="1" ht="45" x14ac:dyDescent="0.25">
      <c r="A35" s="102"/>
      <c r="B35" s="112"/>
      <c r="C35" s="29">
        <v>5.3</v>
      </c>
      <c r="D35" s="27" t="s">
        <v>120</v>
      </c>
      <c r="E35" s="7" t="s">
        <v>121</v>
      </c>
      <c r="F35" s="7" t="s">
        <v>18</v>
      </c>
      <c r="G35" s="15" t="s">
        <v>82</v>
      </c>
      <c r="H35" s="4" t="s">
        <v>122</v>
      </c>
      <c r="I35" s="32"/>
      <c r="J35" s="19">
        <f>I35*VLOOKUP($F35, 'Emission Factors'!$A$3:$E$44, 5, FALSE)*1000</f>
        <v>0</v>
      </c>
      <c r="K35" s="32"/>
      <c r="L35" s="19">
        <f>K35*VLOOKUP($F35, 'Emission Factors'!$A$3:$E$44, 5, FALSE)*1000</f>
        <v>0</v>
      </c>
      <c r="M35" s="32"/>
      <c r="N35" s="19">
        <f>M35*VLOOKUP($F35, 'Emission Factors'!$A$3:$E$44, 5, FALSE)*1000</f>
        <v>0</v>
      </c>
      <c r="O35" s="32"/>
      <c r="P35" s="19">
        <f>O35*VLOOKUP($F35, 'Emission Factors'!$A$3:$E$44, 5, FALSE)*1000</f>
        <v>0</v>
      </c>
      <c r="Q35" s="32"/>
      <c r="R35" s="19">
        <f>Q35*VLOOKUP($F35, 'Emission Factors'!$A$3:$E$44, 5, FALSE)*1000</f>
        <v>0</v>
      </c>
      <c r="S35" s="32"/>
      <c r="T35" s="19">
        <f>S35*VLOOKUP($F35, 'Emission Factors'!$A$3:$E$44, 5, FALSE)*1000</f>
        <v>0</v>
      </c>
      <c r="U35" s="32"/>
      <c r="V35" s="19">
        <f>U35*VLOOKUP($F35, 'Emission Factors'!$A$3:$E$44, 5, FALSE)*1000</f>
        <v>0</v>
      </c>
      <c r="W35" s="32"/>
      <c r="X35" s="19">
        <f>W35*VLOOKUP($F35, 'Emission Factors'!$A$3:$E$44, 5, FALSE)*1000</f>
        <v>0</v>
      </c>
      <c r="Y35" s="32"/>
      <c r="Z35" s="19">
        <f>Y35*VLOOKUP($F35, 'Emission Factors'!$A$3:$E$44, 5, FALSE)*1000</f>
        <v>0</v>
      </c>
      <c r="AA35" s="32"/>
      <c r="AB35" s="19">
        <f>AA35*VLOOKUP($F35, 'Emission Factors'!$A$3:$E$44, 5, FALSE)*1000</f>
        <v>0</v>
      </c>
      <c r="AC35" s="32"/>
      <c r="AD35" s="19">
        <f>AC35*VLOOKUP($F35, 'Emission Factors'!$A$3:$E$44, 5, FALSE)*1000</f>
        <v>0</v>
      </c>
      <c r="AE35" s="32"/>
      <c r="AF35" s="19">
        <f>AE35*VLOOKUP($F35, 'Emission Factors'!$A$3:$E$44, 5, FALSE)*1000</f>
        <v>0</v>
      </c>
      <c r="AG35" s="32"/>
      <c r="AH35" s="32"/>
      <c r="AI35" s="32"/>
      <c r="AJ35" s="32"/>
    </row>
    <row r="36" spans="1:36" s="2" customFormat="1" ht="30.75" customHeight="1" x14ac:dyDescent="0.25">
      <c r="A36" s="103"/>
      <c r="B36" s="113"/>
      <c r="C36" s="29">
        <v>5.4</v>
      </c>
      <c r="D36" s="27" t="s">
        <v>56</v>
      </c>
      <c r="E36" s="7" t="s">
        <v>123</v>
      </c>
      <c r="F36" s="7" t="s">
        <v>56</v>
      </c>
      <c r="G36" s="15" t="s">
        <v>15</v>
      </c>
      <c r="H36" s="4" t="s">
        <v>58</v>
      </c>
      <c r="I36" s="32"/>
      <c r="J36" s="19">
        <f>I36</f>
        <v>0</v>
      </c>
      <c r="K36" s="32"/>
      <c r="L36" s="19">
        <f>K36</f>
        <v>0</v>
      </c>
      <c r="M36" s="32"/>
      <c r="N36" s="19">
        <f>M36</f>
        <v>0</v>
      </c>
      <c r="O36" s="32"/>
      <c r="P36" s="19">
        <f>O36</f>
        <v>0</v>
      </c>
      <c r="Q36" s="32"/>
      <c r="R36" s="19">
        <f>Q36</f>
        <v>0</v>
      </c>
      <c r="S36" s="32"/>
      <c r="T36" s="19">
        <f>S36</f>
        <v>0</v>
      </c>
      <c r="U36" s="32"/>
      <c r="V36" s="19">
        <f>U36</f>
        <v>0</v>
      </c>
      <c r="W36" s="32"/>
      <c r="X36" s="19">
        <f>W36</f>
        <v>0</v>
      </c>
      <c r="Y36" s="32"/>
      <c r="Z36" s="19">
        <f>Y36</f>
        <v>0</v>
      </c>
      <c r="AA36" s="32"/>
      <c r="AB36" s="19">
        <f>AA36</f>
        <v>0</v>
      </c>
      <c r="AC36" s="32"/>
      <c r="AD36" s="19">
        <f>AC36</f>
        <v>0</v>
      </c>
      <c r="AE36" s="32"/>
      <c r="AF36" s="19">
        <f>AE36</f>
        <v>0</v>
      </c>
      <c r="AG36" s="32"/>
      <c r="AH36" s="32"/>
      <c r="AI36" s="32"/>
      <c r="AJ36" s="32"/>
    </row>
    <row r="37" spans="1:36" s="2" customFormat="1" ht="15.75" customHeight="1" x14ac:dyDescent="0.25">
      <c r="A37" s="101">
        <v>6</v>
      </c>
      <c r="B37" s="111" t="s">
        <v>19</v>
      </c>
      <c r="C37" s="29">
        <v>6.1</v>
      </c>
      <c r="D37" s="27" t="s">
        <v>124</v>
      </c>
      <c r="E37" s="7" t="s">
        <v>125</v>
      </c>
      <c r="F37" s="30" t="s">
        <v>126</v>
      </c>
      <c r="G37" s="15" t="s">
        <v>127</v>
      </c>
      <c r="H37" s="4" t="s">
        <v>128</v>
      </c>
      <c r="I37" s="32">
        <v>311.99318749999998</v>
      </c>
      <c r="J37" s="23">
        <f>I37*1.5/1000*VLOOKUP(RIGHT($F37, 9), 'Emission Factors'!$A$3:$K$44, 5, FALSE)*VLOOKUP(RIGHT($F37, 9), 'Emission Factors'!$A$3:$K$44, 11, FALSE)*1000</f>
        <v>3395.7338527500001</v>
      </c>
      <c r="K37" s="32">
        <v>255.36280479999999</v>
      </c>
      <c r="L37" s="23">
        <f>K37*1.5/1000*VLOOKUP(RIGHT($F37, 9), 'Emission Factors'!$A$3:$K$44, 5, FALSE)*VLOOKUP(RIGHT($F37, 9), 'Emission Factors'!$A$3:$K$44, 11, FALSE)*1000</f>
        <v>2779.3687674432003</v>
      </c>
      <c r="M37" s="32">
        <v>510.68666259999998</v>
      </c>
      <c r="N37" s="23">
        <f>M37*1.5/1000*VLOOKUP(RIGHT($F37, 9), 'Emission Factors'!$A$3:$K$44, 5, FALSE)*VLOOKUP(RIGHT($F37, 9), 'Emission Factors'!$A$3:$K$44, 11, FALSE)*1000</f>
        <v>5558.313635738401</v>
      </c>
      <c r="O37" s="32">
        <v>232.153572</v>
      </c>
      <c r="P37" s="23">
        <f>O37*1.5/1000*VLOOKUP(RIGHT($F37, 9), 'Emission Factors'!$A$3:$K$44, 5, FALSE)*VLOOKUP(RIGHT($F37, 9), 'Emission Factors'!$A$3:$K$44, 11, FALSE)*1000</f>
        <v>2526.7594776480005</v>
      </c>
      <c r="Q37" s="32">
        <v>188.0180694</v>
      </c>
      <c r="R37" s="23">
        <f>Q37*1.5/1000*VLOOKUP(RIGHT($F37, 9), 'Emission Factors'!$A$3:$K$44, 5, FALSE)*VLOOKUP(RIGHT($F37, 9), 'Emission Factors'!$A$3:$K$44, 11, FALSE)*1000</f>
        <v>2046.3886673495999</v>
      </c>
      <c r="S37" s="32">
        <v>219.83517699999999</v>
      </c>
      <c r="T37" s="23">
        <f>S37*1.5/1000*VLOOKUP(RIGHT($F37, 9), 'Emission Factors'!$A$3:$K$44, 5, FALSE)*VLOOKUP(RIGHT($F37, 9), 'Emission Factors'!$A$3:$K$44, 11, FALSE)*1000</f>
        <v>2392.6860664679998</v>
      </c>
      <c r="U37" s="32">
        <v>241.51109049999999</v>
      </c>
      <c r="V37" s="23">
        <f>U37*1.5/1000*VLOOKUP(RIGHT($F37, 9), 'Emission Factors'!$A$3:$K$44, 5, FALSE)*VLOOKUP(RIGHT($F37, 9), 'Emission Factors'!$A$3:$K$44, 11, FALSE)*1000</f>
        <v>2628.6067090019997</v>
      </c>
      <c r="W37" s="32">
        <v>34.506622999999998</v>
      </c>
      <c r="X37" s="23">
        <f>W37*1.5/1000*VLOOKUP(RIGHT($F37, 9), 'Emission Factors'!$A$3:$K$44, 5, FALSE)*VLOOKUP(RIGHT($F37, 9), 'Emission Factors'!$A$3:$K$44, 11, FALSE)*1000</f>
        <v>375.57008473200005</v>
      </c>
      <c r="Y37" s="32"/>
      <c r="Z37" s="23">
        <f>Y37*1.5/1000*VLOOKUP(RIGHT($F37, 9), 'Emission Factors'!$A$3:$K$44, 5, FALSE)*VLOOKUP(RIGHT($F37, 9), 'Emission Factors'!$A$3:$K$44, 11, FALSE)*1000</f>
        <v>0</v>
      </c>
      <c r="AA37" s="32"/>
      <c r="AB37" s="23">
        <f>AA37*1.5/1000*VLOOKUP(RIGHT($F37, 9), 'Emission Factors'!$A$3:$K$44, 5, FALSE)*VLOOKUP(RIGHT($F37, 9), 'Emission Factors'!$A$3:$K$44, 11, FALSE)*1000</f>
        <v>0</v>
      </c>
      <c r="AC37" s="32"/>
      <c r="AD37" s="23">
        <f>AC37*1.5/1000*VLOOKUP(RIGHT($F37, 9), 'Emission Factors'!$A$3:$K$44, 5, FALSE)*VLOOKUP(RIGHT($F37, 9), 'Emission Factors'!$A$3:$K$44, 11, FALSE)*1000</f>
        <v>0</v>
      </c>
      <c r="AE37" s="32"/>
      <c r="AF37" s="23">
        <f>AE37*1.5/1000*VLOOKUP(RIGHT($F37, 9), 'Emission Factors'!$A$3:$K$44, 5, FALSE)*VLOOKUP(RIGHT($F37, 9), 'Emission Factors'!$A$3:$K$44, 11, FALSE)*1000</f>
        <v>0</v>
      </c>
      <c r="AG37" s="32"/>
      <c r="AH37" s="32"/>
      <c r="AI37" s="32"/>
      <c r="AJ37" s="32"/>
    </row>
    <row r="38" spans="1:36" s="2" customFormat="1" ht="15.75" customHeight="1" x14ac:dyDescent="0.25">
      <c r="A38" s="102"/>
      <c r="B38" s="112"/>
      <c r="C38" s="114">
        <v>6.2</v>
      </c>
      <c r="D38" s="116" t="s">
        <v>129</v>
      </c>
      <c r="E38" s="7" t="s">
        <v>130</v>
      </c>
      <c r="F38" s="30" t="s">
        <v>131</v>
      </c>
      <c r="G38" s="15" t="s">
        <v>109</v>
      </c>
      <c r="H38" s="109" t="s">
        <v>132</v>
      </c>
      <c r="I38" s="32"/>
      <c r="J38" s="23">
        <f>I38*VLOOKUP(RIGHT($F38, 9), 'Emission Factors'!$A$3:$E$44, 5, FALSE)*PI()*(0.3*0.3-0.297*0.297)*VLOOKUP(RIGHT($F38, 9), 'Emission Factors'!$A$3:$E$44, 5, FALSE)*1000</f>
        <v>0</v>
      </c>
      <c r="K38" s="32">
        <v>70</v>
      </c>
      <c r="L38" s="23">
        <f>K38*VLOOKUP(RIGHT($F38, 9), 'Emission Factors'!$A$3:$E$44, 5, FALSE)*PI()*(0.3*0.3-0.297*0.297)*VLOOKUP(RIGHT($F38, 9), 'Emission Factors'!$A$3:$E$44, 5, FALSE)*1000</f>
        <v>32400.97452406806</v>
      </c>
      <c r="M38" s="32"/>
      <c r="N38" s="23">
        <f>M38*VLOOKUP(RIGHT($F38, 9), 'Emission Factors'!$A$3:$E$44, 5, FALSE)*PI()*(0.3*0.3-0.297*0.297)*VLOOKUP(RIGHT($F38, 9), 'Emission Factors'!$A$3:$E$44, 5, FALSE)*1000</f>
        <v>0</v>
      </c>
      <c r="O38" s="32"/>
      <c r="P38" s="23">
        <f>O38*VLOOKUP(RIGHT($F38, 9), 'Emission Factors'!$A$3:$E$44, 5, FALSE)*PI()*(0.3*0.3-0.297*0.297)*VLOOKUP(RIGHT($F38, 9), 'Emission Factors'!$A$3:$E$44, 5, FALSE)*1000</f>
        <v>0</v>
      </c>
      <c r="Q38" s="32"/>
      <c r="R38" s="23">
        <f>Q38*VLOOKUP(RIGHT($F38, 9), 'Emission Factors'!$A$3:$E$44, 5, FALSE)*PI()*(0.3*0.3-0.297*0.297)*VLOOKUP(RIGHT($F38, 9), 'Emission Factors'!$A$3:$E$44, 5, FALSE)*1000</f>
        <v>0</v>
      </c>
      <c r="S38" s="32">
        <v>10</v>
      </c>
      <c r="T38" s="23">
        <f>S38*VLOOKUP(RIGHT($F38, 9), 'Emission Factors'!$A$3:$E$44, 5, FALSE)*PI()*(0.3*0.3-0.297*0.297)*VLOOKUP(RIGHT($F38, 9), 'Emission Factors'!$A$3:$E$44, 5, FALSE)*1000</f>
        <v>4628.7106462954371</v>
      </c>
      <c r="U38" s="32"/>
      <c r="V38" s="23">
        <f>U38*VLOOKUP(RIGHT($F38, 9), 'Emission Factors'!$A$3:$E$44, 5, FALSE)*PI()*(0.3*0.3-0.297*0.297)*VLOOKUP(RIGHT($F38, 9), 'Emission Factors'!$A$3:$E$44, 5, FALSE)*1000</f>
        <v>0</v>
      </c>
      <c r="W38" s="32"/>
      <c r="X38" s="23">
        <f>W38*VLOOKUP(RIGHT($F38, 9), 'Emission Factors'!$A$3:$E$44, 5, FALSE)*PI()*(0.3*0.3-0.297*0.297)*VLOOKUP(RIGHT($F38, 9), 'Emission Factors'!$A$3:$E$44, 5, FALSE)*1000</f>
        <v>0</v>
      </c>
      <c r="Y38" s="32"/>
      <c r="Z38" s="23">
        <f>Y38*VLOOKUP(RIGHT($F38, 9), 'Emission Factors'!$A$3:$E$44, 5, FALSE)*PI()*(0.3*0.3-0.297*0.297)*VLOOKUP(RIGHT($F38, 9), 'Emission Factors'!$A$3:$E$44, 5, FALSE)*1000</f>
        <v>0</v>
      </c>
      <c r="AA38" s="32"/>
      <c r="AB38" s="23">
        <f>AA38*VLOOKUP(RIGHT($F38, 9), 'Emission Factors'!$A$3:$E$44, 5, FALSE)*PI()*(0.3*0.3-0.297*0.297)*VLOOKUP(RIGHT($F38, 9), 'Emission Factors'!$A$3:$E$44, 5, FALSE)*1000</f>
        <v>0</v>
      </c>
      <c r="AC38" s="32"/>
      <c r="AD38" s="23">
        <f>AC38*VLOOKUP(RIGHT($F38, 9), 'Emission Factors'!$A$3:$E$44, 5, FALSE)*PI()*(0.3*0.3-0.297*0.297)*VLOOKUP(RIGHT($F38, 9), 'Emission Factors'!$A$3:$E$44, 5, FALSE)*1000</f>
        <v>0</v>
      </c>
      <c r="AE38" s="32"/>
      <c r="AF38" s="23">
        <f>AE38*VLOOKUP(RIGHT($F38, 9), 'Emission Factors'!$A$3:$E$44, 5, FALSE)*PI()*(0.3*0.3-0.297*0.297)*VLOOKUP(RIGHT($F38, 9), 'Emission Factors'!$A$3:$E$44, 5, FALSE)*1000</f>
        <v>0</v>
      </c>
      <c r="AG38" s="32"/>
      <c r="AH38" s="32"/>
      <c r="AI38" s="32"/>
      <c r="AJ38" s="32"/>
    </row>
    <row r="39" spans="1:36" s="2" customFormat="1" ht="33" customHeight="1" x14ac:dyDescent="0.25">
      <c r="A39" s="102"/>
      <c r="B39" s="112"/>
      <c r="C39" s="115"/>
      <c r="D39" s="117"/>
      <c r="E39" s="7" t="s">
        <v>133</v>
      </c>
      <c r="F39" s="30" t="s">
        <v>134</v>
      </c>
      <c r="G39" s="15" t="s">
        <v>109</v>
      </c>
      <c r="H39" s="110"/>
      <c r="I39" s="32">
        <v>366</v>
      </c>
      <c r="J39" s="23">
        <f>I39*VLOOKUP(RIGHT($F39, 9), 'Emission Factors'!$A$3:$E$44, 5, FALSE)*PI()*(0.1*0.1-0.095*0.095)*VLOOKUP(RIGHT($F39, 9), 'Emission Factors'!$A$3:$K$44, 11, FALSE)*1000</f>
        <v>8134.5371676736204</v>
      </c>
      <c r="K39" s="32">
        <v>306</v>
      </c>
      <c r="L39" s="23">
        <f>K39*VLOOKUP(RIGHT($F39, 9), 'Emission Factors'!$A$3:$E$44, 5, FALSE)*PI()*(0.1*0.1-0.095*0.095)*VLOOKUP(RIGHT($F39, 9), 'Emission Factors'!$A$3:$K$44, 11, FALSE)*1000</f>
        <v>6801.0064844484359</v>
      </c>
      <c r="M39" s="32">
        <v>615</v>
      </c>
      <c r="N39" s="23">
        <f>M39*VLOOKUP(RIGHT($F39, 9), 'Emission Factors'!$A$3:$E$44, 5, FALSE)*PI()*(0.1*0.1-0.095*0.095)*VLOOKUP(RIGHT($F39, 9), 'Emission Factors'!$A$3:$K$44, 11, FALSE)*1000</f>
        <v>13668.689503058133</v>
      </c>
      <c r="O39" s="32">
        <v>346.5</v>
      </c>
      <c r="P39" s="23">
        <f>O39*VLOOKUP(RIGHT($F39, 9), 'Emission Factors'!$A$3:$E$44, 5, FALSE)*PI()*(0.1*0.1-0.095*0.095)*VLOOKUP(RIGHT($F39, 9), 'Emission Factors'!$A$3:$K$44, 11, FALSE)*1000</f>
        <v>7701.1396956254348</v>
      </c>
      <c r="Q39" s="32">
        <v>321</v>
      </c>
      <c r="R39" s="23">
        <f>Q39*VLOOKUP(RIGHT($F39, 9), 'Emission Factors'!$A$3:$E$44, 5, FALSE)*PI()*(0.1*0.1-0.095*0.095)*VLOOKUP(RIGHT($F39, 9), 'Emission Factors'!$A$3:$K$44, 11, FALSE)*1000</f>
        <v>7134.3891552547339</v>
      </c>
      <c r="S39" s="32">
        <v>277.5</v>
      </c>
      <c r="T39" s="23">
        <f>S39*VLOOKUP(RIGHT($F39, 9), 'Emission Factors'!$A$3:$E$44, 5, FALSE)*PI()*(0.1*0.1-0.095*0.095)*VLOOKUP(RIGHT($F39, 9), 'Emission Factors'!$A$3:$K$44, 11, FALSE)*1000</f>
        <v>6167.579409916475</v>
      </c>
      <c r="U39" s="32">
        <v>277.5</v>
      </c>
      <c r="V39" s="23">
        <f>U39*VLOOKUP(RIGHT($F39, 9), 'Emission Factors'!$A$3:$E$44, 5, FALSE)*PI()*(0.1*0.1-0.095*0.095)*VLOOKUP(RIGHT($F39, 9), 'Emission Factors'!$A$3:$K$44, 11, FALSE)*1000</f>
        <v>6167.579409916475</v>
      </c>
      <c r="W39" s="32">
        <v>25.5</v>
      </c>
      <c r="X39" s="23">
        <f>W39*VLOOKUP(RIGHT($F39, 9), 'Emission Factors'!$A$3:$E$44, 5, FALSE)*PI()*(0.1*0.1-0.095*0.095)*VLOOKUP(RIGHT($F39, 9), 'Emission Factors'!$A$3:$K$44, 11, FALSE)*1000</f>
        <v>566.75054037070299</v>
      </c>
      <c r="Y39" s="32"/>
      <c r="Z39" s="23">
        <f>Y39*VLOOKUP(RIGHT($F39, 9), 'Emission Factors'!$A$3:$E$44, 5, FALSE)*PI()*(0.1*0.1-0.095*0.095)*VLOOKUP(RIGHT($F39, 9), 'Emission Factors'!$A$3:$K$44, 11, FALSE)*1000</f>
        <v>0</v>
      </c>
      <c r="AA39" s="32"/>
      <c r="AB39" s="23">
        <f>AA39*VLOOKUP(RIGHT($F39, 9), 'Emission Factors'!$A$3:$E$44, 5, FALSE)*PI()*(0.1*0.1-0.095*0.095)*VLOOKUP(RIGHT($F39, 9), 'Emission Factors'!$A$3:$K$44, 11, FALSE)*1000</f>
        <v>0</v>
      </c>
      <c r="AC39" s="32"/>
      <c r="AD39" s="23">
        <f>AC39*VLOOKUP(RIGHT($F39, 9), 'Emission Factors'!$A$3:$E$44, 5, FALSE)*PI()*(0.1*0.1-0.095*0.095)*VLOOKUP(RIGHT($F39, 9), 'Emission Factors'!$A$3:$K$44, 11, FALSE)*1000</f>
        <v>0</v>
      </c>
      <c r="AE39" s="32"/>
      <c r="AF39" s="23">
        <f>AE39*VLOOKUP(RIGHT($F39, 9), 'Emission Factors'!$A$3:$E$44, 5, FALSE)*PI()*(0.1*0.1-0.095*0.095)*VLOOKUP(RIGHT($F39, 9), 'Emission Factors'!$A$3:$K$44, 11, FALSE)*1000</f>
        <v>0</v>
      </c>
      <c r="AG39" s="32"/>
      <c r="AH39" s="32"/>
      <c r="AI39" s="32"/>
      <c r="AJ39" s="32"/>
    </row>
    <row r="40" spans="1:36" s="2" customFormat="1" ht="15.75" customHeight="1" x14ac:dyDescent="0.25">
      <c r="A40" s="102"/>
      <c r="B40" s="112"/>
      <c r="C40" s="29">
        <v>6.3</v>
      </c>
      <c r="D40" s="27" t="s">
        <v>135</v>
      </c>
      <c r="E40" s="7" t="s">
        <v>136</v>
      </c>
      <c r="F40" s="7" t="s">
        <v>19</v>
      </c>
      <c r="G40" s="15" t="s">
        <v>82</v>
      </c>
      <c r="H40" s="4" t="s">
        <v>137</v>
      </c>
      <c r="I40" s="32"/>
      <c r="J40" s="19">
        <f>I40*VLOOKUP($F40, 'Emission Factors'!$A$3:$E$44, 5, FALSE)*1000</f>
        <v>0</v>
      </c>
      <c r="K40" s="32"/>
      <c r="L40" s="19">
        <f>K40*VLOOKUP($F40, 'Emission Factors'!$A$3:$E$44, 5, FALSE)*1000</f>
        <v>0</v>
      </c>
      <c r="M40" s="32"/>
      <c r="N40" s="19">
        <f>M40*VLOOKUP($F40, 'Emission Factors'!$A$3:$E$44, 5, FALSE)*1000</f>
        <v>0</v>
      </c>
      <c r="O40" s="32"/>
      <c r="P40" s="19">
        <f>O40*VLOOKUP($F40, 'Emission Factors'!$A$3:$E$44, 5, FALSE)*1000</f>
        <v>0</v>
      </c>
      <c r="Q40" s="32"/>
      <c r="R40" s="19">
        <f>Q40*VLOOKUP($F40, 'Emission Factors'!$A$3:$E$44, 5, FALSE)*1000</f>
        <v>0</v>
      </c>
      <c r="S40" s="32"/>
      <c r="T40" s="19">
        <f>S40*VLOOKUP($F40, 'Emission Factors'!$A$3:$E$44, 5, FALSE)*1000</f>
        <v>0</v>
      </c>
      <c r="U40" s="32"/>
      <c r="V40" s="19">
        <f>U40*VLOOKUP($F40, 'Emission Factors'!$A$3:$E$44, 5, FALSE)*1000</f>
        <v>0</v>
      </c>
      <c r="W40" s="32"/>
      <c r="X40" s="19">
        <f>W40*VLOOKUP($F40, 'Emission Factors'!$A$3:$E$44, 5, FALSE)*1000</f>
        <v>0</v>
      </c>
      <c r="Y40" s="32"/>
      <c r="Z40" s="19">
        <f>Y40*VLOOKUP($F40, 'Emission Factors'!$A$3:$E$44, 5, FALSE)*1000</f>
        <v>0</v>
      </c>
      <c r="AA40" s="32"/>
      <c r="AB40" s="19">
        <f>AA40*VLOOKUP($F40, 'Emission Factors'!$A$3:$E$44, 5, FALSE)*1000</f>
        <v>0</v>
      </c>
      <c r="AC40" s="32"/>
      <c r="AD40" s="19">
        <f>AC40*VLOOKUP($F40, 'Emission Factors'!$A$3:$E$44, 5, FALSE)*1000</f>
        <v>0</v>
      </c>
      <c r="AE40" s="32"/>
      <c r="AF40" s="19">
        <f>AE40*VLOOKUP($F40, 'Emission Factors'!$A$3:$E$44, 5, FALSE)*1000</f>
        <v>0</v>
      </c>
      <c r="AG40" s="32"/>
      <c r="AH40" s="32"/>
      <c r="AI40" s="32"/>
      <c r="AJ40" s="32"/>
    </row>
    <row r="41" spans="1:36" s="2" customFormat="1" ht="30.75" customHeight="1" x14ac:dyDescent="0.25">
      <c r="A41" s="103"/>
      <c r="B41" s="113"/>
      <c r="C41" s="29">
        <v>6.4</v>
      </c>
      <c r="D41" s="27" t="s">
        <v>56</v>
      </c>
      <c r="E41" s="7" t="s">
        <v>138</v>
      </c>
      <c r="F41" s="7" t="s">
        <v>56</v>
      </c>
      <c r="G41" s="15" t="s">
        <v>15</v>
      </c>
      <c r="H41" s="4" t="s">
        <v>58</v>
      </c>
      <c r="I41" s="32"/>
      <c r="J41" s="19">
        <f>I41</f>
        <v>0</v>
      </c>
      <c r="K41" s="32"/>
      <c r="L41" s="19">
        <f>K41</f>
        <v>0</v>
      </c>
      <c r="M41" s="32"/>
      <c r="N41" s="19">
        <f>M41</f>
        <v>0</v>
      </c>
      <c r="O41" s="32"/>
      <c r="P41" s="19">
        <f>O41</f>
        <v>0</v>
      </c>
      <c r="Q41" s="32"/>
      <c r="R41" s="19">
        <f>Q41</f>
        <v>0</v>
      </c>
      <c r="S41" s="32"/>
      <c r="T41" s="19">
        <f>S41</f>
        <v>0</v>
      </c>
      <c r="U41" s="32"/>
      <c r="V41" s="19">
        <f>U41</f>
        <v>0</v>
      </c>
      <c r="W41" s="32"/>
      <c r="X41" s="19">
        <f>W41</f>
        <v>0</v>
      </c>
      <c r="Y41" s="32"/>
      <c r="Z41" s="19">
        <f>Y41</f>
        <v>0</v>
      </c>
      <c r="AA41" s="32"/>
      <c r="AB41" s="19">
        <f>AA41</f>
        <v>0</v>
      </c>
      <c r="AC41" s="32"/>
      <c r="AD41" s="19">
        <f>AC41</f>
        <v>0</v>
      </c>
      <c r="AE41" s="32"/>
      <c r="AF41" s="19">
        <f>AE41</f>
        <v>0</v>
      </c>
      <c r="AG41" s="32"/>
      <c r="AH41" s="32"/>
      <c r="AI41" s="32"/>
      <c r="AJ41" s="32"/>
    </row>
    <row r="42" spans="1:36" s="2" customFormat="1" ht="15" customHeight="1" x14ac:dyDescent="0.25">
      <c r="A42" s="101">
        <v>7</v>
      </c>
      <c r="B42" s="104" t="s">
        <v>20</v>
      </c>
      <c r="C42" s="29">
        <v>7.1</v>
      </c>
      <c r="D42" s="27" t="s">
        <v>139</v>
      </c>
      <c r="E42" s="7" t="s">
        <v>140</v>
      </c>
      <c r="F42" s="30" t="s">
        <v>141</v>
      </c>
      <c r="G42" s="15" t="s">
        <v>109</v>
      </c>
      <c r="H42" s="28" t="s">
        <v>142</v>
      </c>
      <c r="I42" s="32"/>
      <c r="J42" s="19">
        <f>I42*VLOOKUP($F42,'Emission Factors'!$A$3:$E$44,5,FALSE)*1000</f>
        <v>0</v>
      </c>
      <c r="K42" s="32"/>
      <c r="L42" s="19">
        <f>K42*VLOOKUP($F42,'Emission Factors'!$A$3:$E$44,5,FALSE)*1000</f>
        <v>0</v>
      </c>
      <c r="M42" s="32"/>
      <c r="N42" s="19">
        <f>M42*VLOOKUP($F42,'Emission Factors'!$A$3:$E$44,5,FALSE)*1000</f>
        <v>0</v>
      </c>
      <c r="O42" s="32"/>
      <c r="P42" s="19">
        <f>O42*VLOOKUP($F42,'Emission Factors'!$A$3:$E$44,5,FALSE)*1000</f>
        <v>0</v>
      </c>
      <c r="Q42" s="32"/>
      <c r="R42" s="19">
        <f>Q42*VLOOKUP($F42,'Emission Factors'!$A$3:$E$44,5,FALSE)*1000</f>
        <v>0</v>
      </c>
      <c r="S42" s="32"/>
      <c r="T42" s="19">
        <f>S42*VLOOKUP($F42,'Emission Factors'!$A$3:$E$44,5,FALSE)*1000</f>
        <v>0</v>
      </c>
      <c r="U42" s="32"/>
      <c r="V42" s="19">
        <f>U42*VLOOKUP($F42,'Emission Factors'!$A$3:$E$44,5,FALSE)*1000</f>
        <v>0</v>
      </c>
      <c r="W42" s="32"/>
      <c r="X42" s="19">
        <f>W42*VLOOKUP($F42,'Emission Factors'!$A$3:$E$44,5,FALSE)*1000</f>
        <v>0</v>
      </c>
      <c r="Y42" s="32"/>
      <c r="Z42" s="19">
        <f>Y42*VLOOKUP($F42,'Emission Factors'!$A$3:$E$44,5,FALSE)*1000</f>
        <v>0</v>
      </c>
      <c r="AA42" s="32"/>
      <c r="AB42" s="19">
        <f>AA42*VLOOKUP($F42,'Emission Factors'!$A$3:$E$44,5,FALSE)*1000</f>
        <v>0</v>
      </c>
      <c r="AC42" s="32"/>
      <c r="AD42" s="19">
        <f>AC42*VLOOKUP($F42,'Emission Factors'!$A$3:$E$44,5,FALSE)*1000</f>
        <v>0</v>
      </c>
      <c r="AE42" s="32"/>
      <c r="AF42" s="19">
        <f>AE42*VLOOKUP($F42,'Emission Factors'!$A$3:$E$44,5,FALSE)*1000</f>
        <v>0</v>
      </c>
      <c r="AG42" s="32"/>
      <c r="AH42" s="32"/>
      <c r="AI42" s="32"/>
      <c r="AJ42" s="32"/>
    </row>
    <row r="43" spans="1:36" s="2" customFormat="1" ht="15" customHeight="1" x14ac:dyDescent="0.25">
      <c r="A43" s="102"/>
      <c r="B43" s="105"/>
      <c r="C43" s="107">
        <v>7.2</v>
      </c>
      <c r="D43" s="108" t="s">
        <v>143</v>
      </c>
      <c r="E43" s="7" t="s">
        <v>144</v>
      </c>
      <c r="F43" s="30" t="s">
        <v>145</v>
      </c>
      <c r="G43" s="15" t="s">
        <v>109</v>
      </c>
      <c r="H43" s="98" t="s">
        <v>146</v>
      </c>
      <c r="I43" s="32">
        <v>18</v>
      </c>
      <c r="J43" s="19">
        <f>I43*VLOOKUP($F43,'Emission Factors'!$A$3:$E$44,5,FALSE)</f>
        <v>332.64895860000001</v>
      </c>
      <c r="K43" s="32"/>
      <c r="L43" s="19">
        <f>K43*VLOOKUP($F43,'Emission Factors'!$A$3:$E$44,5,FALSE)</f>
        <v>0</v>
      </c>
      <c r="M43" s="32">
        <v>150</v>
      </c>
      <c r="N43" s="19">
        <f>M43*VLOOKUP($F43,'Emission Factors'!$A$3:$E$44,5,FALSE)</f>
        <v>2772.0746550000003</v>
      </c>
      <c r="O43" s="32">
        <v>198</v>
      </c>
      <c r="P43" s="19">
        <f>O43*VLOOKUP($F43,'Emission Factors'!$A$3:$E$44,5,FALSE)</f>
        <v>3659.1385446000004</v>
      </c>
      <c r="Q43" s="32">
        <v>124</v>
      </c>
      <c r="R43" s="19">
        <f>Q43*VLOOKUP($F43,'Emission Factors'!$A$3:$E$44,5,FALSE)</f>
        <v>2291.5817148000001</v>
      </c>
      <c r="S43" s="32">
        <v>68.099999999999994</v>
      </c>
      <c r="T43" s="19">
        <f>S43*VLOOKUP($F43,'Emission Factors'!$A$3:$E$44,5,FALSE)</f>
        <v>1258.52189337</v>
      </c>
      <c r="U43" s="32"/>
      <c r="V43" s="19">
        <f>U43*VLOOKUP($F43,'Emission Factors'!$A$3:$E$44,5,FALSE)</f>
        <v>0</v>
      </c>
      <c r="W43" s="32"/>
      <c r="X43" s="19">
        <f>W43*VLOOKUP($F43,'Emission Factors'!$A$3:$E$44,5,FALSE)</f>
        <v>0</v>
      </c>
      <c r="Y43" s="32"/>
      <c r="Z43" s="19">
        <f>Y43*VLOOKUP($F43,'Emission Factors'!$A$3:$E$44,5,FALSE)</f>
        <v>0</v>
      </c>
      <c r="AA43" s="32"/>
      <c r="AB43" s="19">
        <f>AA43*VLOOKUP($F43,'Emission Factors'!$A$3:$E$44,5,FALSE)</f>
        <v>0</v>
      </c>
      <c r="AC43" s="32"/>
      <c r="AD43" s="19">
        <f>AC43*VLOOKUP($F43,'Emission Factors'!$A$3:$E$44,5,FALSE)</f>
        <v>0</v>
      </c>
      <c r="AE43" s="32"/>
      <c r="AF43" s="19">
        <f>AE43*VLOOKUP($F43,'Emission Factors'!$A$3:$E$44,5,FALSE)</f>
        <v>0</v>
      </c>
      <c r="AG43" s="32"/>
      <c r="AH43" s="32"/>
      <c r="AI43" s="32"/>
      <c r="AJ43" s="32"/>
    </row>
    <row r="44" spans="1:36" s="2" customFormat="1" ht="15" customHeight="1" x14ac:dyDescent="0.25">
      <c r="A44" s="102"/>
      <c r="B44" s="105"/>
      <c r="C44" s="107"/>
      <c r="D44" s="108"/>
      <c r="E44" s="7" t="s">
        <v>147</v>
      </c>
      <c r="F44" s="30" t="s">
        <v>148</v>
      </c>
      <c r="G44" s="15" t="s">
        <v>109</v>
      </c>
      <c r="H44" s="98"/>
      <c r="I44" s="32">
        <v>23</v>
      </c>
      <c r="J44" s="19">
        <f>I44*VLOOKUP($F44,'Emission Factors'!$A$3:$E$44,5,FALSE)</f>
        <v>1675.5651248000001</v>
      </c>
      <c r="K44" s="32"/>
      <c r="L44" s="19">
        <f>K44*VLOOKUP($F44,'Emission Factors'!$A$3:$E$44,5,FALSE)</f>
        <v>0</v>
      </c>
      <c r="M44" s="32">
        <v>52.4</v>
      </c>
      <c r="N44" s="19">
        <f>M44*VLOOKUP($F44,'Emission Factors'!$A$3:$E$44,5,FALSE)</f>
        <v>3817.37445824</v>
      </c>
      <c r="O44" s="32">
        <v>49</v>
      </c>
      <c r="P44" s="19">
        <f>O44*VLOOKUP($F44,'Emission Factors'!$A$3:$E$44,5,FALSE)</f>
        <v>3569.6822224000002</v>
      </c>
      <c r="Q44" s="32">
        <v>46.5</v>
      </c>
      <c r="R44" s="19">
        <f>Q44*VLOOKUP($F44,'Emission Factors'!$A$3:$E$44,5,FALSE)</f>
        <v>3387.5555784000003</v>
      </c>
      <c r="S44" s="32"/>
      <c r="T44" s="19">
        <f>S44*VLOOKUP($F44,'Emission Factors'!$A$3:$E$44,5,FALSE)</f>
        <v>0</v>
      </c>
      <c r="U44" s="32"/>
      <c r="V44" s="19">
        <f>U44*VLOOKUP($F44,'Emission Factors'!$A$3:$E$44,5,FALSE)</f>
        <v>0</v>
      </c>
      <c r="W44" s="32">
        <v>40</v>
      </c>
      <c r="X44" s="19">
        <f>W44*VLOOKUP($F44,'Emission Factors'!$A$3:$E$44,5,FALSE)</f>
        <v>2914.026304</v>
      </c>
      <c r="Y44" s="32"/>
      <c r="Z44" s="19">
        <f>Y44*VLOOKUP($F44,'Emission Factors'!$A$3:$E$44,5,FALSE)</f>
        <v>0</v>
      </c>
      <c r="AA44" s="32"/>
      <c r="AB44" s="19">
        <f>AA44*VLOOKUP($F44,'Emission Factors'!$A$3:$E$44,5,FALSE)</f>
        <v>0</v>
      </c>
      <c r="AC44" s="32"/>
      <c r="AD44" s="19">
        <f>AC44*VLOOKUP($F44,'Emission Factors'!$A$3:$E$44,5,FALSE)</f>
        <v>0</v>
      </c>
      <c r="AE44" s="32"/>
      <c r="AF44" s="19">
        <f>AE44*VLOOKUP($F44,'Emission Factors'!$A$3:$E$44,5,FALSE)</f>
        <v>0</v>
      </c>
      <c r="AG44" s="32"/>
      <c r="AH44" s="32"/>
      <c r="AI44" s="32"/>
      <c r="AJ44" s="32"/>
    </row>
    <row r="45" spans="1:36" s="2" customFormat="1" ht="15" customHeight="1" x14ac:dyDescent="0.25">
      <c r="A45" s="102"/>
      <c r="B45" s="105"/>
      <c r="C45" s="107"/>
      <c r="D45" s="108"/>
      <c r="E45" s="7" t="s">
        <v>149</v>
      </c>
      <c r="F45" s="30" t="s">
        <v>150</v>
      </c>
      <c r="G45" s="15" t="s">
        <v>109</v>
      </c>
      <c r="H45" s="98"/>
      <c r="I45" s="32"/>
      <c r="J45" s="19">
        <f>I45*VLOOKUP($F45,'Emission Factors'!$A$3:$E$44,5,FALSE)</f>
        <v>0</v>
      </c>
      <c r="K45" s="32"/>
      <c r="L45" s="19">
        <f>K45*VLOOKUP($F45,'Emission Factors'!$A$3:$E$44,5,FALSE)</f>
        <v>0</v>
      </c>
      <c r="M45" s="32"/>
      <c r="N45" s="19">
        <f>M45*VLOOKUP($F45,'Emission Factors'!$A$3:$E$44,5,FALSE)</f>
        <v>0</v>
      </c>
      <c r="O45" s="32"/>
      <c r="P45" s="19">
        <f>O45*VLOOKUP($F45,'Emission Factors'!$A$3:$E$44,5,FALSE)</f>
        <v>0</v>
      </c>
      <c r="Q45" s="32"/>
      <c r="R45" s="19">
        <f>Q45*VLOOKUP($F45,'Emission Factors'!$A$3:$E$44,5,FALSE)</f>
        <v>0</v>
      </c>
      <c r="S45" s="32"/>
      <c r="T45" s="19">
        <f>S45*VLOOKUP($F45,'Emission Factors'!$A$3:$E$44,5,FALSE)</f>
        <v>0</v>
      </c>
      <c r="U45" s="32"/>
      <c r="V45" s="19">
        <f>U45*VLOOKUP($F45,'Emission Factors'!$A$3:$E$44,5,FALSE)</f>
        <v>0</v>
      </c>
      <c r="W45" s="32"/>
      <c r="X45" s="19">
        <f>W45*VLOOKUP($F45,'Emission Factors'!$A$3:$E$44,5,FALSE)</f>
        <v>0</v>
      </c>
      <c r="Y45" s="32"/>
      <c r="Z45" s="19">
        <f>Y45*VLOOKUP($F45,'Emission Factors'!$A$3:$E$44,5,FALSE)</f>
        <v>0</v>
      </c>
      <c r="AA45" s="32"/>
      <c r="AB45" s="19">
        <f>AA45*VLOOKUP($F45,'Emission Factors'!$A$3:$E$44,5,FALSE)</f>
        <v>0</v>
      </c>
      <c r="AC45" s="32"/>
      <c r="AD45" s="19">
        <f>AC45*VLOOKUP($F45,'Emission Factors'!$A$3:$E$44,5,FALSE)</f>
        <v>0</v>
      </c>
      <c r="AE45" s="32"/>
      <c r="AF45" s="19">
        <f>AE45*VLOOKUP($F45,'Emission Factors'!$A$3:$E$44,5,FALSE)</f>
        <v>0</v>
      </c>
      <c r="AG45" s="32"/>
      <c r="AH45" s="32"/>
      <c r="AI45" s="32"/>
      <c r="AJ45" s="32"/>
    </row>
    <row r="46" spans="1:36" s="2" customFormat="1" ht="15" customHeight="1" x14ac:dyDescent="0.25">
      <c r="A46" s="102"/>
      <c r="B46" s="105"/>
      <c r="C46" s="107"/>
      <c r="D46" s="108"/>
      <c r="E46" s="7" t="s">
        <v>151</v>
      </c>
      <c r="F46" s="30" t="s">
        <v>152</v>
      </c>
      <c r="G46" s="15" t="s">
        <v>109</v>
      </c>
      <c r="H46" s="98"/>
      <c r="I46" s="32"/>
      <c r="J46" s="19">
        <f>I46*VLOOKUP($F46,'Emission Factors'!$A$3:$E$44,5,FALSE)</f>
        <v>0</v>
      </c>
      <c r="K46" s="32"/>
      <c r="L46" s="19">
        <f>K46*VLOOKUP($F46,'Emission Factors'!$A$3:$E$44,5,FALSE)</f>
        <v>0</v>
      </c>
      <c r="M46" s="32">
        <v>20</v>
      </c>
      <c r="N46" s="19">
        <f>M46*VLOOKUP($F46,'Emission Factors'!$A$3:$E$44,5,FALSE)</f>
        <v>4928.1327199999996</v>
      </c>
      <c r="O46" s="32"/>
      <c r="P46" s="19">
        <f>O46*VLOOKUP($F46,'Emission Factors'!$A$3:$E$44,5,FALSE)</f>
        <v>0</v>
      </c>
      <c r="Q46" s="32"/>
      <c r="R46" s="19">
        <f>Q46*VLOOKUP($F46,'Emission Factors'!$A$3:$E$44,5,FALSE)</f>
        <v>0</v>
      </c>
      <c r="S46" s="32"/>
      <c r="T46" s="19">
        <f>S46*VLOOKUP($F46,'Emission Factors'!$A$3:$E$44,5,FALSE)</f>
        <v>0</v>
      </c>
      <c r="U46" s="32"/>
      <c r="V46" s="19">
        <f>U46*VLOOKUP($F46,'Emission Factors'!$A$3:$E$44,5,FALSE)</f>
        <v>0</v>
      </c>
      <c r="W46" s="32"/>
      <c r="X46" s="19">
        <f>W46*VLOOKUP($F46,'Emission Factors'!$A$3:$E$44,5,FALSE)</f>
        <v>0</v>
      </c>
      <c r="Y46" s="32"/>
      <c r="Z46" s="19">
        <f>Y46*VLOOKUP($F46,'Emission Factors'!$A$3:$E$44,5,FALSE)</f>
        <v>0</v>
      </c>
      <c r="AA46" s="32"/>
      <c r="AB46" s="19">
        <f>AA46*VLOOKUP($F46,'Emission Factors'!$A$3:$E$44,5,FALSE)</f>
        <v>0</v>
      </c>
      <c r="AC46" s="32"/>
      <c r="AD46" s="19">
        <f>AC46*VLOOKUP($F46,'Emission Factors'!$A$3:$E$44,5,FALSE)</f>
        <v>0</v>
      </c>
      <c r="AE46" s="32"/>
      <c r="AF46" s="19">
        <f>AE46*VLOOKUP($F46,'Emission Factors'!$A$3:$E$44,5,FALSE)</f>
        <v>0</v>
      </c>
      <c r="AG46" s="32"/>
      <c r="AH46" s="32"/>
      <c r="AI46" s="32"/>
      <c r="AJ46" s="32"/>
    </row>
    <row r="47" spans="1:36" s="2" customFormat="1" ht="15" customHeight="1" x14ac:dyDescent="0.25">
      <c r="A47" s="102"/>
      <c r="B47" s="105"/>
      <c r="C47" s="107"/>
      <c r="D47" s="108"/>
      <c r="E47" s="7" t="s">
        <v>153</v>
      </c>
      <c r="F47" s="30" t="s">
        <v>154</v>
      </c>
      <c r="G47" s="15" t="s">
        <v>109</v>
      </c>
      <c r="H47" s="98"/>
      <c r="I47" s="32"/>
      <c r="J47" s="19">
        <f>I47*VLOOKUP($F47,'Emission Factors'!$A$3:$E$44,5,FALSE)</f>
        <v>0</v>
      </c>
      <c r="K47" s="32"/>
      <c r="L47" s="19">
        <f>K47*VLOOKUP($F47,'Emission Factors'!$A$3:$E$44,5,FALSE)</f>
        <v>0</v>
      </c>
      <c r="M47" s="32"/>
      <c r="N47" s="19">
        <f>M47*VLOOKUP($F47,'Emission Factors'!$A$3:$E$44,5,FALSE)</f>
        <v>0</v>
      </c>
      <c r="O47" s="32"/>
      <c r="P47" s="19">
        <f>O47*VLOOKUP($F47,'Emission Factors'!$A$3:$E$44,5,FALSE)</f>
        <v>0</v>
      </c>
      <c r="Q47" s="32"/>
      <c r="R47" s="19">
        <f>Q47*VLOOKUP($F47,'Emission Factors'!$A$3:$E$44,5,FALSE)</f>
        <v>0</v>
      </c>
      <c r="S47" s="32">
        <v>14</v>
      </c>
      <c r="T47" s="19">
        <f>S47*VLOOKUP($F47,'Emission Factors'!$A$3:$E$44,5,FALSE)</f>
        <v>6348.1848765999994</v>
      </c>
      <c r="U47" s="32"/>
      <c r="V47" s="19">
        <f>U47*VLOOKUP($F47,'Emission Factors'!$A$3:$E$44,5,FALSE)</f>
        <v>0</v>
      </c>
      <c r="W47" s="32">
        <v>33</v>
      </c>
      <c r="X47" s="19">
        <f>W47*VLOOKUP($F47,'Emission Factors'!$A$3:$E$44,5,FALSE)</f>
        <v>14963.578637699999</v>
      </c>
      <c r="Y47" s="32"/>
      <c r="Z47" s="19">
        <f>Y47*VLOOKUP($F47,'Emission Factors'!$A$3:$E$44,5,FALSE)</f>
        <v>0</v>
      </c>
      <c r="AA47" s="32"/>
      <c r="AB47" s="19">
        <f>AA47*VLOOKUP($F47,'Emission Factors'!$A$3:$E$44,5,FALSE)</f>
        <v>0</v>
      </c>
      <c r="AC47" s="32"/>
      <c r="AD47" s="19">
        <f>AC47*VLOOKUP($F47,'Emission Factors'!$A$3:$E$44,5,FALSE)</f>
        <v>0</v>
      </c>
      <c r="AE47" s="32"/>
      <c r="AF47" s="19">
        <f>AE47*VLOOKUP($F47,'Emission Factors'!$A$3:$E$44,5,FALSE)</f>
        <v>0</v>
      </c>
      <c r="AG47" s="32"/>
      <c r="AH47" s="32"/>
      <c r="AI47" s="32"/>
      <c r="AJ47" s="32"/>
    </row>
    <row r="48" spans="1:36" s="2" customFormat="1" ht="15" customHeight="1" x14ac:dyDescent="0.25">
      <c r="A48" s="102"/>
      <c r="B48" s="105"/>
      <c r="C48" s="107">
        <v>7.3</v>
      </c>
      <c r="D48" s="108" t="s">
        <v>155</v>
      </c>
      <c r="E48" s="7" t="s">
        <v>156</v>
      </c>
      <c r="F48" s="30" t="s">
        <v>157</v>
      </c>
      <c r="G48" s="15" t="s">
        <v>158</v>
      </c>
      <c r="H48" s="98" t="s">
        <v>159</v>
      </c>
      <c r="I48" s="32"/>
      <c r="J48" s="19">
        <f>I48*VLOOKUP($F48,'Emission Factors'!$A$3:$E$44,5,FALSE)</f>
        <v>0</v>
      </c>
      <c r="K48" s="32"/>
      <c r="L48" s="19">
        <f>K48*VLOOKUP($F48,'Emission Factors'!$A$3:$E$44,5,FALSE)</f>
        <v>0</v>
      </c>
      <c r="M48" s="32"/>
      <c r="N48" s="19">
        <f>M48*VLOOKUP($F48,'Emission Factors'!$A$3:$E$44,5,FALSE)</f>
        <v>0</v>
      </c>
      <c r="O48" s="32"/>
      <c r="P48" s="19">
        <f>O48*VLOOKUP($F48,'Emission Factors'!$A$3:$E$44,5,FALSE)</f>
        <v>0</v>
      </c>
      <c r="Q48" s="32"/>
      <c r="R48" s="19">
        <f>Q48*VLOOKUP($F48,'Emission Factors'!$A$3:$E$44,5,FALSE)</f>
        <v>0</v>
      </c>
      <c r="S48" s="32"/>
      <c r="T48" s="19">
        <f>S48*VLOOKUP($F48,'Emission Factors'!$A$3:$E$44,5,FALSE)</f>
        <v>0</v>
      </c>
      <c r="U48" s="32"/>
      <c r="V48" s="19">
        <f>U48*VLOOKUP($F48,'Emission Factors'!$A$3:$E$44,5,FALSE)</f>
        <v>0</v>
      </c>
      <c r="W48" s="32"/>
      <c r="X48" s="19">
        <f>W48*VLOOKUP($F48,'Emission Factors'!$A$3:$E$44,5,FALSE)</f>
        <v>0</v>
      </c>
      <c r="Y48" s="32"/>
      <c r="Z48" s="19">
        <f>Y48*VLOOKUP($F48,'Emission Factors'!$A$3:$E$44,5,FALSE)</f>
        <v>0</v>
      </c>
      <c r="AA48" s="32"/>
      <c r="AB48" s="19">
        <f>AA48*VLOOKUP($F48,'Emission Factors'!$A$3:$E$44,5,FALSE)</f>
        <v>0</v>
      </c>
      <c r="AC48" s="32"/>
      <c r="AD48" s="19">
        <f>AC48*VLOOKUP($F48,'Emission Factors'!$A$3:$E$44,5,FALSE)</f>
        <v>0</v>
      </c>
      <c r="AE48" s="32"/>
      <c r="AF48" s="19">
        <f>AE48*VLOOKUP($F48,'Emission Factors'!$A$3:$E$44,5,FALSE)</f>
        <v>0</v>
      </c>
      <c r="AG48" s="32"/>
      <c r="AH48" s="32"/>
      <c r="AI48" s="32"/>
      <c r="AJ48" s="32"/>
    </row>
    <row r="49" spans="1:36" s="2" customFormat="1" ht="15" customHeight="1" x14ac:dyDescent="0.25">
      <c r="A49" s="102"/>
      <c r="B49" s="105"/>
      <c r="C49" s="107"/>
      <c r="D49" s="108"/>
      <c r="E49" s="7" t="s">
        <v>160</v>
      </c>
      <c r="F49" s="30" t="s">
        <v>161</v>
      </c>
      <c r="G49" s="15" t="s">
        <v>158</v>
      </c>
      <c r="H49" s="98"/>
      <c r="I49" s="32"/>
      <c r="J49" s="19">
        <f>I49*VLOOKUP($F49,'Emission Factors'!$A$3:$E$44,5,FALSE)</f>
        <v>0</v>
      </c>
      <c r="K49" s="32"/>
      <c r="L49" s="19">
        <f>K49*VLOOKUP($F49,'Emission Factors'!$A$3:$E$44,5,FALSE)</f>
        <v>0</v>
      </c>
      <c r="M49" s="32"/>
      <c r="N49" s="19">
        <f>M49*VLOOKUP($F49,'Emission Factors'!$A$3:$E$44,5,FALSE)</f>
        <v>0</v>
      </c>
      <c r="O49" s="32"/>
      <c r="P49" s="19">
        <f>O49*VLOOKUP($F49,'Emission Factors'!$A$3:$E$44,5,FALSE)</f>
        <v>0</v>
      </c>
      <c r="Q49" s="32"/>
      <c r="R49" s="19">
        <f>Q49*VLOOKUP($F49,'Emission Factors'!$A$3:$E$44,5,FALSE)</f>
        <v>0</v>
      </c>
      <c r="S49" s="32"/>
      <c r="T49" s="19">
        <f>S49*VLOOKUP($F49,'Emission Factors'!$A$3:$E$44,5,FALSE)</f>
        <v>0</v>
      </c>
      <c r="U49" s="32"/>
      <c r="V49" s="19">
        <f>U49*VLOOKUP($F49,'Emission Factors'!$A$3:$E$44,5,FALSE)</f>
        <v>0</v>
      </c>
      <c r="W49" s="32"/>
      <c r="X49" s="19">
        <f>W49*VLOOKUP($F49,'Emission Factors'!$A$3:$E$44,5,FALSE)</f>
        <v>0</v>
      </c>
      <c r="Y49" s="32"/>
      <c r="Z49" s="19">
        <f>Y49*VLOOKUP($F49,'Emission Factors'!$A$3:$E$44,5,FALSE)</f>
        <v>0</v>
      </c>
      <c r="AA49" s="32"/>
      <c r="AB49" s="19">
        <f>AA49*VLOOKUP($F49,'Emission Factors'!$A$3:$E$44,5,FALSE)</f>
        <v>0</v>
      </c>
      <c r="AC49" s="32"/>
      <c r="AD49" s="19">
        <f>AC49*VLOOKUP($F49,'Emission Factors'!$A$3:$E$44,5,FALSE)</f>
        <v>0</v>
      </c>
      <c r="AE49" s="32"/>
      <c r="AF49" s="19">
        <f>AE49*VLOOKUP($F49,'Emission Factors'!$A$3:$E$44,5,FALSE)</f>
        <v>0</v>
      </c>
      <c r="AG49" s="32"/>
      <c r="AH49" s="32"/>
      <c r="AI49" s="32"/>
      <c r="AJ49" s="32"/>
    </row>
    <row r="50" spans="1:36" s="2" customFormat="1" ht="15" customHeight="1" x14ac:dyDescent="0.25">
      <c r="A50" s="102"/>
      <c r="B50" s="105"/>
      <c r="C50" s="107"/>
      <c r="D50" s="108"/>
      <c r="E50" s="7" t="s">
        <v>162</v>
      </c>
      <c r="F50" s="30" t="s">
        <v>163</v>
      </c>
      <c r="G50" s="15" t="s">
        <v>158</v>
      </c>
      <c r="H50" s="98"/>
      <c r="I50" s="32"/>
      <c r="J50" s="19">
        <f>I50*VLOOKUP($F50,'Emission Factors'!$A$3:$E$44,5,FALSE)</f>
        <v>0</v>
      </c>
      <c r="K50" s="32"/>
      <c r="L50" s="19">
        <f>K50*VLOOKUP($F50,'Emission Factors'!$A$3:$E$44,5,FALSE)</f>
        <v>0</v>
      </c>
      <c r="M50" s="32"/>
      <c r="N50" s="19">
        <f>M50*VLOOKUP($F50,'Emission Factors'!$A$3:$E$44,5,FALSE)</f>
        <v>0</v>
      </c>
      <c r="O50" s="32"/>
      <c r="P50" s="19">
        <f>O50*VLOOKUP($F50,'Emission Factors'!$A$3:$E$44,5,FALSE)</f>
        <v>0</v>
      </c>
      <c r="Q50" s="32"/>
      <c r="R50" s="19">
        <f>Q50*VLOOKUP($F50,'Emission Factors'!$A$3:$E$44,5,FALSE)</f>
        <v>0</v>
      </c>
      <c r="S50" s="32"/>
      <c r="T50" s="19">
        <f>S50*VLOOKUP($F50,'Emission Factors'!$A$3:$E$44,5,FALSE)</f>
        <v>0</v>
      </c>
      <c r="U50" s="32"/>
      <c r="V50" s="19">
        <f>U50*VLOOKUP($F50,'Emission Factors'!$A$3:$E$44,5,FALSE)</f>
        <v>0</v>
      </c>
      <c r="W50" s="32"/>
      <c r="X50" s="19">
        <f>W50*VLOOKUP($F50,'Emission Factors'!$A$3:$E$44,5,FALSE)</f>
        <v>0</v>
      </c>
      <c r="Y50" s="32"/>
      <c r="Z50" s="19">
        <f>Y50*VLOOKUP($F50,'Emission Factors'!$A$3:$E$44,5,FALSE)</f>
        <v>0</v>
      </c>
      <c r="AA50" s="32"/>
      <c r="AB50" s="19">
        <f>AA50*VLOOKUP($F50,'Emission Factors'!$A$3:$E$44,5,FALSE)</f>
        <v>0</v>
      </c>
      <c r="AC50" s="32"/>
      <c r="AD50" s="19">
        <f>AC50*VLOOKUP($F50,'Emission Factors'!$A$3:$E$44,5,FALSE)</f>
        <v>0</v>
      </c>
      <c r="AE50" s="32"/>
      <c r="AF50" s="19">
        <f>AE50*VLOOKUP($F50,'Emission Factors'!$A$3:$E$44,5,FALSE)</f>
        <v>0</v>
      </c>
      <c r="AG50" s="32"/>
      <c r="AH50" s="32"/>
      <c r="AI50" s="32"/>
      <c r="AJ50" s="32"/>
    </row>
    <row r="51" spans="1:36" s="2" customFormat="1" ht="15" customHeight="1" x14ac:dyDescent="0.25">
      <c r="A51" s="102"/>
      <c r="B51" s="105"/>
      <c r="C51" s="107"/>
      <c r="D51" s="108"/>
      <c r="E51" s="7" t="s">
        <v>164</v>
      </c>
      <c r="F51" s="30" t="s">
        <v>165</v>
      </c>
      <c r="G51" s="15" t="s">
        <v>158</v>
      </c>
      <c r="H51" s="98"/>
      <c r="I51" s="32"/>
      <c r="J51" s="19">
        <f>I51*VLOOKUP($F51,'Emission Factors'!$A$3:$E$44,5,FALSE)</f>
        <v>0</v>
      </c>
      <c r="K51" s="32"/>
      <c r="L51" s="19">
        <f>K51*VLOOKUP($F51,'Emission Factors'!$A$3:$E$44,5,FALSE)</f>
        <v>0</v>
      </c>
      <c r="M51" s="32"/>
      <c r="N51" s="19">
        <f>M51*VLOOKUP($F51,'Emission Factors'!$A$3:$E$44,5,FALSE)</f>
        <v>0</v>
      </c>
      <c r="O51" s="32"/>
      <c r="P51" s="19">
        <f>O51*VLOOKUP($F51,'Emission Factors'!$A$3:$E$44,5,FALSE)</f>
        <v>0</v>
      </c>
      <c r="Q51" s="32"/>
      <c r="R51" s="19">
        <f>Q51*VLOOKUP($F51,'Emission Factors'!$A$3:$E$44,5,FALSE)</f>
        <v>0</v>
      </c>
      <c r="S51" s="32"/>
      <c r="T51" s="19">
        <f>S51*VLOOKUP($F51,'Emission Factors'!$A$3:$E$44,5,FALSE)</f>
        <v>0</v>
      </c>
      <c r="U51" s="32"/>
      <c r="V51" s="19">
        <f>U51*VLOOKUP($F51,'Emission Factors'!$A$3:$E$44,5,FALSE)</f>
        <v>0</v>
      </c>
      <c r="W51" s="32"/>
      <c r="X51" s="19">
        <f>W51*VLOOKUP($F51,'Emission Factors'!$A$3:$E$44,5,FALSE)</f>
        <v>0</v>
      </c>
      <c r="Y51" s="32"/>
      <c r="Z51" s="19">
        <f>Y51*VLOOKUP($F51,'Emission Factors'!$A$3:$E$44,5,FALSE)</f>
        <v>0</v>
      </c>
      <c r="AA51" s="32"/>
      <c r="AB51" s="19">
        <f>AA51*VLOOKUP($F51,'Emission Factors'!$A$3:$E$44,5,FALSE)</f>
        <v>0</v>
      </c>
      <c r="AC51" s="32"/>
      <c r="AD51" s="19">
        <f>AC51*VLOOKUP($F51,'Emission Factors'!$A$3:$E$44,5,FALSE)</f>
        <v>0</v>
      </c>
      <c r="AE51" s="32"/>
      <c r="AF51" s="19">
        <f>AE51*VLOOKUP($F51,'Emission Factors'!$A$3:$E$44,5,FALSE)</f>
        <v>0</v>
      </c>
      <c r="AG51" s="32"/>
      <c r="AH51" s="32"/>
      <c r="AI51" s="32"/>
      <c r="AJ51" s="32"/>
    </row>
    <row r="52" spans="1:36" s="2" customFormat="1" ht="15" customHeight="1" x14ac:dyDescent="0.25">
      <c r="A52" s="102"/>
      <c r="B52" s="105"/>
      <c r="C52" s="107"/>
      <c r="D52" s="108"/>
      <c r="E52" s="7" t="s">
        <v>166</v>
      </c>
      <c r="F52" s="30" t="s">
        <v>167</v>
      </c>
      <c r="G52" s="15" t="s">
        <v>158</v>
      </c>
      <c r="H52" s="98"/>
      <c r="I52" s="32"/>
      <c r="J52" s="19">
        <f>I52*VLOOKUP($F52,'Emission Factors'!$A$3:$E$44,5,FALSE)</f>
        <v>0</v>
      </c>
      <c r="K52" s="32"/>
      <c r="L52" s="19">
        <f>K52*VLOOKUP($F52,'Emission Factors'!$A$3:$E$44,5,FALSE)</f>
        <v>0</v>
      </c>
      <c r="M52" s="32"/>
      <c r="N52" s="19">
        <f>M52*VLOOKUP($F52,'Emission Factors'!$A$3:$E$44,5,FALSE)</f>
        <v>0</v>
      </c>
      <c r="O52" s="32"/>
      <c r="P52" s="19">
        <f>O52*VLOOKUP($F52,'Emission Factors'!$A$3:$E$44,5,FALSE)</f>
        <v>0</v>
      </c>
      <c r="Q52" s="32"/>
      <c r="R52" s="19">
        <f>Q52*VLOOKUP($F52,'Emission Factors'!$A$3:$E$44,5,FALSE)</f>
        <v>0</v>
      </c>
      <c r="S52" s="32"/>
      <c r="T52" s="19">
        <f>S52*VLOOKUP($F52,'Emission Factors'!$A$3:$E$44,5,FALSE)</f>
        <v>0</v>
      </c>
      <c r="U52" s="32"/>
      <c r="V52" s="19">
        <f>U52*VLOOKUP($F52,'Emission Factors'!$A$3:$E$44,5,FALSE)</f>
        <v>0</v>
      </c>
      <c r="W52" s="32"/>
      <c r="X52" s="19">
        <f>W52*VLOOKUP($F52,'Emission Factors'!$A$3:$E$44,5,FALSE)</f>
        <v>0</v>
      </c>
      <c r="Y52" s="32"/>
      <c r="Z52" s="19">
        <f>Y52*VLOOKUP($F52,'Emission Factors'!$A$3:$E$44,5,FALSE)</f>
        <v>0</v>
      </c>
      <c r="AA52" s="32"/>
      <c r="AB52" s="19">
        <f>AA52*VLOOKUP($F52,'Emission Factors'!$A$3:$E$44,5,FALSE)</f>
        <v>0</v>
      </c>
      <c r="AC52" s="32"/>
      <c r="AD52" s="19">
        <f>AC52*VLOOKUP($F52,'Emission Factors'!$A$3:$E$44,5,FALSE)</f>
        <v>0</v>
      </c>
      <c r="AE52" s="32"/>
      <c r="AF52" s="19">
        <f>AE52*VLOOKUP($F52,'Emission Factors'!$A$3:$E$44,5,FALSE)</f>
        <v>0</v>
      </c>
      <c r="AG52" s="32"/>
      <c r="AH52" s="32"/>
      <c r="AI52" s="32"/>
      <c r="AJ52" s="32"/>
    </row>
    <row r="53" spans="1:36" s="2" customFormat="1" ht="15" customHeight="1" x14ac:dyDescent="0.25">
      <c r="A53" s="102"/>
      <c r="B53" s="105"/>
      <c r="C53" s="107">
        <v>7.4</v>
      </c>
      <c r="D53" s="108" t="s">
        <v>168</v>
      </c>
      <c r="E53" s="7" t="s">
        <v>169</v>
      </c>
      <c r="F53" s="7" t="s">
        <v>170</v>
      </c>
      <c r="G53" s="15" t="s">
        <v>171</v>
      </c>
      <c r="H53" s="28" t="s">
        <v>172</v>
      </c>
      <c r="I53" s="32"/>
      <c r="J53" s="20"/>
      <c r="K53" s="32"/>
      <c r="L53" s="20"/>
      <c r="M53" s="32"/>
      <c r="N53" s="20"/>
      <c r="O53" s="32"/>
      <c r="P53" s="20"/>
      <c r="Q53" s="32"/>
      <c r="R53" s="20"/>
      <c r="S53" s="32"/>
      <c r="T53" s="20"/>
      <c r="U53" s="32"/>
      <c r="V53" s="20"/>
      <c r="W53" s="32"/>
      <c r="X53" s="20"/>
      <c r="Y53" s="32"/>
      <c r="Z53" s="20"/>
      <c r="AA53" s="32"/>
      <c r="AB53" s="20"/>
      <c r="AC53" s="32"/>
      <c r="AD53" s="20"/>
      <c r="AE53" s="32"/>
      <c r="AF53" s="20"/>
      <c r="AG53" s="32"/>
      <c r="AH53" s="32"/>
      <c r="AI53" s="32"/>
      <c r="AJ53" s="32"/>
    </row>
    <row r="54" spans="1:36" s="2" customFormat="1" ht="15" customHeight="1" x14ac:dyDescent="0.25">
      <c r="A54" s="102"/>
      <c r="B54" s="105"/>
      <c r="C54" s="107"/>
      <c r="D54" s="108"/>
      <c r="E54" s="7" t="s">
        <v>173</v>
      </c>
      <c r="F54" s="7" t="s">
        <v>174</v>
      </c>
      <c r="G54" s="15" t="s">
        <v>82</v>
      </c>
      <c r="H54" s="28" t="s">
        <v>175</v>
      </c>
      <c r="I54" s="32"/>
      <c r="J54" s="26">
        <f>I54*VLOOKUP(LEFT($F54, 8), 'Emission Factors'!$A$3:$E$44, 5, FALSE)*1000</f>
        <v>0</v>
      </c>
      <c r="K54" s="32"/>
      <c r="L54" s="26">
        <f>K54*VLOOKUP(LEFT($F54, 8), 'Emission Factors'!$A$3:$E$44, 5, FALSE)*1000</f>
        <v>0</v>
      </c>
      <c r="M54" s="32"/>
      <c r="N54" s="26">
        <f>M54*VLOOKUP(LEFT($F54, 8), 'Emission Factors'!$A$3:$E$44, 5, FALSE)*1000</f>
        <v>0</v>
      </c>
      <c r="O54" s="32"/>
      <c r="P54" s="26">
        <f>O54*VLOOKUP(LEFT($F54, 8), 'Emission Factors'!$A$3:$E$44, 5, FALSE)*1000</f>
        <v>0</v>
      </c>
      <c r="Q54" s="32"/>
      <c r="R54" s="26">
        <f>Q54*VLOOKUP(LEFT($F54, 8), 'Emission Factors'!$A$3:$E$44, 5, FALSE)*1000</f>
        <v>0</v>
      </c>
      <c r="S54" s="32"/>
      <c r="T54" s="26">
        <f>S54*VLOOKUP(LEFT($F54, 8), 'Emission Factors'!$A$3:$E$44, 5, FALSE)*1000</f>
        <v>0</v>
      </c>
      <c r="U54" s="32"/>
      <c r="V54" s="26">
        <f>U54*VLOOKUP(LEFT($F54, 8), 'Emission Factors'!$A$3:$E$44, 5, FALSE)*1000</f>
        <v>0</v>
      </c>
      <c r="W54" s="32"/>
      <c r="X54" s="26">
        <f>W54*VLOOKUP(LEFT($F54, 8), 'Emission Factors'!$A$3:$E$44, 5, FALSE)*1000</f>
        <v>0</v>
      </c>
      <c r="Y54" s="32"/>
      <c r="Z54" s="26">
        <f>Y54*VLOOKUP(LEFT($F54, 8), 'Emission Factors'!$A$3:$E$44, 5, FALSE)*1000</f>
        <v>0</v>
      </c>
      <c r="AA54" s="32"/>
      <c r="AB54" s="26">
        <f>AA54*VLOOKUP(LEFT($F54, 8), 'Emission Factors'!$A$3:$E$44, 5, FALSE)*1000</f>
        <v>0</v>
      </c>
      <c r="AC54" s="32"/>
      <c r="AD54" s="26">
        <f>AC54*VLOOKUP(LEFT($F54, 8), 'Emission Factors'!$A$3:$E$44, 5, FALSE)*1000</f>
        <v>0</v>
      </c>
      <c r="AE54" s="32"/>
      <c r="AF54" s="26">
        <f>AE54*VLOOKUP(LEFT($F54, 8), 'Emission Factors'!$A$3:$E$44, 5, FALSE)*1000</f>
        <v>0</v>
      </c>
      <c r="AG54" s="32"/>
      <c r="AH54" s="32"/>
      <c r="AI54" s="32"/>
      <c r="AJ54" s="32"/>
    </row>
    <row r="55" spans="1:36" s="2" customFormat="1" ht="15" customHeight="1" x14ac:dyDescent="0.25">
      <c r="A55" s="102"/>
      <c r="B55" s="105"/>
      <c r="C55" s="107">
        <v>7</v>
      </c>
      <c r="D55" s="108" t="s">
        <v>176</v>
      </c>
      <c r="E55" s="7" t="s">
        <v>177</v>
      </c>
      <c r="F55" s="7" t="s">
        <v>170</v>
      </c>
      <c r="G55" s="15" t="s">
        <v>171</v>
      </c>
      <c r="H55" s="28" t="s">
        <v>172</v>
      </c>
      <c r="I55" s="32"/>
      <c r="J55" s="20"/>
      <c r="K55" s="32"/>
      <c r="L55" s="20"/>
      <c r="M55" s="32"/>
      <c r="N55" s="20"/>
      <c r="O55" s="32"/>
      <c r="P55" s="20"/>
      <c r="Q55" s="32"/>
      <c r="R55" s="20"/>
      <c r="S55" s="32"/>
      <c r="T55" s="20"/>
      <c r="U55" s="32"/>
      <c r="V55" s="20"/>
      <c r="W55" s="32"/>
      <c r="X55" s="20"/>
      <c r="Y55" s="32"/>
      <c r="Z55" s="20"/>
      <c r="AA55" s="32"/>
      <c r="AB55" s="20"/>
      <c r="AC55" s="32"/>
      <c r="AD55" s="20"/>
      <c r="AE55" s="32"/>
      <c r="AF55" s="20"/>
      <c r="AG55" s="32"/>
      <c r="AH55" s="32"/>
      <c r="AI55" s="32"/>
      <c r="AJ55" s="32"/>
    </row>
    <row r="56" spans="1:36" s="2" customFormat="1" ht="15" customHeight="1" x14ac:dyDescent="0.25">
      <c r="A56" s="102"/>
      <c r="B56" s="105"/>
      <c r="C56" s="107"/>
      <c r="D56" s="108"/>
      <c r="E56" s="7" t="s">
        <v>178</v>
      </c>
      <c r="F56" s="7" t="s">
        <v>174</v>
      </c>
      <c r="G56" s="15" t="s">
        <v>82</v>
      </c>
      <c r="H56" s="28" t="s">
        <v>175</v>
      </c>
      <c r="I56" s="32"/>
      <c r="J56" s="26">
        <f>I56*VLOOKUP(LEFT($F56, 8), 'Emission Factors'!$A$3:$E$44, 5, FALSE)*1000</f>
        <v>0</v>
      </c>
      <c r="K56" s="32"/>
      <c r="L56" s="26">
        <f>K56*VLOOKUP(LEFT($F56, 8), 'Emission Factors'!$A$3:$E$44, 5, FALSE)*1000</f>
        <v>0</v>
      </c>
      <c r="M56" s="32"/>
      <c r="N56" s="26">
        <f>M56*VLOOKUP(LEFT($F56, 8), 'Emission Factors'!$A$3:$E$44, 5, FALSE)*1000</f>
        <v>0</v>
      </c>
      <c r="O56" s="32"/>
      <c r="P56" s="26">
        <f>O56*VLOOKUP(LEFT($F56, 8), 'Emission Factors'!$A$3:$E$44, 5, FALSE)*1000</f>
        <v>0</v>
      </c>
      <c r="Q56" s="32"/>
      <c r="R56" s="26">
        <f>Q56*VLOOKUP(LEFT($F56, 8), 'Emission Factors'!$A$3:$E$44, 5, FALSE)*1000</f>
        <v>0</v>
      </c>
      <c r="S56" s="32"/>
      <c r="T56" s="26">
        <f>S56*VLOOKUP(LEFT($F56, 8), 'Emission Factors'!$A$3:$E$44, 5, FALSE)*1000</f>
        <v>0</v>
      </c>
      <c r="U56" s="32"/>
      <c r="V56" s="26">
        <f>U56*VLOOKUP(LEFT($F56, 8), 'Emission Factors'!$A$3:$E$44, 5, FALSE)*1000</f>
        <v>0</v>
      </c>
      <c r="W56" s="32"/>
      <c r="X56" s="26">
        <f>W56*VLOOKUP(LEFT($F56, 8), 'Emission Factors'!$A$3:$E$44, 5, FALSE)*1000</f>
        <v>0</v>
      </c>
      <c r="Y56" s="32"/>
      <c r="Z56" s="26">
        <f>Y56*VLOOKUP(LEFT($F56, 8), 'Emission Factors'!$A$3:$E$44, 5, FALSE)*1000</f>
        <v>0</v>
      </c>
      <c r="AA56" s="32"/>
      <c r="AB56" s="26">
        <f>AA56*VLOOKUP(LEFT($F56, 8), 'Emission Factors'!$A$3:$E$44, 5, FALSE)*1000</f>
        <v>0</v>
      </c>
      <c r="AC56" s="32"/>
      <c r="AD56" s="26">
        <f>AC56*VLOOKUP(LEFT($F56, 8), 'Emission Factors'!$A$3:$E$44, 5, FALSE)*1000</f>
        <v>0</v>
      </c>
      <c r="AE56" s="32"/>
      <c r="AF56" s="26">
        <f>AE56*VLOOKUP(LEFT($F56, 8), 'Emission Factors'!$A$3:$E$44, 5, FALSE)*1000</f>
        <v>0</v>
      </c>
      <c r="AG56" s="32"/>
      <c r="AH56" s="32"/>
      <c r="AI56" s="32"/>
      <c r="AJ56" s="32"/>
    </row>
    <row r="57" spans="1:36" s="2" customFormat="1" ht="15" customHeight="1" x14ac:dyDescent="0.25">
      <c r="A57" s="102"/>
      <c r="B57" s="105"/>
      <c r="C57" s="107">
        <v>7</v>
      </c>
      <c r="D57" s="108" t="s">
        <v>179</v>
      </c>
      <c r="E57" s="7" t="s">
        <v>180</v>
      </c>
      <c r="F57" s="7" t="s">
        <v>170</v>
      </c>
      <c r="G57" s="15" t="s">
        <v>171</v>
      </c>
      <c r="H57" s="28" t="s">
        <v>172</v>
      </c>
      <c r="I57" s="32"/>
      <c r="J57" s="20"/>
      <c r="K57" s="32"/>
      <c r="L57" s="20"/>
      <c r="M57" s="32"/>
      <c r="N57" s="20"/>
      <c r="O57" s="32"/>
      <c r="P57" s="20"/>
      <c r="Q57" s="32"/>
      <c r="R57" s="20"/>
      <c r="S57" s="32"/>
      <c r="T57" s="20"/>
      <c r="U57" s="32"/>
      <c r="V57" s="20"/>
      <c r="W57" s="32"/>
      <c r="X57" s="20"/>
      <c r="Y57" s="32"/>
      <c r="Z57" s="20"/>
      <c r="AA57" s="32"/>
      <c r="AB57" s="20"/>
      <c r="AC57" s="32"/>
      <c r="AD57" s="20"/>
      <c r="AE57" s="32"/>
      <c r="AF57" s="20"/>
      <c r="AG57" s="32"/>
      <c r="AH57" s="32"/>
      <c r="AI57" s="32"/>
      <c r="AJ57" s="32"/>
    </row>
    <row r="58" spans="1:36" s="2" customFormat="1" ht="15" customHeight="1" x14ac:dyDescent="0.25">
      <c r="A58" s="102"/>
      <c r="B58" s="105"/>
      <c r="C58" s="107"/>
      <c r="D58" s="108"/>
      <c r="E58" s="7" t="s">
        <v>181</v>
      </c>
      <c r="F58" s="7" t="s">
        <v>174</v>
      </c>
      <c r="G58" s="15" t="s">
        <v>82</v>
      </c>
      <c r="H58" s="28" t="s">
        <v>175</v>
      </c>
      <c r="I58" s="32"/>
      <c r="J58" s="26">
        <f>I58*VLOOKUP(LEFT($F58, 8), 'Emission Factors'!$A$3:$E$44, 5, FALSE)*1000</f>
        <v>0</v>
      </c>
      <c r="K58" s="32"/>
      <c r="L58" s="26">
        <f>K58*VLOOKUP(LEFT($F58, 8), 'Emission Factors'!$A$3:$E$44, 5, FALSE)*1000</f>
        <v>0</v>
      </c>
      <c r="M58" s="32"/>
      <c r="N58" s="26">
        <f>M58*VLOOKUP(LEFT($F58, 8), 'Emission Factors'!$A$3:$E$44, 5, FALSE)*1000</f>
        <v>0</v>
      </c>
      <c r="O58" s="32"/>
      <c r="P58" s="26">
        <f>O58*VLOOKUP(LEFT($F58, 8), 'Emission Factors'!$A$3:$E$44, 5, FALSE)*1000</f>
        <v>0</v>
      </c>
      <c r="Q58" s="32"/>
      <c r="R58" s="26">
        <f>Q58*VLOOKUP(LEFT($F58, 8), 'Emission Factors'!$A$3:$E$44, 5, FALSE)*1000</f>
        <v>0</v>
      </c>
      <c r="S58" s="32"/>
      <c r="T58" s="26">
        <f>S58*VLOOKUP(LEFT($F58, 8), 'Emission Factors'!$A$3:$E$44, 5, FALSE)*1000</f>
        <v>0</v>
      </c>
      <c r="U58" s="32"/>
      <c r="V58" s="26">
        <f>U58*VLOOKUP(LEFT($F58, 8), 'Emission Factors'!$A$3:$E$44, 5, FALSE)*1000</f>
        <v>0</v>
      </c>
      <c r="W58" s="32"/>
      <c r="X58" s="26">
        <f>W58*VLOOKUP(LEFT($F58, 8), 'Emission Factors'!$A$3:$E$44, 5, FALSE)*1000</f>
        <v>0</v>
      </c>
      <c r="Y58" s="32"/>
      <c r="Z58" s="26">
        <f>Y58*VLOOKUP(LEFT($F58, 8), 'Emission Factors'!$A$3:$E$44, 5, FALSE)*1000</f>
        <v>0</v>
      </c>
      <c r="AA58" s="32"/>
      <c r="AB58" s="26">
        <f>AA58*VLOOKUP(LEFT($F58, 8), 'Emission Factors'!$A$3:$E$44, 5, FALSE)*1000</f>
        <v>0</v>
      </c>
      <c r="AC58" s="32"/>
      <c r="AD58" s="26">
        <f>AC58*VLOOKUP(LEFT($F58, 8), 'Emission Factors'!$A$3:$E$44, 5, FALSE)*1000</f>
        <v>0</v>
      </c>
      <c r="AE58" s="32"/>
      <c r="AF58" s="26">
        <f>AE58*VLOOKUP(LEFT($F58, 8), 'Emission Factors'!$A$3:$E$44, 5, FALSE)*1000</f>
        <v>0</v>
      </c>
      <c r="AG58" s="32"/>
      <c r="AH58" s="32"/>
      <c r="AI58" s="32"/>
      <c r="AJ58" s="32"/>
    </row>
    <row r="59" spans="1:36" s="2" customFormat="1" ht="15" customHeight="1" x14ac:dyDescent="0.25">
      <c r="A59" s="102"/>
      <c r="B59" s="105"/>
      <c r="C59" s="107">
        <v>7</v>
      </c>
      <c r="D59" s="108" t="s">
        <v>182</v>
      </c>
      <c r="E59" s="7" t="s">
        <v>183</v>
      </c>
      <c r="F59" s="7" t="s">
        <v>170</v>
      </c>
      <c r="G59" s="15" t="s">
        <v>171</v>
      </c>
      <c r="H59" s="28" t="s">
        <v>172</v>
      </c>
      <c r="I59" s="32"/>
      <c r="J59" s="20"/>
      <c r="K59" s="32"/>
      <c r="L59" s="20"/>
      <c r="M59" s="32"/>
      <c r="N59" s="20"/>
      <c r="O59" s="32"/>
      <c r="P59" s="20"/>
      <c r="Q59" s="32"/>
      <c r="R59" s="20"/>
      <c r="S59" s="32"/>
      <c r="T59" s="20"/>
      <c r="U59" s="32"/>
      <c r="V59" s="20"/>
      <c r="W59" s="32"/>
      <c r="X59" s="20"/>
      <c r="Y59" s="32"/>
      <c r="Z59" s="20"/>
      <c r="AA59" s="32"/>
      <c r="AB59" s="20"/>
      <c r="AC59" s="32"/>
      <c r="AD59" s="20"/>
      <c r="AE59" s="32"/>
      <c r="AF59" s="20"/>
      <c r="AG59" s="32"/>
      <c r="AH59" s="32"/>
      <c r="AI59" s="32"/>
      <c r="AJ59" s="32"/>
    </row>
    <row r="60" spans="1:36" s="2" customFormat="1" ht="15" customHeight="1" x14ac:dyDescent="0.25">
      <c r="A60" s="102"/>
      <c r="B60" s="105"/>
      <c r="C60" s="107"/>
      <c r="D60" s="108"/>
      <c r="E60" s="7" t="s">
        <v>184</v>
      </c>
      <c r="F60" s="7" t="s">
        <v>174</v>
      </c>
      <c r="G60" s="15" t="s">
        <v>82</v>
      </c>
      <c r="H60" s="28" t="s">
        <v>175</v>
      </c>
      <c r="I60" s="32"/>
      <c r="J60" s="26">
        <f>I60*VLOOKUP(LEFT($F60, 8), 'Emission Factors'!$A$3:$E$44, 5, FALSE)*1000</f>
        <v>0</v>
      </c>
      <c r="K60" s="32"/>
      <c r="L60" s="26">
        <f>K60*VLOOKUP(LEFT($F60, 8), 'Emission Factors'!$A$3:$E$44, 5, FALSE)*1000</f>
        <v>0</v>
      </c>
      <c r="M60" s="32"/>
      <c r="N60" s="26">
        <f>M60*VLOOKUP(LEFT($F60, 8), 'Emission Factors'!$A$3:$E$44, 5, FALSE)*1000</f>
        <v>0</v>
      </c>
      <c r="O60" s="32"/>
      <c r="P60" s="26">
        <f>O60*VLOOKUP(LEFT($F60, 8), 'Emission Factors'!$A$3:$E$44, 5, FALSE)*1000</f>
        <v>0</v>
      </c>
      <c r="Q60" s="32"/>
      <c r="R60" s="26">
        <f>Q60*VLOOKUP(LEFT($F60, 8), 'Emission Factors'!$A$3:$E$44, 5, FALSE)*1000</f>
        <v>0</v>
      </c>
      <c r="S60" s="32"/>
      <c r="T60" s="26">
        <f>S60*VLOOKUP(LEFT($F60, 8), 'Emission Factors'!$A$3:$E$44, 5, FALSE)*1000</f>
        <v>0</v>
      </c>
      <c r="U60" s="32"/>
      <c r="V60" s="26">
        <f>U60*VLOOKUP(LEFT($F60, 8), 'Emission Factors'!$A$3:$E$44, 5, FALSE)*1000</f>
        <v>0</v>
      </c>
      <c r="W60" s="32"/>
      <c r="X60" s="26">
        <f>W60*VLOOKUP(LEFT($F60, 8), 'Emission Factors'!$A$3:$E$44, 5, FALSE)*1000</f>
        <v>0</v>
      </c>
      <c r="Y60" s="32"/>
      <c r="Z60" s="26">
        <f>Y60*VLOOKUP(LEFT($F60, 8), 'Emission Factors'!$A$3:$E$44, 5, FALSE)*1000</f>
        <v>0</v>
      </c>
      <c r="AA60" s="32"/>
      <c r="AB60" s="26">
        <f>AA60*VLOOKUP(LEFT($F60, 8), 'Emission Factors'!$A$3:$E$44, 5, FALSE)*1000</f>
        <v>0</v>
      </c>
      <c r="AC60" s="32"/>
      <c r="AD60" s="26">
        <f>AC60*VLOOKUP(LEFT($F60, 8), 'Emission Factors'!$A$3:$E$44, 5, FALSE)*1000</f>
        <v>0</v>
      </c>
      <c r="AE60" s="32"/>
      <c r="AF60" s="26">
        <f>AE60*VLOOKUP(LEFT($F60, 8), 'Emission Factors'!$A$3:$E$44, 5, FALSE)*1000</f>
        <v>0</v>
      </c>
      <c r="AG60" s="32"/>
      <c r="AH60" s="32"/>
      <c r="AI60" s="32"/>
      <c r="AJ60" s="32"/>
    </row>
    <row r="61" spans="1:36" s="2" customFormat="1" ht="35.25" customHeight="1" x14ac:dyDescent="0.25">
      <c r="A61" s="102"/>
      <c r="B61" s="105"/>
      <c r="C61" s="29">
        <v>7</v>
      </c>
      <c r="D61" s="27" t="s">
        <v>56</v>
      </c>
      <c r="E61" s="7" t="s">
        <v>185</v>
      </c>
      <c r="F61" s="7" t="s">
        <v>56</v>
      </c>
      <c r="G61" s="15" t="s">
        <v>15</v>
      </c>
      <c r="H61" s="4" t="s">
        <v>58</v>
      </c>
      <c r="I61" s="32"/>
      <c r="J61" s="19">
        <f>I61</f>
        <v>0</v>
      </c>
      <c r="K61" s="32"/>
      <c r="L61" s="19">
        <f>K61</f>
        <v>0</v>
      </c>
      <c r="M61" s="32"/>
      <c r="N61" s="19">
        <f>M61</f>
        <v>0</v>
      </c>
      <c r="O61" s="32"/>
      <c r="P61" s="19">
        <f>O61</f>
        <v>0</v>
      </c>
      <c r="Q61" s="32"/>
      <c r="R61" s="19">
        <f>Q61</f>
        <v>0</v>
      </c>
      <c r="S61" s="32"/>
      <c r="T61" s="19">
        <f>S61</f>
        <v>0</v>
      </c>
      <c r="U61" s="32"/>
      <c r="V61" s="19">
        <f>U61</f>
        <v>0</v>
      </c>
      <c r="W61" s="32"/>
      <c r="X61" s="19">
        <f>W61</f>
        <v>0</v>
      </c>
      <c r="Y61" s="32"/>
      <c r="Z61" s="19">
        <f>Y61</f>
        <v>0</v>
      </c>
      <c r="AA61" s="32"/>
      <c r="AB61" s="19">
        <f>AA61</f>
        <v>0</v>
      </c>
      <c r="AC61" s="32"/>
      <c r="AD61" s="19">
        <f>AC61</f>
        <v>0</v>
      </c>
      <c r="AE61" s="32"/>
      <c r="AF61" s="19">
        <f>AE61</f>
        <v>0</v>
      </c>
      <c r="AG61" s="32"/>
      <c r="AH61" s="32"/>
      <c r="AI61" s="32"/>
      <c r="AJ61" s="32"/>
    </row>
    <row r="62" spans="1:36" s="2" customFormat="1" ht="35.25" customHeight="1" x14ac:dyDescent="0.25">
      <c r="A62" s="33"/>
      <c r="B62" s="34"/>
      <c r="C62" s="29">
        <v>7</v>
      </c>
      <c r="D62" s="27" t="s">
        <v>186</v>
      </c>
      <c r="E62" s="7">
        <v>7.9</v>
      </c>
      <c r="F62" s="30" t="s">
        <v>187</v>
      </c>
      <c r="G62" s="15" t="s">
        <v>82</v>
      </c>
      <c r="H62" s="4" t="s">
        <v>188</v>
      </c>
      <c r="I62" s="32">
        <v>62</v>
      </c>
      <c r="J62" s="19">
        <f>I62*VLOOKUP(RIGHT($F62, 6), 'Emission Factors'!$A$3:$E$44, 5, FALSE)</f>
        <v>58.64697056</v>
      </c>
      <c r="K62" s="32">
        <v>38.4</v>
      </c>
      <c r="L62" s="19">
        <f>K62*VLOOKUP(RIGHT($F62, 6), 'Emission Factors'!$A$3:$E$44, 5, FALSE)</f>
        <v>36.323284991999998</v>
      </c>
      <c r="M62" s="32">
        <v>183.74</v>
      </c>
      <c r="N62" s="19">
        <f>M62*VLOOKUP(RIGHT($F62, 6), 'Emission Factors'!$A$3:$E$44, 5, FALSE)</f>
        <v>173.8031350112</v>
      </c>
      <c r="O62" s="32">
        <v>6.35</v>
      </c>
      <c r="P62" s="19">
        <f>O62*VLOOKUP(RIGHT($F62, 6), 'Emission Factors'!$A$3:$E$44, 5, FALSE)</f>
        <v>6.0065848879999999</v>
      </c>
      <c r="Q62" s="32">
        <v>76.03</v>
      </c>
      <c r="R62" s="19">
        <f>Q62*VLOOKUP(RIGHT($F62, 6), 'Emission Factors'!$A$3:$E$44, 5, FALSE)</f>
        <v>71.918212446400005</v>
      </c>
      <c r="S62" s="32">
        <v>210.53</v>
      </c>
      <c r="T62" s="19">
        <f>S62*VLOOKUP(RIGHT($F62, 6), 'Emission Factors'!$A$3:$E$44, 5, FALSE)</f>
        <v>199.14430180639999</v>
      </c>
      <c r="U62" s="32">
        <v>30.96</v>
      </c>
      <c r="V62" s="19">
        <f>U62*VLOOKUP(RIGHT($F62, 6), 'Emission Factors'!$A$3:$E$44, 5, FALSE)</f>
        <v>29.285648524800003</v>
      </c>
      <c r="W62" s="32"/>
      <c r="X62" s="19">
        <f>W62*VLOOKUP(RIGHT($F62, 6), 'Emission Factors'!$A$3:$E$44, 5, FALSE)</f>
        <v>0</v>
      </c>
      <c r="Y62" s="32"/>
      <c r="Z62" s="19">
        <f>Y62*VLOOKUP(RIGHT($F62, 6), 'Emission Factors'!$A$3:$E$44, 5, FALSE)</f>
        <v>0</v>
      </c>
      <c r="AA62" s="32"/>
      <c r="AB62" s="19">
        <f>AA62*VLOOKUP(RIGHT($F62, 6), 'Emission Factors'!$A$3:$E$44, 5, FALSE)</f>
        <v>0</v>
      </c>
      <c r="AC62" s="32"/>
      <c r="AD62" s="19">
        <f>AC62*VLOOKUP(RIGHT($F62, 6), 'Emission Factors'!$A$3:$E$44, 5, FALSE)</f>
        <v>0</v>
      </c>
      <c r="AE62" s="32"/>
      <c r="AF62" s="19">
        <f>AE62*VLOOKUP(RIGHT($F62, 6), 'Emission Factors'!$A$3:$E$44, 5, FALSE)</f>
        <v>0</v>
      </c>
      <c r="AG62" s="32"/>
      <c r="AH62" s="32"/>
      <c r="AI62" s="32"/>
      <c r="AJ62" s="32"/>
    </row>
    <row r="63" spans="1:36" s="2" customFormat="1" ht="38.25" customHeight="1" x14ac:dyDescent="0.25">
      <c r="A63" s="101">
        <v>8</v>
      </c>
      <c r="B63" s="104" t="s">
        <v>21</v>
      </c>
      <c r="C63" s="107">
        <v>8.1</v>
      </c>
      <c r="D63" s="108" t="s">
        <v>189</v>
      </c>
      <c r="E63" s="7" t="s">
        <v>190</v>
      </c>
      <c r="F63" s="30" t="s">
        <v>191</v>
      </c>
      <c r="G63" s="15" t="s">
        <v>82</v>
      </c>
      <c r="H63" s="4" t="s">
        <v>192</v>
      </c>
      <c r="I63" s="32">
        <v>1011.2</v>
      </c>
      <c r="J63" s="19">
        <f>I63*VLOOKUP($F63,'Emission Factors'!$A$3:$E$44,5,FALSE)*1000</f>
        <v>3105.8340608000003</v>
      </c>
      <c r="K63" s="32">
        <v>319.2</v>
      </c>
      <c r="L63" s="19">
        <f>K63*VLOOKUP($F63,'Emission Factors'!$A$3:$E$44,5,FALSE)*1000</f>
        <v>980.40173279999999</v>
      </c>
      <c r="M63" s="32">
        <v>185.44</v>
      </c>
      <c r="N63" s="19">
        <f>M63*VLOOKUP($F63,'Emission Factors'!$A$3:$E$44,5,FALSE)*1000</f>
        <v>569.56672096</v>
      </c>
      <c r="O63" s="32">
        <v>2453.4899999999998</v>
      </c>
      <c r="P63" s="19">
        <f>O63*VLOOKUP($F63,'Emission Factors'!$A$3:$E$44,5,FALSE)*1000</f>
        <v>7535.7326046600001</v>
      </c>
      <c r="Q63" s="32">
        <v>11670.15</v>
      </c>
      <c r="R63" s="19">
        <f>Q63*VLOOKUP($F63,'Emission Factors'!$A$3:$E$44,5,FALSE)*1000</f>
        <v>35844.095495100002</v>
      </c>
      <c r="S63" s="32">
        <v>11544.43</v>
      </c>
      <c r="T63" s="19">
        <f>S63*VLOOKUP($F63,'Emission Factors'!$A$3:$E$44,5,FALSE)*1000</f>
        <v>35457.954812620002</v>
      </c>
      <c r="U63" s="32">
        <v>6183.32</v>
      </c>
      <c r="V63" s="19">
        <f>U63*VLOOKUP($F63,'Emission Factors'!$A$3:$E$44,5,FALSE)*1000</f>
        <v>18991.659280880001</v>
      </c>
      <c r="W63" s="32">
        <v>2146.6999999999998</v>
      </c>
      <c r="X63" s="19">
        <f>W63*VLOOKUP($F63,'Emission Factors'!$A$3:$E$44,5,FALSE)*1000</f>
        <v>6593.4473677999995</v>
      </c>
      <c r="Y63" s="32"/>
      <c r="Z63" s="19">
        <f>Y63*'Emission Factors'!$E$5*1000</f>
        <v>0</v>
      </c>
      <c r="AA63" s="32"/>
      <c r="AB63" s="19">
        <f>AA63*'Emission Factors'!$E$5*1000</f>
        <v>0</v>
      </c>
      <c r="AC63" s="32"/>
      <c r="AD63" s="19">
        <f>AC63*'Emission Factors'!$E$5*1000</f>
        <v>0</v>
      </c>
      <c r="AE63" s="32"/>
      <c r="AF63" s="19">
        <f>AE63*'Emission Factors'!$E$5*1000</f>
        <v>0</v>
      </c>
      <c r="AG63" s="32"/>
      <c r="AH63" s="32"/>
      <c r="AI63" s="32"/>
      <c r="AJ63" s="32" t="s">
        <v>193</v>
      </c>
    </row>
    <row r="64" spans="1:36" s="2" customFormat="1" ht="45" x14ac:dyDescent="0.25">
      <c r="A64" s="102"/>
      <c r="B64" s="105"/>
      <c r="C64" s="107"/>
      <c r="D64" s="108"/>
      <c r="E64" s="7" t="s">
        <v>194</v>
      </c>
      <c r="F64" s="7" t="s">
        <v>195</v>
      </c>
      <c r="G64" s="15" t="s">
        <v>82</v>
      </c>
      <c r="H64" s="4" t="s">
        <v>196</v>
      </c>
      <c r="I64" s="32">
        <v>105</v>
      </c>
      <c r="J64" s="19">
        <f>I64*VLOOKUP(LEFT($F64, 26),'Emission Factors'!$A$3:$E$44,5,FALSE)*1000</f>
        <v>1892.3139899999996</v>
      </c>
      <c r="K64" s="32">
        <v>652</v>
      </c>
      <c r="L64" s="19">
        <f>K64*VLOOKUP(LEFT($F64, 26),'Emission Factors'!$A$3:$E$44,5,FALSE)*1000</f>
        <v>11750.368775999998</v>
      </c>
      <c r="M64" s="32">
        <v>320</v>
      </c>
      <c r="N64" s="19">
        <f>M64*VLOOKUP(LEFT($F64, 26),'Emission Factors'!$A$3:$E$44,5,FALSE)*1000</f>
        <v>5767.0521599999984</v>
      </c>
      <c r="O64" s="32">
        <v>9691</v>
      </c>
      <c r="P64" s="19">
        <f>O64*VLOOKUP(LEFT($F64, 26),'Emission Factors'!$A$3:$E$44,5,FALSE)*1000</f>
        <v>174651.57025799996</v>
      </c>
      <c r="Q64" s="32">
        <v>11730</v>
      </c>
      <c r="R64" s="19">
        <f>Q64*VLOOKUP(LEFT($F64, 26),'Emission Factors'!$A$3:$E$44,5,FALSE)*1000</f>
        <v>211398.50573999996</v>
      </c>
      <c r="S64" s="32">
        <v>6629</v>
      </c>
      <c r="T64" s="19">
        <f>S64*VLOOKUP(LEFT($F64, 26),'Emission Factors'!$A$3:$E$44,5,FALSE)*1000</f>
        <v>119468.08990199998</v>
      </c>
      <c r="U64" s="32">
        <v>8268</v>
      </c>
      <c r="V64" s="19">
        <f>U64*VLOOKUP(LEFT($F64, 26),'Emission Factors'!$A$3:$E$44,5,FALSE)*1000</f>
        <v>149006.21018399997</v>
      </c>
      <c r="W64" s="32">
        <v>3858</v>
      </c>
      <c r="X64" s="19">
        <f>W64*VLOOKUP(LEFT($F64, 26),'Emission Factors'!$A$3:$E$44,5,FALSE)*1000</f>
        <v>69529.022603999998</v>
      </c>
      <c r="Y64" s="32"/>
      <c r="Z64" s="19">
        <f>Y64*VLOOKUP(LEFT($F64, 26),'Emission Factors'!$A$3:$E$44,5,FALSE)*1000</f>
        <v>0</v>
      </c>
      <c r="AA64" s="32"/>
      <c r="AB64" s="19">
        <f>AA64*VLOOKUP(LEFT($F64, 26),'Emission Factors'!$A$3:$E$44,5,FALSE)*1000</f>
        <v>0</v>
      </c>
      <c r="AC64" s="32"/>
      <c r="AD64" s="19">
        <f>AC64*VLOOKUP(LEFT($F64, 26),'Emission Factors'!$A$3:$E$44,5,FALSE)*1000</f>
        <v>0</v>
      </c>
      <c r="AE64" s="32"/>
      <c r="AF64" s="19">
        <f>AE64*VLOOKUP(LEFT($F64, 26),'Emission Factors'!$A$3:$E$44,5,FALSE)*1000</f>
        <v>0</v>
      </c>
      <c r="AG64" s="32"/>
      <c r="AH64" s="32"/>
      <c r="AI64" s="32"/>
      <c r="AJ64" s="32" t="s">
        <v>197</v>
      </c>
    </row>
    <row r="65" spans="1:36" s="2" customFormat="1" ht="45" x14ac:dyDescent="0.25">
      <c r="A65" s="102"/>
      <c r="B65" s="105"/>
      <c r="C65" s="107"/>
      <c r="D65" s="108"/>
      <c r="E65" s="7" t="s">
        <v>194</v>
      </c>
      <c r="F65" s="7" t="s">
        <v>198</v>
      </c>
      <c r="G65" s="15" t="s">
        <v>82</v>
      </c>
      <c r="H65" s="4" t="s">
        <v>196</v>
      </c>
      <c r="I65" s="32"/>
      <c r="J65" s="19">
        <f>I65*VLOOKUP(LEFT($F65, 26),'Emission Factors'!$A$3:$E$44,5,FALSE)*1000</f>
        <v>0</v>
      </c>
      <c r="K65" s="32"/>
      <c r="L65" s="19">
        <f>K65*VLOOKUP(LEFT($F65, 26),'Emission Factors'!$A$3:$E$44,5,FALSE)*1000</f>
        <v>0</v>
      </c>
      <c r="M65" s="32">
        <v>287</v>
      </c>
      <c r="N65" s="19">
        <f>M65*VLOOKUP(LEFT($F65, 26),'Emission Factors'!$A$3:$E$44,5,FALSE)*1000</f>
        <v>5172.3249059999989</v>
      </c>
      <c r="O65" s="32">
        <v>3121</v>
      </c>
      <c r="P65" s="19">
        <f>O65*VLOOKUP(LEFT($F65, 26),'Emission Factors'!$A$3:$E$44,5,FALSE)*1000</f>
        <v>56246.78059799999</v>
      </c>
      <c r="Q65" s="32">
        <v>3498</v>
      </c>
      <c r="R65" s="19">
        <f>Q65*VLOOKUP(LEFT($F65, 26),'Emission Factors'!$A$3:$E$44,5,FALSE)*1000</f>
        <v>63041.088923999996</v>
      </c>
      <c r="S65" s="32">
        <v>2642</v>
      </c>
      <c r="T65" s="19">
        <f>S65*VLOOKUP(LEFT($F65, 26),'Emission Factors'!$A$3:$E$44,5,FALSE)*1000</f>
        <v>47614.224395999991</v>
      </c>
      <c r="U65" s="32">
        <v>2949</v>
      </c>
      <c r="V65" s="19">
        <f>U65*VLOOKUP(LEFT($F65, 26),'Emission Factors'!$A$3:$E$44,5,FALSE)*1000</f>
        <v>53146.99006199999</v>
      </c>
      <c r="W65" s="32">
        <v>566</v>
      </c>
      <c r="X65" s="19">
        <f>W65*VLOOKUP(LEFT($F65, 26),'Emission Factors'!$A$3:$E$44,5,FALSE)*1000</f>
        <v>10200.473507999997</v>
      </c>
      <c r="Y65" s="32"/>
      <c r="Z65" s="19">
        <f>Y65*VLOOKUP(LEFT($F65, 26),'Emission Factors'!$A$3:$E$44,5,FALSE)*1000</f>
        <v>0</v>
      </c>
      <c r="AA65" s="32"/>
      <c r="AB65" s="19">
        <f>AA65*VLOOKUP(LEFT($F65, 26),'Emission Factors'!$A$3:$E$44,5,FALSE)*1000</f>
        <v>0</v>
      </c>
      <c r="AC65" s="32"/>
      <c r="AD65" s="19">
        <f>AC65*VLOOKUP(LEFT($F65, 26),'Emission Factors'!$A$3:$E$44,5,FALSE)*1000</f>
        <v>0</v>
      </c>
      <c r="AE65" s="32"/>
      <c r="AF65" s="19">
        <f>AE65*VLOOKUP(LEFT($F65, 26),'Emission Factors'!$A$3:$E$44,5,FALSE)*1000</f>
        <v>0</v>
      </c>
      <c r="AG65" s="32"/>
      <c r="AH65" s="32"/>
      <c r="AI65" s="32"/>
      <c r="AJ65" s="32" t="s">
        <v>197</v>
      </c>
    </row>
    <row r="66" spans="1:36" s="2" customFormat="1" ht="45" x14ac:dyDescent="0.25">
      <c r="A66" s="102"/>
      <c r="B66" s="105"/>
      <c r="C66" s="107"/>
      <c r="D66" s="108"/>
      <c r="E66" s="7" t="s">
        <v>194</v>
      </c>
      <c r="F66" s="7" t="s">
        <v>199</v>
      </c>
      <c r="G66" s="15" t="s">
        <v>82</v>
      </c>
      <c r="H66" s="4" t="s">
        <v>196</v>
      </c>
      <c r="I66" s="32"/>
      <c r="J66" s="19">
        <f>I66*VLOOKUP(LEFT($F66, 26),'Emission Factors'!$A$3:$E$44,5,FALSE)*1000</f>
        <v>0</v>
      </c>
      <c r="K66" s="32"/>
      <c r="L66" s="19">
        <f>K66*VLOOKUP(LEFT($F66, 26),'Emission Factors'!$A$3:$E$44,5,FALSE)*1000</f>
        <v>0</v>
      </c>
      <c r="M66" s="32"/>
      <c r="N66" s="19">
        <f>M66*VLOOKUP(LEFT($F66, 26),'Emission Factors'!$A$3:$E$44,5,FALSE)*1000</f>
        <v>0</v>
      </c>
      <c r="O66" s="32"/>
      <c r="P66" s="19">
        <f>O66*VLOOKUP(LEFT($F66, 26),'Emission Factors'!$A$3:$E$44,5,FALSE)*1000</f>
        <v>0</v>
      </c>
      <c r="Q66" s="32"/>
      <c r="R66" s="19">
        <f>Q66*VLOOKUP(LEFT($F66, 26),'Emission Factors'!$A$3:$E$44,5,FALSE)*1000</f>
        <v>0</v>
      </c>
      <c r="S66" s="32"/>
      <c r="T66" s="19">
        <f>S66*VLOOKUP(LEFT($F66, 26),'Emission Factors'!$A$3:$E$44,5,FALSE)*1000</f>
        <v>0</v>
      </c>
      <c r="U66" s="32">
        <v>152</v>
      </c>
      <c r="V66" s="19">
        <f>U66*VLOOKUP(LEFT($F66, 26),'Emission Factors'!$A$3:$E$44,5,FALSE)*1000</f>
        <v>2739.3497759999996</v>
      </c>
      <c r="W66" s="32"/>
      <c r="X66" s="19">
        <f>W66*VLOOKUP(LEFT($F66, 26),'Emission Factors'!$A$3:$E$44,5,FALSE)*1000</f>
        <v>0</v>
      </c>
      <c r="Y66" s="32"/>
      <c r="Z66" s="19">
        <f>Y66*VLOOKUP(LEFT($F66, 26),'Emission Factors'!$A$3:$E$44,5,FALSE)*1000</f>
        <v>0</v>
      </c>
      <c r="AA66" s="32"/>
      <c r="AB66" s="19">
        <f>AA66*VLOOKUP(LEFT($F66, 26),'Emission Factors'!$A$3:$E$44,5,FALSE)*1000</f>
        <v>0</v>
      </c>
      <c r="AC66" s="32"/>
      <c r="AD66" s="19">
        <f>AC66*VLOOKUP(LEFT($F66, 26),'Emission Factors'!$A$3:$E$44,5,FALSE)*1000</f>
        <v>0</v>
      </c>
      <c r="AE66" s="32"/>
      <c r="AF66" s="19">
        <f>AE66*VLOOKUP(LEFT($F66, 26),'Emission Factors'!$A$3:$E$44,5,FALSE)*1000</f>
        <v>0</v>
      </c>
      <c r="AG66" s="32"/>
      <c r="AH66" s="32"/>
      <c r="AI66" s="32"/>
      <c r="AJ66" s="32" t="s">
        <v>197</v>
      </c>
    </row>
    <row r="67" spans="1:36" s="2" customFormat="1" ht="15" customHeight="1" x14ac:dyDescent="0.25">
      <c r="A67" s="102"/>
      <c r="B67" s="105"/>
      <c r="C67" s="107"/>
      <c r="D67" s="108"/>
      <c r="E67" s="7" t="s">
        <v>200</v>
      </c>
      <c r="F67" s="7" t="s">
        <v>201</v>
      </c>
      <c r="G67" s="15" t="s">
        <v>82</v>
      </c>
      <c r="H67" s="4" t="s">
        <v>202</v>
      </c>
      <c r="I67" s="32"/>
      <c r="J67" s="19">
        <f>I67*VLOOKUP($F67,'Emission Factors'!$A$3:$E$44,5,FALSE)*1000</f>
        <v>0</v>
      </c>
      <c r="K67" s="32"/>
      <c r="L67" s="19">
        <f>K67*VLOOKUP($F67,'Emission Factors'!$A$3:$E$44,5,FALSE)*1000</f>
        <v>0</v>
      </c>
      <c r="M67" s="32"/>
      <c r="N67" s="19">
        <f>M67*VLOOKUP($F67,'Emission Factors'!$A$3:$E$44,5,FALSE)*1000</f>
        <v>0</v>
      </c>
      <c r="O67" s="32"/>
      <c r="P67" s="19">
        <f>O67*VLOOKUP($F67,'Emission Factors'!$A$3:$E$44,5,FALSE)*1000</f>
        <v>0</v>
      </c>
      <c r="Q67" s="32"/>
      <c r="R67" s="19">
        <f>Q67*VLOOKUP($F67,'Emission Factors'!$A$3:$E$44,5,FALSE)*1000</f>
        <v>0</v>
      </c>
      <c r="S67" s="32"/>
      <c r="T67" s="19">
        <f>S67*VLOOKUP($F67,'Emission Factors'!$A$3:$E$44,5,FALSE)*1000</f>
        <v>0</v>
      </c>
      <c r="U67" s="32"/>
      <c r="V67" s="19">
        <f>U67*VLOOKUP($F67,'Emission Factors'!$A$3:$E$44,5,FALSE)*1000</f>
        <v>0</v>
      </c>
      <c r="W67" s="32"/>
      <c r="X67" s="19">
        <f>W67*VLOOKUP($F67,'Emission Factors'!$A$3:$E$44,5,FALSE)*1000</f>
        <v>0</v>
      </c>
      <c r="Y67" s="32"/>
      <c r="Z67" s="19">
        <f>Y67*VLOOKUP($F67,'Emission Factors'!$A$3:$E$44,5,FALSE)*1000</f>
        <v>0</v>
      </c>
      <c r="AA67" s="32"/>
      <c r="AB67" s="19">
        <f>AA67*VLOOKUP($F67,'Emission Factors'!$A$3:$E$44,5,FALSE)*1000</f>
        <v>0</v>
      </c>
      <c r="AC67" s="32"/>
      <c r="AD67" s="19">
        <f>AC67*VLOOKUP($F67,'Emission Factors'!$A$3:$E$44,5,FALSE)*1000</f>
        <v>0</v>
      </c>
      <c r="AE67" s="32"/>
      <c r="AF67" s="19">
        <f>AE67*VLOOKUP($F67,'Emission Factors'!$A$3:$E$44,5,FALSE)*1000</f>
        <v>0</v>
      </c>
      <c r="AG67" s="32"/>
      <c r="AH67" s="32"/>
      <c r="AI67" s="32"/>
      <c r="AJ67" s="32"/>
    </row>
    <row r="68" spans="1:36" s="2" customFormat="1" ht="15" customHeight="1" x14ac:dyDescent="0.25">
      <c r="A68" s="102"/>
      <c r="B68" s="105"/>
      <c r="C68" s="107"/>
      <c r="D68" s="108"/>
      <c r="E68" s="7" t="s">
        <v>203</v>
      </c>
      <c r="F68" s="7" t="s">
        <v>204</v>
      </c>
      <c r="G68" s="15" t="s">
        <v>82</v>
      </c>
      <c r="H68" s="4" t="s">
        <v>205</v>
      </c>
      <c r="I68" s="32"/>
      <c r="J68" s="19">
        <f>I68*VLOOKUP($F68,'Emission Factors'!$A$3:$E$44,5,FALSE)*1000</f>
        <v>0</v>
      </c>
      <c r="K68" s="32"/>
      <c r="L68" s="19">
        <f>K68*VLOOKUP($F68,'Emission Factors'!$A$3:$E$44,5,FALSE)*1000</f>
        <v>0</v>
      </c>
      <c r="M68" s="32"/>
      <c r="N68" s="19">
        <f>M68*VLOOKUP($F68,'Emission Factors'!$A$3:$E$44,5,FALSE)*1000</f>
        <v>0</v>
      </c>
      <c r="O68" s="32"/>
      <c r="P68" s="19">
        <f>O68*VLOOKUP($F68,'Emission Factors'!$A$3:$E$44,5,FALSE)*1000</f>
        <v>0</v>
      </c>
      <c r="Q68" s="32"/>
      <c r="R68" s="19">
        <f>Q68*VLOOKUP($F68,'Emission Factors'!$A$3:$E$44,5,FALSE)*1000</f>
        <v>0</v>
      </c>
      <c r="S68" s="32"/>
      <c r="T68" s="19">
        <f>S68*VLOOKUP($F68,'Emission Factors'!$A$3:$E$44,5,FALSE)*1000</f>
        <v>0</v>
      </c>
      <c r="U68" s="32"/>
      <c r="V68" s="19">
        <f>U68*VLOOKUP($F68,'Emission Factors'!$A$3:$E$44,5,FALSE)*1000</f>
        <v>0</v>
      </c>
      <c r="W68" s="32"/>
      <c r="X68" s="19">
        <f>W68*VLOOKUP($F68,'Emission Factors'!$A$3:$E$44,5,FALSE)*1000</f>
        <v>0</v>
      </c>
      <c r="Y68" s="32"/>
      <c r="Z68" s="19">
        <f>Y68*VLOOKUP($F68,'Emission Factors'!$A$3:$E$44,5,FALSE)*1000</f>
        <v>0</v>
      </c>
      <c r="AA68" s="32"/>
      <c r="AB68" s="19">
        <f>AA68*VLOOKUP($F68,'Emission Factors'!$A$3:$E$44,5,FALSE)*1000</f>
        <v>0</v>
      </c>
      <c r="AC68" s="32"/>
      <c r="AD68" s="19">
        <f>AC68*VLOOKUP($F68,'Emission Factors'!$A$3:$E$44,5,FALSE)*1000</f>
        <v>0</v>
      </c>
      <c r="AE68" s="32"/>
      <c r="AF68" s="19">
        <f>AE68*VLOOKUP($F68,'Emission Factors'!$A$3:$E$44,5,FALSE)*1000</f>
        <v>0</v>
      </c>
      <c r="AG68" s="32"/>
      <c r="AH68" s="32"/>
      <c r="AI68" s="32"/>
      <c r="AJ68" s="32"/>
    </row>
    <row r="69" spans="1:36" s="2" customFormat="1" ht="15" customHeight="1" x14ac:dyDescent="0.25">
      <c r="A69" s="102"/>
      <c r="B69" s="105"/>
      <c r="C69" s="107">
        <v>8.1999999999999993</v>
      </c>
      <c r="D69" s="108" t="s">
        <v>206</v>
      </c>
      <c r="E69" s="7" t="s">
        <v>207</v>
      </c>
      <c r="F69" s="30" t="s">
        <v>208</v>
      </c>
      <c r="G69" s="15" t="s">
        <v>82</v>
      </c>
      <c r="H69" s="98" t="s">
        <v>209</v>
      </c>
      <c r="I69" s="32">
        <v>11.9</v>
      </c>
      <c r="J69" s="19">
        <f>I69*VLOOKUP($F69,'Emission Factors'!$A$3:$E$44,5,FALSE)*1000</f>
        <v>4426.8</v>
      </c>
      <c r="K69" s="32">
        <v>59.22</v>
      </c>
      <c r="L69" s="19">
        <f>K69*VLOOKUP($F69,'Emission Factors'!$A$3:$E$44,5,FALSE)*1000</f>
        <v>22029.84</v>
      </c>
      <c r="M69" s="32">
        <v>91.5</v>
      </c>
      <c r="N69" s="19">
        <f>M69*VLOOKUP($F69,'Emission Factors'!$A$3:$E$44,5,FALSE)*1000</f>
        <v>34038</v>
      </c>
      <c r="O69" s="32">
        <v>2185.9699999999998</v>
      </c>
      <c r="P69" s="19">
        <f>O69*VLOOKUP($F69,'Emission Factors'!$A$3:$E$44,5,FALSE)*1000</f>
        <v>813180.83999999985</v>
      </c>
      <c r="Q69" s="32">
        <v>2662</v>
      </c>
      <c r="R69" s="19">
        <f>Q69*VLOOKUP($F69,'Emission Factors'!$A$3:$E$44,5,FALSE)*1000</f>
        <v>990264</v>
      </c>
      <c r="S69" s="32">
        <v>1665</v>
      </c>
      <c r="T69" s="19">
        <f>S69*VLOOKUP($F69,'Emission Factors'!$A$3:$E$44,5,FALSE)*1000</f>
        <v>619380</v>
      </c>
      <c r="U69" s="39">
        <v>1935</v>
      </c>
      <c r="V69" s="19">
        <f>U69*VLOOKUP($F69,'Emission Factors'!$A$3:$E$44,5,FALSE)*1000</f>
        <v>719820</v>
      </c>
      <c r="W69" s="39">
        <v>751.98</v>
      </c>
      <c r="X69" s="19">
        <f>W69*VLOOKUP($F69,'Emission Factors'!$A$3:$E$44,5,FALSE)*1000</f>
        <v>279736.56</v>
      </c>
      <c r="Y69" s="32"/>
      <c r="Z69" s="19">
        <f>Y69*VLOOKUP($F69,'Emission Factors'!$A$3:$E$44,5,FALSE)*1000</f>
        <v>0</v>
      </c>
      <c r="AA69" s="32"/>
      <c r="AB69" s="19">
        <f>AA69*VLOOKUP($F69,'Emission Factors'!$A$3:$E$44,5,FALSE)*1000</f>
        <v>0</v>
      </c>
      <c r="AC69" s="32"/>
      <c r="AD69" s="19">
        <f>AC69*VLOOKUP($F69,'Emission Factors'!$A$3:$E$44,5,FALSE)*1000</f>
        <v>0</v>
      </c>
      <c r="AE69" s="32"/>
      <c r="AF69" s="19">
        <f>AE69*VLOOKUP($F69,'Emission Factors'!$A$3:$E$44,5,FALSE)*1000</f>
        <v>0</v>
      </c>
      <c r="AG69" s="32"/>
      <c r="AH69" s="32"/>
      <c r="AI69" s="32"/>
      <c r="AJ69" s="32" t="s">
        <v>210</v>
      </c>
    </row>
    <row r="70" spans="1:36" s="2" customFormat="1" ht="15" customHeight="1" x14ac:dyDescent="0.25">
      <c r="A70" s="102"/>
      <c r="B70" s="105"/>
      <c r="C70" s="107"/>
      <c r="D70" s="108"/>
      <c r="E70" s="7" t="s">
        <v>211</v>
      </c>
      <c r="F70" s="30" t="s">
        <v>212</v>
      </c>
      <c r="G70" s="15" t="s">
        <v>82</v>
      </c>
      <c r="H70" s="98"/>
      <c r="I70" s="32"/>
      <c r="J70" s="19">
        <f>I70*VLOOKUP($F70,'Emission Factors'!$A$3:$E$44,5,FALSE)*1000</f>
        <v>0</v>
      </c>
      <c r="K70" s="32"/>
      <c r="L70" s="19">
        <f>K70*VLOOKUP($F70,'Emission Factors'!$A$3:$E$44,5,FALSE)*1000</f>
        <v>0</v>
      </c>
      <c r="M70" s="32"/>
      <c r="N70" s="19">
        <f>M70*VLOOKUP($F70,'Emission Factors'!$A$3:$E$44,5,FALSE)*1000</f>
        <v>0</v>
      </c>
      <c r="O70" s="32"/>
      <c r="P70" s="19">
        <f>O70*VLOOKUP($F70,'Emission Factors'!$A$3:$E$44,5,FALSE)*1000</f>
        <v>0</v>
      </c>
      <c r="Q70" s="32"/>
      <c r="R70" s="19">
        <f>Q70*VLOOKUP($F70,'Emission Factors'!$A$3:$E$44,5,FALSE)*1000</f>
        <v>0</v>
      </c>
      <c r="S70" s="32"/>
      <c r="T70" s="19">
        <f>S70*VLOOKUP($F70,'Emission Factors'!$A$3:$E$44,5,FALSE)*1000</f>
        <v>0</v>
      </c>
      <c r="U70" s="32"/>
      <c r="V70" s="19">
        <f>U70*VLOOKUP($F70,'Emission Factors'!$A$3:$E$44,5,FALSE)*1000</f>
        <v>0</v>
      </c>
      <c r="W70" s="32"/>
      <c r="X70" s="19">
        <f>W70*VLOOKUP($F70,'Emission Factors'!$A$3:$E$44,5,FALSE)*1000</f>
        <v>0</v>
      </c>
      <c r="Y70" s="32"/>
      <c r="Z70" s="19">
        <f>Y70*VLOOKUP($F70,'Emission Factors'!$A$3:$E$44,5,FALSE)*1000</f>
        <v>0</v>
      </c>
      <c r="AA70" s="32"/>
      <c r="AB70" s="19">
        <f>AA70*VLOOKUP($F70,'Emission Factors'!$A$3:$E$44,5,FALSE)*1000</f>
        <v>0</v>
      </c>
      <c r="AC70" s="32"/>
      <c r="AD70" s="19">
        <f>AC70*VLOOKUP($F70,'Emission Factors'!$A$3:$E$44,5,FALSE)*1000</f>
        <v>0</v>
      </c>
      <c r="AE70" s="32"/>
      <c r="AF70" s="19">
        <f>AE70*VLOOKUP($F70,'Emission Factors'!$A$3:$E$44,5,FALSE)*1000</f>
        <v>0</v>
      </c>
      <c r="AG70" s="32"/>
      <c r="AH70" s="32"/>
      <c r="AI70" s="32"/>
      <c r="AJ70" s="32"/>
    </row>
    <row r="71" spans="1:36" s="2" customFormat="1" ht="15" customHeight="1" x14ac:dyDescent="0.25">
      <c r="A71" s="102"/>
      <c r="B71" s="105"/>
      <c r="C71" s="107"/>
      <c r="D71" s="108"/>
      <c r="E71" s="7" t="s">
        <v>213</v>
      </c>
      <c r="F71" s="30" t="s">
        <v>214</v>
      </c>
      <c r="G71" s="15" t="s">
        <v>82</v>
      </c>
      <c r="H71" s="98"/>
      <c r="I71" s="37">
        <v>7.5570000000000004</v>
      </c>
      <c r="J71" s="19">
        <f>I71*VLOOKUP($F71,'Emission Factors'!$A$3:$E$44,5,FALSE)*1000</f>
        <v>7148.3089761600013</v>
      </c>
      <c r="K71" s="37">
        <v>6.3449999999999998</v>
      </c>
      <c r="L71" s="19">
        <f>K71*VLOOKUP($F71,'Emission Factors'!$A$3:$E$44,5,FALSE)*1000</f>
        <v>6001.8552936000006</v>
      </c>
      <c r="M71" s="37"/>
      <c r="N71" s="19">
        <f>M71*VLOOKUP($F71,'Emission Factors'!$A$3:$E$44,5,FALSE)*1000</f>
        <v>0</v>
      </c>
      <c r="O71" s="37">
        <v>31.233150000000002</v>
      </c>
      <c r="P71" s="19">
        <f>O71*VLOOKUP($F71,'Emission Factors'!$A$3:$E$44,5,FALSE)*1000</f>
        <v>29544.026266872002</v>
      </c>
      <c r="Q71" s="37">
        <v>149.04925</v>
      </c>
      <c r="R71" s="19">
        <f>Q71*VLOOKUP($F71,'Emission Factors'!$A$3:$E$44,5,FALSE)*1000</f>
        <v>140988.49962484001</v>
      </c>
      <c r="S71" s="37">
        <v>104.55795000000001</v>
      </c>
      <c r="T71" s="19">
        <f>S71*VLOOKUP($F71,'Emission Factors'!$A$3:$E$44,5,FALSE)*1000</f>
        <v>98903.338959096</v>
      </c>
      <c r="U71" s="37">
        <v>92.420175</v>
      </c>
      <c r="V71" s="19">
        <f>U71*VLOOKUP($F71,'Emission Factors'!$A$3:$E$44,5,FALSE)*1000</f>
        <v>87421.988425403993</v>
      </c>
      <c r="W71" s="37">
        <v>57.640840000000004</v>
      </c>
      <c r="X71" s="19">
        <f>W71*VLOOKUP($F71,'Emission Factors'!$A$3:$E$44,5,FALSE)*1000</f>
        <v>54523.558815059201</v>
      </c>
      <c r="Y71" s="37"/>
      <c r="Z71" s="19">
        <f>Y71*VLOOKUP($F71,'Emission Factors'!$A$3:$E$44,5,FALSE)*1000</f>
        <v>0</v>
      </c>
      <c r="AA71" s="37"/>
      <c r="AB71" s="19">
        <f>AA71*VLOOKUP($F71,'Emission Factors'!$A$3:$E$44,5,FALSE)*1000</f>
        <v>0</v>
      </c>
      <c r="AC71" s="37"/>
      <c r="AD71" s="19">
        <f>AC71*VLOOKUP($F71,'Emission Factors'!$A$3:$E$44,5,FALSE)*1000</f>
        <v>0</v>
      </c>
      <c r="AE71" s="37"/>
      <c r="AF71" s="19">
        <f>AE71*VLOOKUP($F71,'Emission Factors'!$A$3:$E$44,5,FALSE)*1000</f>
        <v>0</v>
      </c>
      <c r="AG71" s="32"/>
      <c r="AH71" s="32"/>
      <c r="AI71" s="32"/>
      <c r="AJ71" s="32" t="s">
        <v>215</v>
      </c>
    </row>
    <row r="72" spans="1:36" s="48" customFormat="1" ht="15" customHeight="1" x14ac:dyDescent="0.25">
      <c r="A72" s="102"/>
      <c r="B72" s="105"/>
      <c r="C72" s="99">
        <v>8.3000000000000007</v>
      </c>
      <c r="D72" s="100" t="s">
        <v>216</v>
      </c>
      <c r="E72" s="41" t="s">
        <v>217</v>
      </c>
      <c r="F72" s="41" t="s">
        <v>218</v>
      </c>
      <c r="G72" s="42" t="s">
        <v>219</v>
      </c>
      <c r="H72" s="43" t="s">
        <v>220</v>
      </c>
      <c r="I72" s="44">
        <v>170.30999999999997</v>
      </c>
      <c r="J72" s="45">
        <f>VLOOKUP(_xlfn.CONCAT(I73,I74),'Emission Factors'!$C$3:$E$44,3,0)*I72*VLOOKUP(RIGHT($F$73, 7),'Emission Factors'!$A$3:$K$44, 11,FALSE)</f>
        <v>21327.273849503999</v>
      </c>
      <c r="K72" s="44">
        <v>1611</v>
      </c>
      <c r="L72" s="45">
        <f>VLOOKUP(_xlfn.CONCAT(K73,K74),'Emission Factors'!$C$3:$E$44,3,0)*K72*VLOOKUP(RIGHT($F$73, 7),'Emission Factors'!$A$3:$K$44, 11,FALSE)</f>
        <v>180710.22791610003</v>
      </c>
      <c r="M72" s="46">
        <v>973</v>
      </c>
      <c r="N72" s="45">
        <f>VLOOKUP(_xlfn.CONCAT(M73,M74),'Emission Factors'!$C$3:$E$44,3,0)*M72*VLOOKUP(RIGHT($F$73, 7),'Emission Factors'!$A$3:$K$44, 11,FALSE)</f>
        <v>121845.09104320002</v>
      </c>
      <c r="O72" s="46">
        <v>6473</v>
      </c>
      <c r="P72" s="45">
        <f>VLOOKUP(_xlfn.CONCAT(O73,O74),'Emission Factors'!$C$3:$E$44,3,0)*O72*VLOOKUP(RIGHT($F$73, 7),'Emission Factors'!$A$3:$K$44, 11,FALSE)</f>
        <v>726093.92011230008</v>
      </c>
      <c r="Q72" s="46">
        <v>3776</v>
      </c>
      <c r="R72" s="45">
        <f>VLOOKUP(_xlfn.CONCAT(Q73,Q74),'Emission Factors'!$C$3:$E$44,3,0)*Q72*VLOOKUP(RIGHT($F$73, 7),'Emission Factors'!$A$3:$K$44, 11,FALSE)</f>
        <v>423564.13445760007</v>
      </c>
      <c r="S72" s="46">
        <v>910</v>
      </c>
      <c r="T72" s="45">
        <f>VLOOKUP(_xlfn.CONCAT(S73,S74),'Emission Factors'!$C$3:$E$44,3,0)*S72*VLOOKUP(RIGHT($F$73, 7),'Emission Factors'!$A$3:$K$44, 11,FALSE)</f>
        <v>113955.84054400001</v>
      </c>
      <c r="U72" s="46">
        <v>3228</v>
      </c>
      <c r="V72" s="45">
        <f>VLOOKUP(_xlfn.CONCAT(U73,U74),'Emission Factors'!$C$3:$E$44,3,0)*U72*VLOOKUP(RIGHT($F$73, 7),'Emission Factors'!$A$3:$K$44, 11,FALSE)</f>
        <v>362093.49206280004</v>
      </c>
      <c r="W72" s="46">
        <v>1415</v>
      </c>
      <c r="X72" s="45">
        <f>VLOOKUP(_xlfn.CONCAT(W73,W74),'Emission Factors'!$C$3:$E$44,3,0)*W72*VLOOKUP(RIGHT($F$73, 7),'Emission Factors'!$A$3:$K$44, 11,FALSE)</f>
        <v>177195.07073600002</v>
      </c>
      <c r="Y72" s="46"/>
      <c r="Z72" s="45">
        <f>VLOOKUP(_xlfn.CONCAT(Y73,Y74),'Emission Factors'!$C$3:$E$44,3,0)*Y72*VLOOKUP(RIGHT($F$73, 7),'Emission Factors'!$A$3:$K$44, 11,FALSE)</f>
        <v>0</v>
      </c>
      <c r="AA72" s="46"/>
      <c r="AB72" s="45">
        <f>VLOOKUP(_xlfn.CONCAT(AA73,AA74),'Emission Factors'!$C$3:$E$44,3,0)*AA72*VLOOKUP(RIGHT($F$73, 7),'Emission Factors'!$A$3:$K$44, 11,FALSE)</f>
        <v>0</v>
      </c>
      <c r="AC72" s="46"/>
      <c r="AD72" s="45">
        <f>VLOOKUP(_xlfn.CONCAT(AC73,AC74),'Emission Factors'!$C$3:$E$44,3,0)*AC72*VLOOKUP(RIGHT($F$73, 7),'Emission Factors'!$A$3:$K$44, 11,FALSE)</f>
        <v>0</v>
      </c>
      <c r="AE72" s="46"/>
      <c r="AF72" s="45">
        <f>VLOOKUP(_xlfn.CONCAT(AE73,AE74),'Emission Factors'!$C$3:$E$44,3,0)*AE72*VLOOKUP(RIGHT($F$73, 7),'Emission Factors'!$A$3:$K$44, 11,FALSE)</f>
        <v>0</v>
      </c>
      <c r="AG72" s="47"/>
      <c r="AH72" s="47"/>
      <c r="AI72" s="47"/>
      <c r="AJ72" s="47" t="s">
        <v>221</v>
      </c>
    </row>
    <row r="73" spans="1:36" s="48" customFormat="1" ht="15" customHeight="1" x14ac:dyDescent="0.25">
      <c r="A73" s="102"/>
      <c r="B73" s="105"/>
      <c r="C73" s="99"/>
      <c r="D73" s="100"/>
      <c r="E73" s="41" t="s">
        <v>222</v>
      </c>
      <c r="F73" s="41" t="s">
        <v>223</v>
      </c>
      <c r="G73" s="42" t="s">
        <v>224</v>
      </c>
      <c r="H73" s="43" t="s">
        <v>225</v>
      </c>
      <c r="I73" s="46" t="s">
        <v>226</v>
      </c>
      <c r="J73" s="49"/>
      <c r="K73" s="46" t="s">
        <v>226</v>
      </c>
      <c r="L73" s="49"/>
      <c r="M73" s="46" t="s">
        <v>226</v>
      </c>
      <c r="N73" s="49"/>
      <c r="O73" s="46" t="s">
        <v>226</v>
      </c>
      <c r="P73" s="49"/>
      <c r="Q73" s="46" t="s">
        <v>226</v>
      </c>
      <c r="R73" s="49"/>
      <c r="S73" s="46" t="s">
        <v>226</v>
      </c>
      <c r="T73" s="49"/>
      <c r="U73" s="46" t="s">
        <v>226</v>
      </c>
      <c r="V73" s="49"/>
      <c r="W73" s="46" t="s">
        <v>226</v>
      </c>
      <c r="X73" s="49"/>
      <c r="Y73" s="46" t="s">
        <v>226</v>
      </c>
      <c r="Z73" s="49"/>
      <c r="AA73" s="46" t="s">
        <v>226</v>
      </c>
      <c r="AB73" s="49"/>
      <c r="AC73" s="46" t="s">
        <v>226</v>
      </c>
      <c r="AD73" s="49"/>
      <c r="AE73" s="46" t="s">
        <v>226</v>
      </c>
      <c r="AF73" s="49"/>
      <c r="AG73" s="47"/>
      <c r="AH73" s="47"/>
      <c r="AI73" s="47"/>
      <c r="AJ73" s="47"/>
    </row>
    <row r="74" spans="1:36" s="48" customFormat="1" ht="15" customHeight="1" x14ac:dyDescent="0.25">
      <c r="A74" s="102"/>
      <c r="B74" s="105"/>
      <c r="C74" s="99"/>
      <c r="D74" s="100"/>
      <c r="E74" s="41" t="s">
        <v>227</v>
      </c>
      <c r="F74" s="41" t="s">
        <v>228</v>
      </c>
      <c r="G74" s="42" t="s">
        <v>229</v>
      </c>
      <c r="H74" s="43" t="s">
        <v>230</v>
      </c>
      <c r="I74" s="50" t="s">
        <v>231</v>
      </c>
      <c r="J74" s="49"/>
      <c r="K74" s="50" t="s">
        <v>232</v>
      </c>
      <c r="L74" s="49"/>
      <c r="M74" s="50" t="s">
        <v>231</v>
      </c>
      <c r="N74" s="49"/>
      <c r="O74" s="50" t="s">
        <v>232</v>
      </c>
      <c r="P74" s="49"/>
      <c r="Q74" s="50" t="s">
        <v>232</v>
      </c>
      <c r="R74" s="49"/>
      <c r="S74" s="50" t="s">
        <v>231</v>
      </c>
      <c r="T74" s="49"/>
      <c r="U74" s="50" t="s">
        <v>232</v>
      </c>
      <c r="V74" s="49"/>
      <c r="W74" s="50" t="s">
        <v>231</v>
      </c>
      <c r="X74" s="49"/>
      <c r="Y74" s="50" t="s">
        <v>231</v>
      </c>
      <c r="Z74" s="49"/>
      <c r="AA74" s="50" t="s">
        <v>231</v>
      </c>
      <c r="AB74" s="49"/>
      <c r="AC74" s="50" t="s">
        <v>231</v>
      </c>
      <c r="AD74" s="49"/>
      <c r="AE74" s="50" t="s">
        <v>231</v>
      </c>
      <c r="AF74" s="49"/>
      <c r="AG74" s="47"/>
      <c r="AH74" s="47"/>
      <c r="AI74" s="47"/>
      <c r="AJ74" s="47" t="s">
        <v>233</v>
      </c>
    </row>
    <row r="75" spans="1:36" s="48" customFormat="1" ht="15" customHeight="1" x14ac:dyDescent="0.25">
      <c r="A75" s="102"/>
      <c r="B75" s="105"/>
      <c r="C75" s="99">
        <v>8.3000000000000007</v>
      </c>
      <c r="D75" s="100" t="s">
        <v>234</v>
      </c>
      <c r="E75" s="41" t="s">
        <v>217</v>
      </c>
      <c r="F75" s="41" t="s">
        <v>235</v>
      </c>
      <c r="G75" s="42" t="s">
        <v>219</v>
      </c>
      <c r="H75" s="43" t="s">
        <v>220</v>
      </c>
      <c r="I75" s="46"/>
      <c r="J75" s="45">
        <f>VLOOKUP(_xlfn.CONCAT(I76,I77),'Emission Factors'!$C$3:$E$44,3,0)*I75*VLOOKUP(RIGHT($F$76, 7),'Emission Factors'!$A$3:$K$44, 11,FALSE)</f>
        <v>0</v>
      </c>
      <c r="K75" s="46"/>
      <c r="L75" s="45">
        <f>VLOOKUP(_xlfn.CONCAT(K76,K77),'Emission Factors'!$C$3:$E$44,3,0)*K75*VLOOKUP(RIGHT($F$76, 7),'Emission Factors'!$A$3:$K$44, 11,FALSE)</f>
        <v>0</v>
      </c>
      <c r="M75" s="46"/>
      <c r="N75" s="45">
        <f>VLOOKUP(_xlfn.CONCAT(M76,M77),'Emission Factors'!$C$3:$E$44,3,0)*M75*VLOOKUP(RIGHT($F$76, 7),'Emission Factors'!$A$3:$K$44, 11,FALSE)</f>
        <v>0</v>
      </c>
      <c r="O75" s="46"/>
      <c r="P75" s="45">
        <f>VLOOKUP(_xlfn.CONCAT(O76,O77),'Emission Factors'!$C$3:$E$44,3,0)*O75*VLOOKUP(RIGHT($F$76, 7),'Emission Factors'!$A$3:$K$44, 11,FALSE)</f>
        <v>0</v>
      </c>
      <c r="Q75" s="46">
        <v>344</v>
      </c>
      <c r="R75" s="45">
        <f>VLOOKUP(_xlfn.CONCAT(Q76,Q77),'Emission Factors'!$C$3:$E$44,3,0)*Q75*VLOOKUP(RIGHT($F$76, 7),'Emission Factors'!$A$3:$K$44, 11,FALSE)</f>
        <v>37986.964178800001</v>
      </c>
      <c r="S75" s="46">
        <v>149</v>
      </c>
      <c r="T75" s="45">
        <f>VLOOKUP(_xlfn.CONCAT(S76,S77),'Emission Factors'!$C$3:$E$44,3,0)*S75*VLOOKUP(RIGHT($F$76, 7),'Emission Factors'!$A$3:$K$44, 11,FALSE)</f>
        <v>16453.655996050002</v>
      </c>
      <c r="U75" s="46">
        <v>586</v>
      </c>
      <c r="V75" s="45">
        <f>VLOOKUP(_xlfn.CONCAT(U76,U77),'Emission Factors'!$C$3:$E$44,3,0)*U75*VLOOKUP(RIGHT($F$76, 7),'Emission Factors'!$A$3:$K$44, 11,FALSE)</f>
        <v>64710.351769699999</v>
      </c>
      <c r="W75" s="46"/>
      <c r="X75" s="45">
        <f>VLOOKUP(_xlfn.CONCAT(W76,W77),'Emission Factors'!$C$3:$E$44,3,0)*W75*VLOOKUP(RIGHT($F$76, 7),'Emission Factors'!$A$3:$K$44, 11,FALSE)</f>
        <v>0</v>
      </c>
      <c r="Y75" s="46"/>
      <c r="Z75" s="45">
        <f>VLOOKUP(_xlfn.CONCAT(Y76,Y77),'Emission Factors'!$C$3:$E$44,3,0)*Y75*VLOOKUP(RIGHT($F$76, 7),'Emission Factors'!$A$3:$K$44, 11,FALSE)</f>
        <v>0</v>
      </c>
      <c r="AA75" s="46"/>
      <c r="AB75" s="45">
        <f>VLOOKUP(_xlfn.CONCAT(AA76,AA77),'Emission Factors'!$C$3:$E$44,3,0)*AA75*VLOOKUP(RIGHT($F$76, 7),'Emission Factors'!$A$3:$K$44, 11,FALSE)</f>
        <v>0</v>
      </c>
      <c r="AC75" s="46"/>
      <c r="AD75" s="45">
        <f>VLOOKUP(_xlfn.CONCAT(AC76,AC77),'Emission Factors'!$C$3:$E$44,3,0)*AC75*VLOOKUP(RIGHT($F$76, 7),'Emission Factors'!$A$3:$K$44, 11,FALSE)</f>
        <v>0</v>
      </c>
      <c r="AE75" s="46"/>
      <c r="AF75" s="45">
        <f>VLOOKUP(_xlfn.CONCAT(AE76,AE77),'Emission Factors'!$C$3:$E$44,3,0)*AE75*VLOOKUP(RIGHT($F$76, 7),'Emission Factors'!$A$3:$K$44, 11,FALSE)</f>
        <v>0</v>
      </c>
      <c r="AG75" s="47"/>
      <c r="AH75" s="47"/>
      <c r="AI75" s="47"/>
      <c r="AJ75" s="47" t="s">
        <v>236</v>
      </c>
    </row>
    <row r="76" spans="1:36" s="48" customFormat="1" ht="15" customHeight="1" x14ac:dyDescent="0.25">
      <c r="A76" s="102"/>
      <c r="B76" s="105"/>
      <c r="C76" s="99"/>
      <c r="D76" s="100"/>
      <c r="E76" s="41" t="s">
        <v>222</v>
      </c>
      <c r="F76" s="41" t="s">
        <v>223</v>
      </c>
      <c r="G76" s="42" t="s">
        <v>224</v>
      </c>
      <c r="H76" s="43" t="s">
        <v>225</v>
      </c>
      <c r="I76" s="46" t="s">
        <v>237</v>
      </c>
      <c r="J76" s="49"/>
      <c r="K76" s="46" t="s">
        <v>237</v>
      </c>
      <c r="L76" s="49"/>
      <c r="M76" s="46" t="s">
        <v>237</v>
      </c>
      <c r="N76" s="49"/>
      <c r="O76" s="46" t="s">
        <v>237</v>
      </c>
      <c r="P76" s="49"/>
      <c r="Q76" s="46" t="s">
        <v>237</v>
      </c>
      <c r="R76" s="49"/>
      <c r="S76" s="46" t="s">
        <v>237</v>
      </c>
      <c r="T76" s="49"/>
      <c r="U76" s="46" t="s">
        <v>237</v>
      </c>
      <c r="V76" s="49"/>
      <c r="W76" s="46" t="s">
        <v>237</v>
      </c>
      <c r="X76" s="49"/>
      <c r="Y76" s="46" t="s">
        <v>237</v>
      </c>
      <c r="Z76" s="49"/>
      <c r="AA76" s="46" t="s">
        <v>237</v>
      </c>
      <c r="AB76" s="49"/>
      <c r="AC76" s="46" t="s">
        <v>237</v>
      </c>
      <c r="AD76" s="49"/>
      <c r="AE76" s="46" t="s">
        <v>237</v>
      </c>
      <c r="AF76" s="49"/>
      <c r="AG76" s="47"/>
      <c r="AH76" s="47"/>
      <c r="AI76" s="47"/>
      <c r="AJ76" s="47"/>
    </row>
    <row r="77" spans="1:36" s="48" customFormat="1" ht="15" customHeight="1" x14ac:dyDescent="0.25">
      <c r="A77" s="102"/>
      <c r="B77" s="105"/>
      <c r="C77" s="99"/>
      <c r="D77" s="100"/>
      <c r="E77" s="41" t="s">
        <v>227</v>
      </c>
      <c r="F77" s="41" t="s">
        <v>228</v>
      </c>
      <c r="G77" s="42" t="s">
        <v>229</v>
      </c>
      <c r="H77" s="43" t="s">
        <v>230</v>
      </c>
      <c r="I77" s="50" t="s">
        <v>231</v>
      </c>
      <c r="J77" s="49"/>
      <c r="K77" s="50" t="s">
        <v>231</v>
      </c>
      <c r="L77" s="49"/>
      <c r="M77" s="50" t="s">
        <v>231</v>
      </c>
      <c r="N77" s="49"/>
      <c r="O77" s="50" t="s">
        <v>231</v>
      </c>
      <c r="P77" s="49"/>
      <c r="Q77" s="50" t="s">
        <v>231</v>
      </c>
      <c r="R77" s="49"/>
      <c r="S77" s="50" t="s">
        <v>231</v>
      </c>
      <c r="T77" s="49"/>
      <c r="U77" s="50" t="s">
        <v>231</v>
      </c>
      <c r="V77" s="49"/>
      <c r="W77" s="50" t="s">
        <v>231</v>
      </c>
      <c r="X77" s="49"/>
      <c r="Y77" s="50" t="s">
        <v>231</v>
      </c>
      <c r="Z77" s="49"/>
      <c r="AA77" s="50" t="s">
        <v>231</v>
      </c>
      <c r="AB77" s="49"/>
      <c r="AC77" s="50" t="s">
        <v>231</v>
      </c>
      <c r="AD77" s="49"/>
      <c r="AE77" s="50" t="s">
        <v>231</v>
      </c>
      <c r="AF77" s="49"/>
      <c r="AG77" s="47"/>
      <c r="AH77" s="47"/>
      <c r="AI77" s="47"/>
      <c r="AJ77" s="47"/>
    </row>
    <row r="78" spans="1:36" s="48" customFormat="1" ht="15" customHeight="1" x14ac:dyDescent="0.25">
      <c r="A78" s="102"/>
      <c r="B78" s="105"/>
      <c r="C78" s="99">
        <v>8.4</v>
      </c>
      <c r="D78" s="100" t="s">
        <v>238</v>
      </c>
      <c r="E78" s="41" t="s">
        <v>239</v>
      </c>
      <c r="F78" s="41" t="s">
        <v>240</v>
      </c>
      <c r="G78" s="42" t="s">
        <v>219</v>
      </c>
      <c r="H78" s="43" t="s">
        <v>220</v>
      </c>
      <c r="I78" s="46"/>
      <c r="J78" s="45">
        <f>VLOOKUP(_xlfn.CONCAT(I79,I80),'Emission Factors'!$C$3:$E$44,3,0)*I78*VLOOKUP(RIGHT($F$79, 7),'Emission Factors'!$A$3:$K$44, 11,FALSE)</f>
        <v>0</v>
      </c>
      <c r="K78" s="46"/>
      <c r="L78" s="45">
        <f>VLOOKUP(_xlfn.CONCAT(K79,K80),'Emission Factors'!$C$3:$E$44,3,0)*K78*VLOOKUP(RIGHT($F$79, 7),'Emission Factors'!$A$3:$K$44, 11,FALSE)</f>
        <v>0</v>
      </c>
      <c r="M78" s="46">
        <v>552</v>
      </c>
      <c r="N78" s="45">
        <f>VLOOKUP(_xlfn.CONCAT(M79,M80),'Emission Factors'!$C$3:$E$44,3,0)*M78*VLOOKUP(RIGHT($F$79, 7),'Emission Factors'!$A$3:$K$44, 11,FALSE)</f>
        <v>69124.861516800011</v>
      </c>
      <c r="O78" s="46">
        <v>373</v>
      </c>
      <c r="P78" s="45">
        <f>VLOOKUP(_xlfn.CONCAT(O79,O80),'Emission Factors'!$C$3:$E$44,3,0)*O78*VLOOKUP(RIGHT($F$79, 7),'Emission Factors'!$A$3:$K$44, 11,FALSE)</f>
        <v>46709.372003199998</v>
      </c>
      <c r="Q78" s="46">
        <v>1400</v>
      </c>
      <c r="R78" s="45">
        <f>VLOOKUP(_xlfn.CONCAT(Q79,Q80),'Emission Factors'!$C$3:$E$44,3,0)*Q78*VLOOKUP(RIGHT($F$79, 7),'Emission Factors'!$A$3:$K$44, 11,FALSE)</f>
        <v>175316.67776000002</v>
      </c>
      <c r="S78" s="46">
        <v>694</v>
      </c>
      <c r="T78" s="45">
        <f>VLOOKUP(_xlfn.CONCAT(S79,S80),'Emission Factors'!$C$3:$E$44,3,0)*S78*VLOOKUP(RIGHT($F$79, 7),'Emission Factors'!$A$3:$K$44, 11,FALSE)</f>
        <v>86906.981689599997</v>
      </c>
      <c r="U78" s="46">
        <v>835</v>
      </c>
      <c r="V78" s="45">
        <f>VLOOKUP(_xlfn.CONCAT(U79,U80),'Emission Factors'!$C$3:$E$44,3,0)*U78*VLOOKUP(RIGHT($F$79, 7),'Emission Factors'!$A$3:$K$44, 11,FALSE)</f>
        <v>104563.87566400002</v>
      </c>
      <c r="W78" s="46">
        <v>1218</v>
      </c>
      <c r="X78" s="45">
        <f>VLOOKUP(_xlfn.CONCAT(W79,W80),'Emission Factors'!$C$3:$E$44,3,0)*W78*VLOOKUP(RIGHT($F$79, 7),'Emission Factors'!$A$3:$K$44, 11,FALSE)</f>
        <v>152525.5096512</v>
      </c>
      <c r="Y78" s="46"/>
      <c r="Z78" s="45">
        <f>VLOOKUP(_xlfn.CONCAT(Y79,Y80),'Emission Factors'!$C$3:$E$44,3,0)*Y78*VLOOKUP(RIGHT($F$79, 7),'Emission Factors'!$A$3:$K$44, 11,FALSE)</f>
        <v>0</v>
      </c>
      <c r="AA78" s="46"/>
      <c r="AB78" s="45">
        <f>VLOOKUP(_xlfn.CONCAT(AA79,AA80),'Emission Factors'!$C$3:$E$44,3,0)*AA78*VLOOKUP(RIGHT($F$79, 7),'Emission Factors'!$A$3:$K$44, 11,FALSE)</f>
        <v>0</v>
      </c>
      <c r="AC78" s="46"/>
      <c r="AD78" s="45">
        <f>VLOOKUP(_xlfn.CONCAT(AC79,AC80),'Emission Factors'!$C$3:$E$44,3,0)*AC78*VLOOKUP(RIGHT($F$79, 7),'Emission Factors'!$A$3:$K$44, 11,FALSE)</f>
        <v>0</v>
      </c>
      <c r="AE78" s="46"/>
      <c r="AF78" s="45">
        <f>VLOOKUP(_xlfn.CONCAT(AE79,AE80),'Emission Factors'!$C$3:$E$44,3,0)*AE78*VLOOKUP(RIGHT($F$79, 7),'Emission Factors'!$A$3:$K$44, 11,FALSE)</f>
        <v>0</v>
      </c>
      <c r="AG78" s="47"/>
      <c r="AH78" s="47"/>
      <c r="AI78" s="47"/>
      <c r="AJ78" s="95" t="s">
        <v>241</v>
      </c>
    </row>
    <row r="79" spans="1:36" s="48" customFormat="1" ht="15" customHeight="1" x14ac:dyDescent="0.25">
      <c r="A79" s="102"/>
      <c r="B79" s="105"/>
      <c r="C79" s="99"/>
      <c r="D79" s="100"/>
      <c r="E79" s="41" t="s">
        <v>242</v>
      </c>
      <c r="F79" s="41" t="s">
        <v>223</v>
      </c>
      <c r="G79" s="42" t="s">
        <v>224</v>
      </c>
      <c r="H79" s="43" t="s">
        <v>225</v>
      </c>
      <c r="I79" s="46" t="s">
        <v>226</v>
      </c>
      <c r="J79" s="49"/>
      <c r="K79" s="46" t="s">
        <v>226</v>
      </c>
      <c r="L79" s="49"/>
      <c r="M79" s="46" t="s">
        <v>226</v>
      </c>
      <c r="N79" s="49"/>
      <c r="O79" s="46" t="s">
        <v>226</v>
      </c>
      <c r="P79" s="49"/>
      <c r="Q79" s="46" t="s">
        <v>226</v>
      </c>
      <c r="R79" s="49"/>
      <c r="S79" s="46" t="s">
        <v>226</v>
      </c>
      <c r="T79" s="49"/>
      <c r="U79" s="46" t="s">
        <v>226</v>
      </c>
      <c r="V79" s="49"/>
      <c r="W79" s="46" t="s">
        <v>226</v>
      </c>
      <c r="X79" s="49"/>
      <c r="Y79" s="46" t="s">
        <v>226</v>
      </c>
      <c r="Z79" s="49"/>
      <c r="AA79" s="46" t="s">
        <v>226</v>
      </c>
      <c r="AB79" s="49"/>
      <c r="AC79" s="46" t="s">
        <v>226</v>
      </c>
      <c r="AD79" s="49"/>
      <c r="AE79" s="46" t="s">
        <v>226</v>
      </c>
      <c r="AF79" s="49"/>
      <c r="AG79" s="47"/>
      <c r="AH79" s="47"/>
      <c r="AI79" s="47"/>
      <c r="AJ79" s="96"/>
    </row>
    <row r="80" spans="1:36" s="48" customFormat="1" ht="15" customHeight="1" x14ac:dyDescent="0.25">
      <c r="A80" s="102"/>
      <c r="B80" s="105"/>
      <c r="C80" s="99"/>
      <c r="D80" s="100"/>
      <c r="E80" s="41" t="s">
        <v>243</v>
      </c>
      <c r="F80" s="41" t="s">
        <v>228</v>
      </c>
      <c r="G80" s="42" t="s">
        <v>229</v>
      </c>
      <c r="H80" s="43" t="s">
        <v>230</v>
      </c>
      <c r="I80" s="50" t="s">
        <v>231</v>
      </c>
      <c r="J80" s="49"/>
      <c r="K80" s="50" t="s">
        <v>231</v>
      </c>
      <c r="L80" s="49"/>
      <c r="M80" s="50" t="s">
        <v>231</v>
      </c>
      <c r="N80" s="49"/>
      <c r="O80" s="50" t="s">
        <v>231</v>
      </c>
      <c r="P80" s="49"/>
      <c r="Q80" s="50" t="s">
        <v>231</v>
      </c>
      <c r="R80" s="49"/>
      <c r="S80" s="50" t="s">
        <v>231</v>
      </c>
      <c r="T80" s="49"/>
      <c r="U80" s="50" t="s">
        <v>231</v>
      </c>
      <c r="V80" s="49"/>
      <c r="W80" s="50" t="s">
        <v>231</v>
      </c>
      <c r="X80" s="49"/>
      <c r="Y80" s="50" t="s">
        <v>231</v>
      </c>
      <c r="Z80" s="49"/>
      <c r="AA80" s="50" t="s">
        <v>231</v>
      </c>
      <c r="AB80" s="49"/>
      <c r="AC80" s="50" t="s">
        <v>231</v>
      </c>
      <c r="AD80" s="49"/>
      <c r="AE80" s="50" t="s">
        <v>231</v>
      </c>
      <c r="AF80" s="49"/>
      <c r="AG80" s="47"/>
      <c r="AH80" s="47"/>
      <c r="AI80" s="47"/>
      <c r="AJ80" s="97"/>
    </row>
    <row r="81" spans="1:36" s="2" customFormat="1" ht="30" x14ac:dyDescent="0.25">
      <c r="A81" s="102"/>
      <c r="B81" s="105"/>
      <c r="C81" s="29"/>
      <c r="D81" s="27" t="s">
        <v>244</v>
      </c>
      <c r="E81" s="7"/>
      <c r="F81" s="7" t="s">
        <v>245</v>
      </c>
      <c r="G81" s="15" t="s">
        <v>219</v>
      </c>
      <c r="H81" s="38"/>
      <c r="I81" s="31">
        <v>873.8</v>
      </c>
      <c r="J81" s="19">
        <f>I81*VLOOKUP($F81,'Emission Factors'!$A$3:$E$44,5,FALSE)*VLOOKUP($F81, 'Emission Factors'!$A$3:$K$44, 11, FALSE)</f>
        <v>125719.64290944001</v>
      </c>
      <c r="K81" s="31">
        <v>747.77300000000002</v>
      </c>
      <c r="L81" s="19">
        <f>K81*VLOOKUP($F81,'Emission Factors'!$A$3:$E$44,5,FALSE)*VLOOKUP($F81, 'Emission Factors'!$A$3:$K$44, 11, FALSE)</f>
        <v>107587.26772410242</v>
      </c>
      <c r="M81" s="31">
        <v>1114.5899999999999</v>
      </c>
      <c r="N81" s="19">
        <f>M81*VLOOKUP($F81,'Emission Factors'!$A$3:$E$44,5,FALSE)*VLOOKUP($F81, 'Emission Factors'!$A$3:$K$44, 11, FALSE)</f>
        <v>160363.76377939203</v>
      </c>
      <c r="O81" s="31">
        <v>2352.0100000000002</v>
      </c>
      <c r="P81" s="19">
        <f>O81*VLOOKUP($F81,'Emission Factors'!$A$3:$E$44,5,FALSE)*VLOOKUP($F81, 'Emission Factors'!$A$3:$K$44, 11, FALSE)</f>
        <v>338399.92826668808</v>
      </c>
      <c r="Q81" s="31">
        <v>5127.3119999999999</v>
      </c>
      <c r="R81" s="19">
        <f>Q81*VLOOKUP($F81,'Emission Factors'!$A$3:$E$44,5,FALSE)*VLOOKUP($F81, 'Emission Factors'!$A$3:$K$44, 11, FALSE)</f>
        <v>737701.8010131456</v>
      </c>
      <c r="S81" s="31">
        <v>7165.7</v>
      </c>
      <c r="T81" s="19">
        <f>S81*VLOOKUP($F81,'Emission Factors'!$A$3:$E$44,5,FALSE)*VLOOKUP($F81, 'Emission Factors'!$A$3:$K$44, 11, FALSE)</f>
        <v>1030978.7653881601</v>
      </c>
      <c r="U81" s="31">
        <v>2737</v>
      </c>
      <c r="V81" s="19">
        <f>U81*VLOOKUP($F81,'Emission Factors'!$A$3:$E$44,5,FALSE)*VLOOKUP($F81, 'Emission Factors'!$A$3:$K$44, 11, FALSE)</f>
        <v>393791.09938560007</v>
      </c>
      <c r="W81" s="31">
        <v>2874</v>
      </c>
      <c r="X81" s="19">
        <f>W81*VLOOKUP($F81,'Emission Factors'!$A$3:$E$44,5,FALSE)*VLOOKUP($F81, 'Emission Factors'!$A$3:$K$44, 11, FALSE)</f>
        <v>413502.23589120008</v>
      </c>
      <c r="Y81" s="31">
        <v>2874</v>
      </c>
      <c r="Z81" s="19">
        <f>Y81*VLOOKUP($F81,'Emission Factors'!$A$3:$E$44,5,FALSE)*VLOOKUP($F81, 'Emission Factors'!$A$3:$K$44, 11, FALSE)</f>
        <v>413502.23589120008</v>
      </c>
      <c r="AA81" s="31">
        <v>2874</v>
      </c>
      <c r="AB81" s="19">
        <f>AA81*VLOOKUP($F81,'Emission Factors'!$A$3:$E$44,5,FALSE)*VLOOKUP($F81, 'Emission Factors'!$A$3:$K$44, 11, FALSE)</f>
        <v>413502.23589120008</v>
      </c>
      <c r="AC81" s="31">
        <v>2874</v>
      </c>
      <c r="AD81" s="19">
        <f>AC81*VLOOKUP($F81,'Emission Factors'!$A$3:$E$44,5,FALSE)*VLOOKUP($F81, 'Emission Factors'!$A$3:$K$44, 11, FALSE)</f>
        <v>413502.23589120008</v>
      </c>
      <c r="AE81" s="31">
        <v>2874</v>
      </c>
      <c r="AF81" s="19">
        <f>AE81*VLOOKUP($F81,'Emission Factors'!$A$3:$E$44,5,FALSE)*VLOOKUP($F81, 'Emission Factors'!$A$3:$K$44, 11, FALSE)</f>
        <v>413502.23589120008</v>
      </c>
      <c r="AG81" s="32"/>
      <c r="AH81" s="32"/>
      <c r="AI81" s="32"/>
      <c r="AJ81" s="31"/>
    </row>
    <row r="82" spans="1:36" s="2" customFormat="1" ht="30" x14ac:dyDescent="0.25">
      <c r="A82" s="102"/>
      <c r="B82" s="105"/>
      <c r="C82" s="29">
        <v>8.8000000000000007</v>
      </c>
      <c r="D82" s="27" t="s">
        <v>246</v>
      </c>
      <c r="E82" s="7" t="s">
        <v>247</v>
      </c>
      <c r="F82" s="7" t="s">
        <v>246</v>
      </c>
      <c r="G82" s="15" t="s">
        <v>219</v>
      </c>
      <c r="H82" s="4" t="s">
        <v>248</v>
      </c>
      <c r="I82" s="31"/>
      <c r="J82" s="36">
        <f>I82*'Emission Factors'!$E$29*1000*'Emission Factors'!$K$4</f>
        <v>0</v>
      </c>
      <c r="K82" s="31"/>
      <c r="L82" s="36">
        <f>K82*'Emission Factors'!$E$29*1000*'Emission Factors'!$K$4</f>
        <v>0</v>
      </c>
      <c r="M82" s="31"/>
      <c r="N82" s="36">
        <f>M82*'Emission Factors'!$E$29*1000*'Emission Factors'!$K$4</f>
        <v>0</v>
      </c>
      <c r="O82" s="31"/>
      <c r="P82" s="36">
        <f>O82*'Emission Factors'!$E$29*1000*'Emission Factors'!$K$4</f>
        <v>0</v>
      </c>
      <c r="Q82" s="31"/>
      <c r="R82" s="36">
        <f>Q82*'Emission Factors'!$E$29*1000*'Emission Factors'!$K$4</f>
        <v>0</v>
      </c>
      <c r="S82" s="31"/>
      <c r="T82" s="36">
        <f>S82*'Emission Factors'!$E$29*1000*'Emission Factors'!$K$4</f>
        <v>0</v>
      </c>
      <c r="U82" s="31"/>
      <c r="V82" s="36">
        <f>U82*'Emission Factors'!$E$29*1000*'Emission Factors'!$K$4</f>
        <v>0</v>
      </c>
      <c r="W82" s="31"/>
      <c r="X82" s="36">
        <f>W82*'Emission Factors'!$E$29*1000*'Emission Factors'!$K$4</f>
        <v>0</v>
      </c>
      <c r="Y82" s="31"/>
      <c r="Z82" s="36">
        <f>Y82*'Emission Factors'!$E$29*1000*'Emission Factors'!$K$4</f>
        <v>0</v>
      </c>
      <c r="AA82" s="31"/>
      <c r="AB82" s="36">
        <f>AA82*'Emission Factors'!$E$29*1000*'Emission Factors'!$K$4</f>
        <v>0</v>
      </c>
      <c r="AC82" s="31"/>
      <c r="AD82" s="36">
        <f>AC82*'Emission Factors'!$E$29*1000*'Emission Factors'!$K$4</f>
        <v>0</v>
      </c>
      <c r="AE82" s="31"/>
      <c r="AF82" s="36">
        <f>AE82*'Emission Factors'!$E$29*1000*'Emission Factors'!$K$4</f>
        <v>0</v>
      </c>
      <c r="AG82" s="32"/>
      <c r="AH82" s="32"/>
      <c r="AI82" s="32"/>
      <c r="AJ82" s="32"/>
    </row>
    <row r="83" spans="1:36" s="2" customFormat="1" ht="60" x14ac:dyDescent="0.25">
      <c r="A83" s="102"/>
      <c r="B83" s="105"/>
      <c r="C83" s="29">
        <v>8.9</v>
      </c>
      <c r="D83" s="27" t="s">
        <v>249</v>
      </c>
      <c r="E83" s="7" t="s">
        <v>250</v>
      </c>
      <c r="F83" s="30" t="s">
        <v>249</v>
      </c>
      <c r="G83" s="15" t="s">
        <v>82</v>
      </c>
      <c r="H83" s="4" t="s">
        <v>251</v>
      </c>
      <c r="I83" s="32">
        <v>11.94289</v>
      </c>
      <c r="J83" s="19">
        <f>I83*VLOOKUP($F83,'Emission Factors'!$A$3:$E$44,5,FALSE)*1000</f>
        <v>4584.7498317972004</v>
      </c>
      <c r="K83" s="32">
        <v>59.216700000000003</v>
      </c>
      <c r="L83" s="19">
        <f>K83*VLOOKUP($F83,'Emission Factors'!$A$3:$E$44,5,FALSE)*1000</f>
        <v>22732.668170315999</v>
      </c>
      <c r="M83" s="32">
        <v>95.576280000000011</v>
      </c>
      <c r="N83" s="19">
        <f>M83*VLOOKUP($F83,'Emission Factors'!$A$3:$E$44,5,FALSE)*1000</f>
        <v>36690.7284295344</v>
      </c>
      <c r="O83" s="32">
        <v>2185.9697399999995</v>
      </c>
      <c r="P83" s="19">
        <f>O83*VLOOKUP($F83,'Emission Factors'!$A$3:$E$44,5,FALSE)*1000</f>
        <v>839170.78678433504</v>
      </c>
      <c r="Q83" s="32">
        <v>2709.4049100000002</v>
      </c>
      <c r="R83" s="19">
        <f>Q83*VLOOKUP($F83,'Emission Factors'!$A$3:$E$44,5,FALSE)*1000</f>
        <v>1040112.0420093469</v>
      </c>
      <c r="S83" s="32">
        <v>1674.6810799999998</v>
      </c>
      <c r="T83" s="19">
        <f>S83*VLOOKUP($F83,'Emission Factors'!$A$3:$E$44,5,FALSE)*1000</f>
        <v>642892.44896703842</v>
      </c>
      <c r="U83" s="32">
        <v>1974.7445399999999</v>
      </c>
      <c r="V83" s="19">
        <f>U83*VLOOKUP($F83,'Emission Factors'!$A$3:$E$44,5,FALSE)*1000</f>
        <v>758083.65459343919</v>
      </c>
      <c r="W83" s="32">
        <v>752.86836000000005</v>
      </c>
      <c r="X83" s="19">
        <f>W83*VLOOKUP($F83,'Emission Factors'!$A$3:$E$44,5,FALSE)*1000</f>
        <v>289018.24322885287</v>
      </c>
      <c r="Y83" s="32"/>
      <c r="Z83" s="19">
        <f>Y83*VLOOKUP($F83,'Emission Factors'!$A$3:$E$44,5,FALSE)*1000</f>
        <v>0</v>
      </c>
      <c r="AA83" s="32"/>
      <c r="AB83" s="19">
        <f>AA83*VLOOKUP($F83,'Emission Factors'!$A$3:$E$44,5,FALSE)*1000</f>
        <v>0</v>
      </c>
      <c r="AC83" s="32"/>
      <c r="AD83" s="19">
        <f>AC83*VLOOKUP($F83,'Emission Factors'!$A$3:$E$44,5,FALSE)*1000</f>
        <v>0</v>
      </c>
      <c r="AE83" s="32"/>
      <c r="AF83" s="19">
        <f>AE83*VLOOKUP($F83,'Emission Factors'!$A$3:$E$44,5,FALSE)*1000</f>
        <v>0</v>
      </c>
      <c r="AG83" s="32"/>
      <c r="AH83" s="32"/>
      <c r="AI83" s="32"/>
      <c r="AJ83" s="32"/>
    </row>
    <row r="84" spans="1:36" s="2" customFormat="1" ht="30" x14ac:dyDescent="0.25">
      <c r="A84" s="103"/>
      <c r="B84" s="106"/>
      <c r="C84" s="35">
        <v>8.1</v>
      </c>
      <c r="D84" s="27" t="s">
        <v>56</v>
      </c>
      <c r="E84" s="7" t="s">
        <v>252</v>
      </c>
      <c r="F84" s="7" t="s">
        <v>56</v>
      </c>
      <c r="G84" s="15" t="s">
        <v>15</v>
      </c>
      <c r="H84" s="4" t="s">
        <v>58</v>
      </c>
      <c r="I84" s="32"/>
      <c r="J84" s="19">
        <f>I84</f>
        <v>0</v>
      </c>
      <c r="K84" s="32"/>
      <c r="L84" s="19">
        <f>K84</f>
        <v>0</v>
      </c>
      <c r="M84" s="32"/>
      <c r="N84" s="19">
        <f>M84</f>
        <v>0</v>
      </c>
      <c r="O84" s="32"/>
      <c r="P84" s="19">
        <f>O84</f>
        <v>0</v>
      </c>
      <c r="Q84" s="32"/>
      <c r="R84" s="19">
        <f>Q84</f>
        <v>0</v>
      </c>
      <c r="S84" s="32"/>
      <c r="T84" s="19">
        <f>S84</f>
        <v>0</v>
      </c>
      <c r="U84" s="32"/>
      <c r="V84" s="19">
        <f>U84</f>
        <v>0</v>
      </c>
      <c r="W84" s="32"/>
      <c r="X84" s="19">
        <f>W84</f>
        <v>0</v>
      </c>
      <c r="Y84" s="32"/>
      <c r="Z84" s="19">
        <f>Y84</f>
        <v>0</v>
      </c>
      <c r="AA84" s="32"/>
      <c r="AB84" s="19">
        <f>AA84</f>
        <v>0</v>
      </c>
      <c r="AC84" s="32"/>
      <c r="AD84" s="19">
        <f>AC84</f>
        <v>0</v>
      </c>
      <c r="AE84" s="32"/>
      <c r="AF84" s="19">
        <f>AE84</f>
        <v>0</v>
      </c>
      <c r="AG84" s="32"/>
      <c r="AH84" s="32"/>
      <c r="AI84" s="32"/>
      <c r="AJ84" s="32"/>
    </row>
  </sheetData>
  <mergeCells count="89">
    <mergeCell ref="AG1:AG3"/>
    <mergeCell ref="AH1:AH3"/>
    <mergeCell ref="AI1:AI3"/>
    <mergeCell ref="AJ1:AJ3"/>
    <mergeCell ref="I2:J2"/>
    <mergeCell ref="K2:L2"/>
    <mergeCell ref="M2:N2"/>
    <mergeCell ref="O2:P2"/>
    <mergeCell ref="Q2:R2"/>
    <mergeCell ref="S2:T2"/>
    <mergeCell ref="I1:AF1"/>
    <mergeCell ref="U2:V2"/>
    <mergeCell ref="W2:X2"/>
    <mergeCell ref="Y2:Z2"/>
    <mergeCell ref="AA2:AB2"/>
    <mergeCell ref="AE2:AF2"/>
    <mergeCell ref="B4:B11"/>
    <mergeCell ref="C4:C6"/>
    <mergeCell ref="D4:D6"/>
    <mergeCell ref="H4:H8"/>
    <mergeCell ref="C7:C8"/>
    <mergeCell ref="D7:D8"/>
    <mergeCell ref="C9:C10"/>
    <mergeCell ref="A17:A18"/>
    <mergeCell ref="B17:B18"/>
    <mergeCell ref="C17:C18"/>
    <mergeCell ref="D17:D18"/>
    <mergeCell ref="AC2:AD2"/>
    <mergeCell ref="D9:D10"/>
    <mergeCell ref="A12:A16"/>
    <mergeCell ref="B12:B16"/>
    <mergeCell ref="C12:C15"/>
    <mergeCell ref="D12:D15"/>
    <mergeCell ref="A1:B3"/>
    <mergeCell ref="C1:D3"/>
    <mergeCell ref="E1:F3"/>
    <mergeCell ref="G1:G3"/>
    <mergeCell ref="H1:H3"/>
    <mergeCell ref="A4:A11"/>
    <mergeCell ref="A19:A30"/>
    <mergeCell ref="B19:B30"/>
    <mergeCell ref="C19:C23"/>
    <mergeCell ref="D19:D23"/>
    <mergeCell ref="H19:H21"/>
    <mergeCell ref="C26:C29"/>
    <mergeCell ref="D26:D29"/>
    <mergeCell ref="H26:H29"/>
    <mergeCell ref="A31:A36"/>
    <mergeCell ref="B31:B36"/>
    <mergeCell ref="C31:C32"/>
    <mergeCell ref="D31:D32"/>
    <mergeCell ref="H31:H32"/>
    <mergeCell ref="C33:C34"/>
    <mergeCell ref="D33:D34"/>
    <mergeCell ref="H38:H39"/>
    <mergeCell ref="A42:A61"/>
    <mergeCell ref="B42:B61"/>
    <mergeCell ref="C43:C47"/>
    <mergeCell ref="D43:D47"/>
    <mergeCell ref="H43:H47"/>
    <mergeCell ref="C55:C56"/>
    <mergeCell ref="D55:D56"/>
    <mergeCell ref="A37:A41"/>
    <mergeCell ref="B37:B41"/>
    <mergeCell ref="C38:C39"/>
    <mergeCell ref="D38:D39"/>
    <mergeCell ref="C48:C52"/>
    <mergeCell ref="D48:D52"/>
    <mergeCell ref="H48:H52"/>
    <mergeCell ref="C53:C54"/>
    <mergeCell ref="D53:D54"/>
    <mergeCell ref="C57:C58"/>
    <mergeCell ref="D57:D58"/>
    <mergeCell ref="C59:C60"/>
    <mergeCell ref="D59:D60"/>
    <mergeCell ref="A63:A84"/>
    <mergeCell ref="B63:B84"/>
    <mergeCell ref="C63:C68"/>
    <mergeCell ref="D63:D68"/>
    <mergeCell ref="C69:C71"/>
    <mergeCell ref="D69:D71"/>
    <mergeCell ref="AJ78:AJ80"/>
    <mergeCell ref="H69:H71"/>
    <mergeCell ref="C72:C74"/>
    <mergeCell ref="D72:D74"/>
    <mergeCell ref="C75:C77"/>
    <mergeCell ref="D75:D77"/>
    <mergeCell ref="C78:C80"/>
    <mergeCell ref="D78:D80"/>
  </mergeCells>
  <hyperlinks>
    <hyperlink ref="A4:A11" location="README!O23" display="README!O23" xr:uid="{C7A052BF-ADD6-4B1A-AFBF-7CE7D9B994F7}"/>
    <hyperlink ref="A12:A16" location="README!O31" display="README!O31" xr:uid="{DCA03A19-D000-4522-9E75-8BFF412A39B5}"/>
    <hyperlink ref="A17:A18" location="README!O43" display="README!O43" xr:uid="{AAB4EB5A-C354-4461-8F38-BFFADEAC2648}"/>
    <hyperlink ref="A19:A30" location="README!O51" display="README!O51" xr:uid="{568CC294-4D70-4EAB-BDAB-A88096D8A15C}"/>
    <hyperlink ref="A31:A36" location="README!O99" display="README!O99" xr:uid="{541D91E0-0CA9-4CD8-98F8-72C34B793830}"/>
    <hyperlink ref="A37:A41" location="README!O112" display="README!O112" xr:uid="{BAC04716-CAAB-41FA-B5CF-393DD624B6E1}"/>
    <hyperlink ref="A42:A61" location="README!O118" display="README!O118" xr:uid="{35922491-EC38-4BE7-887F-94AA38104EED}"/>
    <hyperlink ref="I1:T1" location="README!B43" display="Amount" xr:uid="{A4C5CC23-9D7A-4F84-8A2E-7035625423ED}"/>
    <hyperlink ref="AG1:AG3" location="README!B63" display="Units (Alternative)" xr:uid="{88FC9B07-31EC-403D-AEE6-F7DDB1F19D44}"/>
    <hyperlink ref="AH1:AH3" location="README!B70" display="Data Source" xr:uid="{46877B73-CC11-427D-A9EF-A3A5C80DB674}"/>
    <hyperlink ref="AI1:AI3" location="README!B98" display="Data Reliability" xr:uid="{068CDEED-E17F-4608-A721-1A90A29535A3}"/>
    <hyperlink ref="AJ1:AJ3" location="README!B124" display="Notes" xr:uid="{FBE93B91-D0F3-4686-9262-668952D8024A}"/>
  </hyperlink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327AB157-BFD0-4097-93BC-0D629A2D6325}">
          <x14:formula1>
            <xm:f>Lookup!$H$3:$H$7</xm:f>
          </x14:formula1>
          <xm:sqref>AE74 K80 I74 K74 M74 O74 Q74 S74 U74 W74 Y74 AA74 AC74 I77 K77 M77 O77 Q77 S77 U77 W77 Y77 AA77 AC77 AE77 M80 O80 Q80 S80 U80 W80 Y80 AA80 AC80 AE80 I80</xm:sqref>
        </x14:dataValidation>
        <x14:dataValidation type="list" allowBlank="1" showInputMessage="1" showErrorMessage="1" xr:uid="{FBC7A90E-64E3-44E0-8270-0F2819BBA122}">
          <x14:formula1>
            <xm:f>Lookup!$G$3:$G$4</xm:f>
          </x14:formula1>
          <xm:sqref>AE73 I79 I73 K73 M73 O73 Q73 S73 U73 W73 Y73 AA73 AC73 I76 K76 M76 O76 Q76 S76 U76 W76 Y76 AA76 AC76 AE76 K79 M79 O79 Q79 S79 U79 W79 Y79 AA79 AC79 AE79</xm:sqref>
        </x14:dataValidation>
        <x14:dataValidation type="list" allowBlank="1" showInputMessage="1" showErrorMessage="1" xr:uid="{2899C622-D1D0-4BD0-9184-7810713EAAE5}">
          <x14:formula1>
            <xm:f>Lookup!$C$3:$C$5</xm:f>
          </x14:formula1>
          <xm:sqref>I57 I59 I55 I53 K57 M57 O57 Q57 S57 U57 W57 Y57 AA57 AC57 AE57 K59 M59 O59 Q59 S59 U59 W59 Y59 AA59 AC59 AE59 K55 M55 O55 Q55 S55 U55 W55 Y55 AA55 AC55 AE55 K53 M53 O53 Q53 S53 U53 W53 Y53 AA53 AC53 AE53</xm:sqref>
        </x14:dataValidation>
        <x14:dataValidation type="list" allowBlank="1" showInputMessage="1" showErrorMessage="1" xr:uid="{41D9D16C-6879-44D9-84F4-84A9B30AB9C9}">
          <x14:formula1>
            <xm:f>Lookup!$D$3:$D$6</xm:f>
          </x14:formula1>
          <xm:sqref>AI4:AI84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E16E-1270-4752-89BE-EC6A988D7A9B}">
  <sheetPr codeName="Sheet7">
    <tabColor rgb="FFC9DB41"/>
    <pageSetUpPr autoPageBreaks="0"/>
  </sheetPr>
  <dimension ref="A1:AK96"/>
  <sheetViews>
    <sheetView topLeftCell="A35" zoomScale="70" zoomScaleNormal="70" workbookViewId="0">
      <selection sqref="A1:B3"/>
    </sheetView>
  </sheetViews>
  <sheetFormatPr defaultRowHeight="18.75" x14ac:dyDescent="0.3"/>
  <cols>
    <col min="1" max="1" width="3.42578125" style="18" customWidth="1"/>
    <col min="2" max="2" width="21.140625" customWidth="1"/>
    <col min="3" max="3" width="5" bestFit="1" customWidth="1"/>
    <col min="4" max="4" width="29.140625" customWidth="1"/>
    <col min="5" max="5" width="5.140625" bestFit="1" customWidth="1"/>
    <col min="6" max="6" width="41.140625" customWidth="1"/>
    <col min="7" max="7" width="8.7109375" customWidth="1"/>
    <col min="8" max="8" width="42.28515625" style="1" customWidth="1"/>
    <col min="9" max="27" width="15" style="1" customWidth="1"/>
    <col min="28" max="28" width="15.85546875" style="1" bestFit="1" customWidth="1"/>
    <col min="29" max="29" width="15" style="1" customWidth="1"/>
    <col min="30" max="30" width="15.85546875" style="1" bestFit="1" customWidth="1"/>
    <col min="31" max="31" width="15" style="1" customWidth="1"/>
    <col min="32" max="32" width="15.85546875" style="1" bestFit="1" customWidth="1"/>
    <col min="33" max="34" width="25.140625" style="1" bestFit="1" customWidth="1"/>
    <col min="35" max="35" width="43.140625" customWidth="1"/>
    <col min="36" max="36" width="15.140625" customWidth="1"/>
    <col min="37" max="37" width="43.140625" customWidth="1"/>
  </cols>
  <sheetData>
    <row r="1" spans="1:37" s="2" customFormat="1" ht="38.25" customHeight="1" x14ac:dyDescent="0.25">
      <c r="A1" s="121" t="s">
        <v>14</v>
      </c>
      <c r="B1" s="121"/>
      <c r="C1" s="121" t="s">
        <v>22</v>
      </c>
      <c r="D1" s="121"/>
      <c r="E1" s="121" t="s">
        <v>23</v>
      </c>
      <c r="F1" s="121"/>
      <c r="G1" s="121" t="s">
        <v>24</v>
      </c>
      <c r="H1" s="121" t="s">
        <v>25</v>
      </c>
      <c r="I1" s="125" t="s">
        <v>26</v>
      </c>
      <c r="J1" s="125"/>
      <c r="K1" s="125"/>
      <c r="L1" s="125"/>
      <c r="M1" s="125"/>
      <c r="N1" s="125"/>
      <c r="O1" s="125"/>
      <c r="P1" s="125"/>
      <c r="Q1" s="125"/>
      <c r="R1" s="125"/>
      <c r="S1" s="125"/>
      <c r="T1" s="125"/>
      <c r="U1" s="125"/>
      <c r="V1" s="125"/>
      <c r="W1" s="125"/>
      <c r="X1" s="125"/>
      <c r="Y1" s="125"/>
      <c r="Z1" s="125"/>
      <c r="AA1" s="125"/>
      <c r="AB1" s="125"/>
      <c r="AC1" s="125"/>
      <c r="AD1" s="125"/>
      <c r="AE1" s="125"/>
      <c r="AF1" s="125"/>
      <c r="AG1" s="125" t="s">
        <v>253</v>
      </c>
      <c r="AH1" s="125" t="s">
        <v>27</v>
      </c>
      <c r="AI1" s="125" t="s">
        <v>28</v>
      </c>
      <c r="AJ1" s="125" t="s">
        <v>29</v>
      </c>
      <c r="AK1" s="125" t="s">
        <v>30</v>
      </c>
    </row>
    <row r="2" spans="1:37" s="2" customFormat="1" ht="38.25" customHeight="1" x14ac:dyDescent="0.25">
      <c r="A2" s="121"/>
      <c r="B2" s="121"/>
      <c r="C2" s="121"/>
      <c r="D2" s="121"/>
      <c r="E2" s="121"/>
      <c r="F2" s="121"/>
      <c r="G2" s="121"/>
      <c r="H2" s="121"/>
      <c r="I2" s="120" t="e">
        <f>VLOOKUP('Project Details'!B6,Lookup!$E$3:$F$14,2,0)</f>
        <v>#N/A</v>
      </c>
      <c r="J2" s="120"/>
      <c r="K2" s="120" t="e">
        <f>EDATE(I2,1)</f>
        <v>#N/A</v>
      </c>
      <c r="L2" s="120"/>
      <c r="M2" s="120" t="e">
        <f>EDATE(K2,1)</f>
        <v>#N/A</v>
      </c>
      <c r="N2" s="120"/>
      <c r="O2" s="120" t="e">
        <f>EDATE(M2,1)</f>
        <v>#N/A</v>
      </c>
      <c r="P2" s="120"/>
      <c r="Q2" s="120" t="e">
        <f>EDATE(O2,1)</f>
        <v>#N/A</v>
      </c>
      <c r="R2" s="120"/>
      <c r="S2" s="120" t="e">
        <f>EDATE(Q2,1)</f>
        <v>#N/A</v>
      </c>
      <c r="T2" s="120"/>
      <c r="U2" s="120" t="e">
        <f>EDATE(S2,1)</f>
        <v>#N/A</v>
      </c>
      <c r="V2" s="120"/>
      <c r="W2" s="120" t="e">
        <f>EDATE(U2,1)</f>
        <v>#N/A</v>
      </c>
      <c r="X2" s="120"/>
      <c r="Y2" s="120" t="e">
        <f>EDATE(W2,1)</f>
        <v>#N/A</v>
      </c>
      <c r="Z2" s="120"/>
      <c r="AA2" s="120" t="e">
        <f>EDATE(Y2,1)</f>
        <v>#N/A</v>
      </c>
      <c r="AB2" s="120"/>
      <c r="AC2" s="120" t="e">
        <f>EDATE(AA2,1)</f>
        <v>#N/A</v>
      </c>
      <c r="AD2" s="120"/>
      <c r="AE2" s="120" t="e">
        <f>EDATE(AC2,1)</f>
        <v>#N/A</v>
      </c>
      <c r="AF2" s="120"/>
      <c r="AG2" s="125"/>
      <c r="AH2" s="125"/>
      <c r="AI2" s="125"/>
      <c r="AJ2" s="125"/>
      <c r="AK2" s="125"/>
    </row>
    <row r="3" spans="1:37" s="2" customFormat="1" ht="38.25" customHeight="1" thickBot="1" x14ac:dyDescent="0.3">
      <c r="A3" s="122"/>
      <c r="B3" s="122"/>
      <c r="C3" s="122"/>
      <c r="D3" s="122"/>
      <c r="E3" s="122"/>
      <c r="F3" s="122"/>
      <c r="G3" s="122"/>
      <c r="H3" s="122"/>
      <c r="I3" s="17" t="s">
        <v>31</v>
      </c>
      <c r="J3" s="17" t="s">
        <v>32</v>
      </c>
      <c r="K3" s="17" t="s">
        <v>31</v>
      </c>
      <c r="L3" s="17" t="s">
        <v>32</v>
      </c>
      <c r="M3" s="17" t="s">
        <v>31</v>
      </c>
      <c r="N3" s="17" t="s">
        <v>32</v>
      </c>
      <c r="O3" s="17" t="s">
        <v>31</v>
      </c>
      <c r="P3" s="17" t="s">
        <v>32</v>
      </c>
      <c r="Q3" s="17" t="s">
        <v>31</v>
      </c>
      <c r="R3" s="17" t="s">
        <v>32</v>
      </c>
      <c r="S3" s="17" t="s">
        <v>31</v>
      </c>
      <c r="T3" s="17" t="s">
        <v>32</v>
      </c>
      <c r="U3" s="17" t="s">
        <v>31</v>
      </c>
      <c r="V3" s="17" t="s">
        <v>32</v>
      </c>
      <c r="W3" s="17" t="s">
        <v>31</v>
      </c>
      <c r="X3" s="17" t="s">
        <v>32</v>
      </c>
      <c r="Y3" s="17" t="s">
        <v>31</v>
      </c>
      <c r="Z3" s="17" t="s">
        <v>32</v>
      </c>
      <c r="AA3" s="17" t="s">
        <v>31</v>
      </c>
      <c r="AB3" s="17" t="s">
        <v>32</v>
      </c>
      <c r="AC3" s="17" t="s">
        <v>31</v>
      </c>
      <c r="AD3" s="17" t="s">
        <v>32</v>
      </c>
      <c r="AE3" s="17" t="s">
        <v>31</v>
      </c>
      <c r="AF3" s="17" t="s">
        <v>32</v>
      </c>
      <c r="AG3" s="126"/>
      <c r="AH3" s="126"/>
      <c r="AI3" s="126"/>
      <c r="AJ3" s="126"/>
      <c r="AK3" s="126"/>
    </row>
    <row r="4" spans="1:37" s="2" customFormat="1" ht="15.75" customHeight="1" thickTop="1" x14ac:dyDescent="0.25">
      <c r="A4" s="103">
        <v>1</v>
      </c>
      <c r="B4" s="113" t="s">
        <v>16</v>
      </c>
      <c r="C4" s="123">
        <v>1.1000000000000001</v>
      </c>
      <c r="D4" s="117" t="s">
        <v>33</v>
      </c>
      <c r="E4" s="5" t="s">
        <v>34</v>
      </c>
      <c r="F4" s="5" t="s">
        <v>35</v>
      </c>
      <c r="G4" s="6" t="s">
        <v>36</v>
      </c>
      <c r="H4" s="124" t="s">
        <v>37</v>
      </c>
      <c r="I4" s="31"/>
      <c r="J4" s="19">
        <f>I4*VLOOKUP($F4, 'Emission Factors'!$A$3:$E$44, 5, FALSE)*1000</f>
        <v>0</v>
      </c>
      <c r="K4" s="31"/>
      <c r="L4" s="19">
        <f>K4*VLOOKUP($F4, 'Emission Factors'!$A$3:$E$44, 5, FALSE)*1000</f>
        <v>0</v>
      </c>
      <c r="M4" s="31"/>
      <c r="N4" s="19">
        <f>M4*VLOOKUP($F4, 'Emission Factors'!$A$3:$E$44, 5, FALSE)*1000</f>
        <v>0</v>
      </c>
      <c r="O4" s="31"/>
      <c r="P4" s="19">
        <f>O4*VLOOKUP($F4, 'Emission Factors'!$A$3:$E$44, 5, FALSE)*1000</f>
        <v>0</v>
      </c>
      <c r="Q4" s="31"/>
      <c r="R4" s="19">
        <f>Q4*VLOOKUP($F4, 'Emission Factors'!$A$3:$E$44, 5, FALSE)*1000</f>
        <v>0</v>
      </c>
      <c r="S4" s="31"/>
      <c r="T4" s="19">
        <f>S4*VLOOKUP($F4, 'Emission Factors'!$A$3:$E$44, 5, FALSE)*1000</f>
        <v>0</v>
      </c>
      <c r="U4" s="31"/>
      <c r="V4" s="19">
        <f>U4*VLOOKUP($F4, 'Emission Factors'!$A$3:$E$44, 5, FALSE)*1000</f>
        <v>0</v>
      </c>
      <c r="W4" s="31"/>
      <c r="X4" s="19">
        <f>W4*VLOOKUP($F4, 'Emission Factors'!$A$3:$E$44, 5, FALSE)*1000</f>
        <v>0</v>
      </c>
      <c r="Y4" s="31"/>
      <c r="Z4" s="19">
        <f>Y4*VLOOKUP($F4, 'Emission Factors'!$A$3:$E$44, 5, FALSE)*1000</f>
        <v>0</v>
      </c>
      <c r="AA4" s="31"/>
      <c r="AB4" s="19">
        <f>AA4*VLOOKUP($F4, 'Emission Factors'!$A$3:$E$44, 5, FALSE)*1000</f>
        <v>0</v>
      </c>
      <c r="AC4" s="31"/>
      <c r="AD4" s="19">
        <f>AC4*VLOOKUP($F4, 'Emission Factors'!$A$3:$E$44, 5, FALSE)*1000</f>
        <v>0</v>
      </c>
      <c r="AE4" s="31"/>
      <c r="AF4" s="19">
        <f>AE4*VLOOKUP($F4, 'Emission Factors'!$A$3:$E$44, 5, FALSE)*1000</f>
        <v>0</v>
      </c>
      <c r="AG4" s="19">
        <f>SUM(J4,L4,N4,P4,R4,T4,V4,X4,Z4,AB4,AD4,AF4)</f>
        <v>0</v>
      </c>
      <c r="AH4" s="31"/>
      <c r="AI4" s="31"/>
      <c r="AJ4" s="31"/>
      <c r="AK4" s="31"/>
    </row>
    <row r="5" spans="1:37" s="2" customFormat="1" ht="15" customHeight="1" x14ac:dyDescent="0.25">
      <c r="A5" s="102"/>
      <c r="B5" s="119"/>
      <c r="C5" s="123"/>
      <c r="D5" s="108"/>
      <c r="E5" s="7" t="s">
        <v>38</v>
      </c>
      <c r="F5" s="7" t="s">
        <v>39</v>
      </c>
      <c r="G5" s="8" t="s">
        <v>36</v>
      </c>
      <c r="H5" s="98"/>
      <c r="I5" s="32"/>
      <c r="J5" s="40">
        <f>I5*VLOOKUP($F5, 'Emission Factors'!$A$3:$E$44, 5, FALSE)</f>
        <v>0</v>
      </c>
      <c r="K5" s="32"/>
      <c r="L5" s="19">
        <f>K5*VLOOKUP($F5, 'Emission Factors'!$A$3:$E$44, 5, FALSE)</f>
        <v>0</v>
      </c>
      <c r="M5" s="32"/>
      <c r="N5" s="19">
        <f>M5*VLOOKUP($F5, 'Emission Factors'!$A$3:$E$44, 5, FALSE)</f>
        <v>0</v>
      </c>
      <c r="O5" s="32"/>
      <c r="P5" s="19">
        <f>O5*VLOOKUP($F5, 'Emission Factors'!$A$3:$E$44, 5, FALSE)</f>
        <v>0</v>
      </c>
      <c r="Q5" s="32"/>
      <c r="R5" s="19">
        <f>Q5*VLOOKUP($F5, 'Emission Factors'!$A$3:$E$44, 5, FALSE)</f>
        <v>0</v>
      </c>
      <c r="S5" s="32"/>
      <c r="T5" s="19">
        <f>S5*VLOOKUP($F5, 'Emission Factors'!$A$3:$E$44, 5, FALSE)</f>
        <v>0</v>
      </c>
      <c r="U5" s="32"/>
      <c r="V5" s="19">
        <f>U5*VLOOKUP($F5, 'Emission Factors'!$A$3:$E$44, 5, FALSE)</f>
        <v>0</v>
      </c>
      <c r="W5" s="32"/>
      <c r="X5" s="19">
        <f>W5*VLOOKUP($F5, 'Emission Factors'!$A$3:$E$44, 5, FALSE)</f>
        <v>0</v>
      </c>
      <c r="Y5" s="32"/>
      <c r="Z5" s="19">
        <f>Y5*VLOOKUP($F5, 'Emission Factors'!$A$3:$E$44, 5, FALSE)</f>
        <v>0</v>
      </c>
      <c r="AA5" s="32"/>
      <c r="AB5" s="19">
        <f>AA5*VLOOKUP($F5, 'Emission Factors'!$A$3:$E$44, 5, FALSE)</f>
        <v>0</v>
      </c>
      <c r="AC5" s="32"/>
      <c r="AD5" s="19">
        <f>AC5*VLOOKUP($F5, 'Emission Factors'!$A$3:$E$44, 5, FALSE)</f>
        <v>0</v>
      </c>
      <c r="AE5" s="32"/>
      <c r="AF5" s="19">
        <f>AE5*VLOOKUP($F5, 'Emission Factors'!$A$3:$E$44, 5, FALSE)</f>
        <v>0</v>
      </c>
      <c r="AG5" s="19">
        <f t="shared" ref="AG5:AG68" si="0">SUM(J5,L5,N5,P5,R5,T5,V5,X5,Z5,AB5,AD5,AF5)</f>
        <v>0</v>
      </c>
      <c r="AH5" s="32"/>
      <c r="AI5" s="32"/>
      <c r="AJ5" s="32"/>
      <c r="AK5" s="32"/>
    </row>
    <row r="6" spans="1:37" s="2" customFormat="1" ht="15" customHeight="1" x14ac:dyDescent="0.25">
      <c r="A6" s="102"/>
      <c r="B6" s="119"/>
      <c r="C6" s="115"/>
      <c r="D6" s="108"/>
      <c r="E6" s="7" t="s">
        <v>40</v>
      </c>
      <c r="F6" s="7" t="s">
        <v>41</v>
      </c>
      <c r="G6" s="8" t="s">
        <v>36</v>
      </c>
      <c r="H6" s="98"/>
      <c r="I6" s="32"/>
      <c r="J6" s="19">
        <f>I6*VLOOKUP($F6, 'Emission Factors'!$A$3:$E$44, 5, FALSE)</f>
        <v>0</v>
      </c>
      <c r="K6" s="32"/>
      <c r="L6" s="19">
        <f>K6*VLOOKUP($F6, 'Emission Factors'!$A$3:$E$44, 5, FALSE)</f>
        <v>0</v>
      </c>
      <c r="M6" s="32"/>
      <c r="N6" s="19">
        <f>M6*VLOOKUP($F6, 'Emission Factors'!$A$3:$E$44, 5, FALSE)</f>
        <v>0</v>
      </c>
      <c r="O6" s="32"/>
      <c r="P6" s="19">
        <f>O6*VLOOKUP($F6, 'Emission Factors'!$A$3:$E$44, 5, FALSE)</f>
        <v>0</v>
      </c>
      <c r="Q6" s="32"/>
      <c r="R6" s="19">
        <f>Q6*VLOOKUP($F6, 'Emission Factors'!$A$3:$E$44, 5, FALSE)</f>
        <v>0</v>
      </c>
      <c r="S6" s="32"/>
      <c r="T6" s="19">
        <f>S6*VLOOKUP($F6, 'Emission Factors'!$A$3:$E$44, 5, FALSE)</f>
        <v>0</v>
      </c>
      <c r="U6" s="32"/>
      <c r="V6" s="19">
        <f>U6*VLOOKUP($F6, 'Emission Factors'!$A$3:$E$44, 5, FALSE)</f>
        <v>0</v>
      </c>
      <c r="W6" s="32"/>
      <c r="X6" s="19">
        <f>W6*VLOOKUP($F6, 'Emission Factors'!$A$3:$E$44, 5, FALSE)</f>
        <v>0</v>
      </c>
      <c r="Y6" s="32"/>
      <c r="Z6" s="19">
        <f>Y6*VLOOKUP($F6, 'Emission Factors'!$A$3:$E$44, 5, FALSE)</f>
        <v>0</v>
      </c>
      <c r="AA6" s="32"/>
      <c r="AB6" s="19">
        <f>AA6*VLOOKUP($F6, 'Emission Factors'!$A$3:$E$44, 5, FALSE)</f>
        <v>0</v>
      </c>
      <c r="AC6" s="32"/>
      <c r="AD6" s="19">
        <f>AC6*VLOOKUP($F6, 'Emission Factors'!$A$3:$E$44, 5, FALSE)</f>
        <v>0</v>
      </c>
      <c r="AE6" s="32"/>
      <c r="AF6" s="19">
        <f>AE6*VLOOKUP($F6, 'Emission Factors'!$A$3:$E$44, 5, FALSE)</f>
        <v>0</v>
      </c>
      <c r="AG6" s="19">
        <f t="shared" si="0"/>
        <v>0</v>
      </c>
      <c r="AH6" s="32"/>
      <c r="AI6" s="32"/>
      <c r="AJ6" s="32"/>
      <c r="AK6" s="32"/>
    </row>
    <row r="7" spans="1:37" s="2" customFormat="1" ht="15" customHeight="1" x14ac:dyDescent="0.25">
      <c r="A7" s="102"/>
      <c r="B7" s="119"/>
      <c r="C7" s="114">
        <v>1.2</v>
      </c>
      <c r="D7" s="108" t="s">
        <v>42</v>
      </c>
      <c r="E7" s="7" t="s">
        <v>43</v>
      </c>
      <c r="F7" s="7" t="s">
        <v>44</v>
      </c>
      <c r="G7" s="8" t="s">
        <v>45</v>
      </c>
      <c r="H7" s="98"/>
      <c r="I7" s="32"/>
      <c r="J7" s="19">
        <f>I7*VLOOKUP($F7, 'Emission Factors'!$A$3:$E$44, 5, FALSE)*1000</f>
        <v>0</v>
      </c>
      <c r="K7" s="32"/>
      <c r="L7" s="19">
        <f>K7*VLOOKUP($F7, 'Emission Factors'!$A$3:$E$44, 5, FALSE)</f>
        <v>0</v>
      </c>
      <c r="M7" s="32"/>
      <c r="N7" s="19">
        <f>M7*VLOOKUP($F7, 'Emission Factors'!$A$3:$E$44, 5, FALSE)</f>
        <v>0</v>
      </c>
      <c r="O7" s="32"/>
      <c r="P7" s="19">
        <f>O7*VLOOKUP($F7, 'Emission Factors'!$A$3:$E$44, 5, FALSE)</f>
        <v>0</v>
      </c>
      <c r="Q7" s="32"/>
      <c r="R7" s="19">
        <f>Q7*VLOOKUP($F7, 'Emission Factors'!$A$3:$E$44, 5, FALSE)</f>
        <v>0</v>
      </c>
      <c r="S7" s="32"/>
      <c r="T7" s="19">
        <f>S7*VLOOKUP($F7, 'Emission Factors'!$A$3:$E$44, 5, FALSE)</f>
        <v>0</v>
      </c>
      <c r="U7" s="32"/>
      <c r="V7" s="19">
        <f>U7*VLOOKUP($F7, 'Emission Factors'!$A$3:$E$44, 5, FALSE)</f>
        <v>0</v>
      </c>
      <c r="W7" s="32"/>
      <c r="X7" s="19">
        <f>W7*VLOOKUP($F7, 'Emission Factors'!$A$3:$E$44, 5, FALSE)</f>
        <v>0</v>
      </c>
      <c r="Y7" s="32"/>
      <c r="Z7" s="19">
        <f>Y7*VLOOKUP($F7, 'Emission Factors'!$A$3:$E$44, 5, FALSE)</f>
        <v>0</v>
      </c>
      <c r="AA7" s="32"/>
      <c r="AB7" s="19">
        <f>AA7*VLOOKUP($F7, 'Emission Factors'!$A$3:$E$44, 5, FALSE)</f>
        <v>0</v>
      </c>
      <c r="AC7" s="32"/>
      <c r="AD7" s="19">
        <f>AC7*VLOOKUP($F7, 'Emission Factors'!$A$3:$E$44, 5, FALSE)</f>
        <v>0</v>
      </c>
      <c r="AE7" s="32"/>
      <c r="AF7" s="19">
        <f>AE7*VLOOKUP($F7, 'Emission Factors'!$A$3:$E$44, 5, FALSE)</f>
        <v>0</v>
      </c>
      <c r="AG7" s="19">
        <f t="shared" si="0"/>
        <v>0</v>
      </c>
      <c r="AH7" s="32"/>
      <c r="AI7" s="32"/>
      <c r="AJ7" s="32"/>
      <c r="AK7" s="32"/>
    </row>
    <row r="8" spans="1:37" s="2" customFormat="1" ht="15" customHeight="1" x14ac:dyDescent="0.25">
      <c r="A8" s="102"/>
      <c r="B8" s="119"/>
      <c r="C8" s="115"/>
      <c r="D8" s="108"/>
      <c r="E8" s="7" t="s">
        <v>46</v>
      </c>
      <c r="F8" s="7" t="s">
        <v>47</v>
      </c>
      <c r="G8" s="8" t="s">
        <v>48</v>
      </c>
      <c r="H8" s="98"/>
      <c r="I8" s="32"/>
      <c r="J8" s="19">
        <f>I8*VLOOKUP($F8, 'Emission Factors'!$A$3:$E$44, 5, FALSE)</f>
        <v>0</v>
      </c>
      <c r="K8" s="32"/>
      <c r="L8" s="19">
        <f>K8*VLOOKUP($F8, 'Emission Factors'!$A$3:$E$44, 5, FALSE)</f>
        <v>0</v>
      </c>
      <c r="M8" s="32"/>
      <c r="N8" s="19">
        <f>M8*VLOOKUP($F8, 'Emission Factors'!$A$3:$E$44, 5, FALSE)</f>
        <v>0</v>
      </c>
      <c r="O8" s="32"/>
      <c r="P8" s="19">
        <f>O8*VLOOKUP($F8, 'Emission Factors'!$A$3:$E$44, 5, FALSE)</f>
        <v>0</v>
      </c>
      <c r="Q8" s="32"/>
      <c r="R8" s="19">
        <f>Q8*VLOOKUP($F8, 'Emission Factors'!$A$3:$E$44, 5, FALSE)</f>
        <v>0</v>
      </c>
      <c r="S8" s="32"/>
      <c r="T8" s="19">
        <f>S8*VLOOKUP($F8, 'Emission Factors'!$A$3:$E$44, 5, FALSE)</f>
        <v>0</v>
      </c>
      <c r="U8" s="32"/>
      <c r="V8" s="19">
        <f>U8*VLOOKUP($F8, 'Emission Factors'!$A$3:$E$44, 5, FALSE)</f>
        <v>0</v>
      </c>
      <c r="W8" s="32"/>
      <c r="X8" s="19">
        <f>W8*VLOOKUP($F8, 'Emission Factors'!$A$3:$E$44, 5, FALSE)</f>
        <v>0</v>
      </c>
      <c r="Y8" s="32"/>
      <c r="Z8" s="19">
        <f>Y8*VLOOKUP($F8, 'Emission Factors'!$A$3:$E$44, 5, FALSE)</f>
        <v>0</v>
      </c>
      <c r="AA8" s="32"/>
      <c r="AB8" s="19">
        <f>AA8*VLOOKUP($F8, 'Emission Factors'!$A$3:$E$44, 5, FALSE)</f>
        <v>0</v>
      </c>
      <c r="AC8" s="32"/>
      <c r="AD8" s="19">
        <f>AC8*VLOOKUP($F8, 'Emission Factors'!$A$3:$E$44, 5, FALSE)</f>
        <v>0</v>
      </c>
      <c r="AE8" s="32"/>
      <c r="AF8" s="19">
        <f>AE8*VLOOKUP($F8, 'Emission Factors'!$A$3:$E$44, 5, FALSE)</f>
        <v>0</v>
      </c>
      <c r="AG8" s="19">
        <f t="shared" si="0"/>
        <v>0</v>
      </c>
      <c r="AH8" s="32"/>
      <c r="AI8" s="32"/>
      <c r="AJ8" s="32"/>
      <c r="AK8" s="32"/>
    </row>
    <row r="9" spans="1:37" s="2" customFormat="1" ht="15" customHeight="1" x14ac:dyDescent="0.25">
      <c r="A9" s="102"/>
      <c r="B9" s="119"/>
      <c r="C9" s="114">
        <v>1.3</v>
      </c>
      <c r="D9" s="116" t="s">
        <v>49</v>
      </c>
      <c r="E9" s="7" t="s">
        <v>50</v>
      </c>
      <c r="F9" s="7" t="s">
        <v>51</v>
      </c>
      <c r="G9" s="8" t="s">
        <v>48</v>
      </c>
      <c r="H9" s="28" t="s">
        <v>52</v>
      </c>
      <c r="I9" s="32">
        <f>$AJ$9/12</f>
        <v>3510606.5</v>
      </c>
      <c r="J9" s="19">
        <f>I9*VLOOKUP($D9, 'Emission Factors'!$A$3:$E$44, 5, FALSE)</f>
        <v>386517.77565000003</v>
      </c>
      <c r="K9" s="32">
        <f>$AJ$9/12</f>
        <v>3510606.5</v>
      </c>
      <c r="L9" s="19">
        <f>K9*VLOOKUP($D9, 'Emission Factors'!$A$3:$E$44, 5, FALSE)</f>
        <v>386517.77565000003</v>
      </c>
      <c r="M9" s="32">
        <f>$AJ$9/12</f>
        <v>3510606.5</v>
      </c>
      <c r="N9" s="19">
        <f>M9*VLOOKUP($D9, 'Emission Factors'!$A$3:$E$44, 5, FALSE)</f>
        <v>386517.77565000003</v>
      </c>
      <c r="O9" s="32">
        <f>$AJ$9/12</f>
        <v>3510606.5</v>
      </c>
      <c r="P9" s="19">
        <f>O9*VLOOKUP($D9, 'Emission Factors'!$A$3:$E$44, 5, FALSE)</f>
        <v>386517.77565000003</v>
      </c>
      <c r="Q9" s="32">
        <f>$AJ$9/12</f>
        <v>3510606.5</v>
      </c>
      <c r="R9" s="19">
        <f>Q9*VLOOKUP($D9, 'Emission Factors'!$A$3:$E$44, 5, FALSE)</f>
        <v>386517.77565000003</v>
      </c>
      <c r="S9" s="32">
        <f>$AJ$9/12</f>
        <v>3510606.5</v>
      </c>
      <c r="T9" s="19">
        <f>S9*VLOOKUP($D9, 'Emission Factors'!$A$3:$E$44, 5, FALSE)</f>
        <v>386517.77565000003</v>
      </c>
      <c r="U9" s="32">
        <f>$AJ$9/12</f>
        <v>3510606.5</v>
      </c>
      <c r="V9" s="19">
        <f>U9*VLOOKUP($D9, 'Emission Factors'!$A$3:$E$44, 5, FALSE)</f>
        <v>386517.77565000003</v>
      </c>
      <c r="W9" s="32">
        <f>$AJ$9/12</f>
        <v>3510606.5</v>
      </c>
      <c r="X9" s="19">
        <f>W9*VLOOKUP($D9, 'Emission Factors'!$A$3:$E$44, 5, FALSE)</f>
        <v>386517.77565000003</v>
      </c>
      <c r="Y9" s="32">
        <f>$AJ$9/12</f>
        <v>3510606.5</v>
      </c>
      <c r="Z9" s="19">
        <f>Y9*VLOOKUP($D9, 'Emission Factors'!$A$3:$E$44, 5, FALSE)</f>
        <v>386517.77565000003</v>
      </c>
      <c r="AA9" s="32">
        <f>$AJ$9/12</f>
        <v>3510606.5</v>
      </c>
      <c r="AB9" s="19">
        <f>AA9*VLOOKUP($D9, 'Emission Factors'!$A$3:$E$44, 5, FALSE)</f>
        <v>386517.77565000003</v>
      </c>
      <c r="AC9" s="32">
        <f>$AJ$9/12</f>
        <v>3510606.5</v>
      </c>
      <c r="AD9" s="19">
        <f>AC9*VLOOKUP($D9, 'Emission Factors'!$A$3:$E$44, 5, FALSE)</f>
        <v>386517.77565000003</v>
      </c>
      <c r="AE9" s="32">
        <f>$AJ$9/12</f>
        <v>3510606.5</v>
      </c>
      <c r="AF9" s="19">
        <f>AE9*VLOOKUP($D9, 'Emission Factors'!$A$3:$E$44, 5, FALSE)</f>
        <v>386517.77565000003</v>
      </c>
      <c r="AG9" s="19">
        <f>SUM(J9,L9,N9,P9,R9,T9,V9,X9,Z9,AB9,AD9,AF9)</f>
        <v>4638213.3078000015</v>
      </c>
      <c r="AH9" s="32" t="s">
        <v>254</v>
      </c>
      <c r="AI9" s="32">
        <v>42127278</v>
      </c>
      <c r="AJ9" s="32">
        <v>42127278</v>
      </c>
      <c r="AK9" s="32"/>
    </row>
    <row r="10" spans="1:37" s="2" customFormat="1" ht="30" x14ac:dyDescent="0.25">
      <c r="A10" s="102"/>
      <c r="B10" s="119"/>
      <c r="C10" s="115"/>
      <c r="D10" s="117"/>
      <c r="E10" s="7" t="s">
        <v>53</v>
      </c>
      <c r="F10" s="7" t="s">
        <v>54</v>
      </c>
      <c r="G10" s="8" t="s">
        <v>48</v>
      </c>
      <c r="H10" s="28" t="s">
        <v>55</v>
      </c>
      <c r="I10" s="32"/>
      <c r="J10" s="19">
        <f>I10*VLOOKUP($D9, 'Emission Factors'!$A$3:$E$44, 5, FALSE)</f>
        <v>0</v>
      </c>
      <c r="K10" s="32"/>
      <c r="L10" s="19">
        <f>K10*VLOOKUP($D9, 'Emission Factors'!$A$3:$E$44, 5, FALSE)</f>
        <v>0</v>
      </c>
      <c r="M10" s="32"/>
      <c r="N10" s="19">
        <f>M10*VLOOKUP($D9, 'Emission Factors'!$A$3:$E$44, 5, FALSE)</f>
        <v>0</v>
      </c>
      <c r="O10" s="32"/>
      <c r="P10" s="19">
        <f>O10*VLOOKUP($D9, 'Emission Factors'!$A$3:$E$44, 5, FALSE)</f>
        <v>0</v>
      </c>
      <c r="Q10" s="32"/>
      <c r="R10" s="19">
        <f>Q10*VLOOKUP($D9, 'Emission Factors'!$A$3:$E$44, 5, FALSE)</f>
        <v>0</v>
      </c>
      <c r="S10" s="32"/>
      <c r="T10" s="19">
        <f>S10*VLOOKUP($D9, 'Emission Factors'!$A$3:$E$44, 5, FALSE)</f>
        <v>0</v>
      </c>
      <c r="U10" s="32"/>
      <c r="V10" s="19">
        <f>U10*VLOOKUP($D9, 'Emission Factors'!$A$3:$E$44, 5, FALSE)</f>
        <v>0</v>
      </c>
      <c r="W10" s="32"/>
      <c r="X10" s="19">
        <f>W10*VLOOKUP($D9, 'Emission Factors'!$A$3:$E$44, 5, FALSE)</f>
        <v>0</v>
      </c>
      <c r="Y10" s="32"/>
      <c r="Z10" s="19">
        <f>Y10*VLOOKUP($D9, 'Emission Factors'!$A$3:$E$44, 5, FALSE)</f>
        <v>0</v>
      </c>
      <c r="AA10" s="32"/>
      <c r="AB10" s="19">
        <f>AA10*VLOOKUP($D9, 'Emission Factors'!$A$3:$E$44, 5, FALSE)</f>
        <v>0</v>
      </c>
      <c r="AC10" s="32"/>
      <c r="AD10" s="19">
        <f>AC10*VLOOKUP($D9, 'Emission Factors'!$A$3:$E$44, 5, FALSE)</f>
        <v>0</v>
      </c>
      <c r="AE10" s="32"/>
      <c r="AF10" s="19">
        <f>AE10*VLOOKUP($D9, 'Emission Factors'!$A$3:$E$44, 5, FALSE)</f>
        <v>0</v>
      </c>
      <c r="AG10" s="19">
        <f t="shared" si="0"/>
        <v>0</v>
      </c>
      <c r="AH10" s="32" t="s">
        <v>255</v>
      </c>
      <c r="AI10" s="32"/>
      <c r="AJ10" s="32"/>
      <c r="AK10" s="32"/>
    </row>
    <row r="11" spans="1:37" s="2" customFormat="1" ht="30" x14ac:dyDescent="0.25">
      <c r="A11" s="103"/>
      <c r="B11" s="119"/>
      <c r="C11" s="29">
        <v>1.4</v>
      </c>
      <c r="D11" s="27" t="s">
        <v>56</v>
      </c>
      <c r="E11" s="7" t="s">
        <v>57</v>
      </c>
      <c r="F11" s="7" t="s">
        <v>56</v>
      </c>
      <c r="G11" s="8" t="s">
        <v>15</v>
      </c>
      <c r="H11" s="28" t="s">
        <v>58</v>
      </c>
      <c r="I11" s="32"/>
      <c r="J11" s="19">
        <f>I11</f>
        <v>0</v>
      </c>
      <c r="K11" s="32"/>
      <c r="L11" s="19">
        <f>K11</f>
        <v>0</v>
      </c>
      <c r="M11" s="32"/>
      <c r="N11" s="19">
        <f>M11</f>
        <v>0</v>
      </c>
      <c r="O11" s="32"/>
      <c r="P11" s="19">
        <f>O11</f>
        <v>0</v>
      </c>
      <c r="Q11" s="32"/>
      <c r="R11" s="19">
        <f>Q11</f>
        <v>0</v>
      </c>
      <c r="S11" s="32"/>
      <c r="T11" s="19">
        <f>S11</f>
        <v>0</v>
      </c>
      <c r="U11" s="32"/>
      <c r="V11" s="19">
        <f>U11</f>
        <v>0</v>
      </c>
      <c r="W11" s="32"/>
      <c r="X11" s="19">
        <f>W11</f>
        <v>0</v>
      </c>
      <c r="Y11" s="32"/>
      <c r="Z11" s="19">
        <f>Y11</f>
        <v>0</v>
      </c>
      <c r="AA11" s="32"/>
      <c r="AB11" s="19">
        <f>AA11</f>
        <v>0</v>
      </c>
      <c r="AC11" s="32"/>
      <c r="AD11" s="19">
        <f>AC11</f>
        <v>0</v>
      </c>
      <c r="AE11" s="32"/>
      <c r="AF11" s="19">
        <f>AE11</f>
        <v>0</v>
      </c>
      <c r="AG11" s="19">
        <f t="shared" si="0"/>
        <v>0</v>
      </c>
      <c r="AH11" s="32"/>
      <c r="AI11" s="32"/>
      <c r="AJ11" s="32"/>
      <c r="AK11" s="32"/>
    </row>
    <row r="12" spans="1:37" s="2" customFormat="1" ht="15" customHeight="1" x14ac:dyDescent="0.25">
      <c r="A12" s="118">
        <v>2</v>
      </c>
      <c r="B12" s="119" t="s">
        <v>59</v>
      </c>
      <c r="C12" s="107">
        <v>2.1</v>
      </c>
      <c r="D12" s="108" t="s">
        <v>17</v>
      </c>
      <c r="E12" s="7" t="s">
        <v>60</v>
      </c>
      <c r="F12" s="7" t="s">
        <v>35</v>
      </c>
      <c r="G12" s="15" t="s">
        <v>36</v>
      </c>
      <c r="H12" s="28" t="s">
        <v>61</v>
      </c>
      <c r="I12" s="32">
        <v>241702.84370207883</v>
      </c>
      <c r="J12" s="19">
        <f>I12*VLOOKUP($F12, 'Emission Factors'!$A$3:$E$44, 5, FALSE)*1000</f>
        <v>650180.64955859212</v>
      </c>
      <c r="K12" s="32">
        <v>274018.0190300112</v>
      </c>
      <c r="L12" s="19">
        <f>K12*VLOOKUP($F12, 'Emission Factors'!$A$3:$E$44, 5, FALSE)*1000</f>
        <v>737108.47119073011</v>
      </c>
      <c r="M12" s="32">
        <v>236920.5642824739</v>
      </c>
      <c r="N12" s="19">
        <f>M12*VLOOKUP($F12, 'Emission Factors'!$A$3:$E$44, 5, FALSE)*1000</f>
        <v>637316.31791985477</v>
      </c>
      <c r="O12" s="32">
        <v>293895.41800000001</v>
      </c>
      <c r="P12" s="19">
        <f>O12*VLOOKUP($F12, 'Emission Factors'!$A$3:$E$44, 5, FALSE)*1000</f>
        <v>790578.67442000005</v>
      </c>
      <c r="Q12" s="32">
        <v>245523.49799999993</v>
      </c>
      <c r="R12" s="19">
        <f>Q12*VLOOKUP($F12, 'Emission Factors'!$A$3:$E$44, 5, FALSE)*1000</f>
        <v>660458.20961999986</v>
      </c>
      <c r="S12" s="32">
        <v>269418.45799999998</v>
      </c>
      <c r="T12" s="19">
        <f>S12*VLOOKUP($F12, 'Emission Factors'!$A$3:$E$44, 5, FALSE)*1000</f>
        <v>724735.65201999992</v>
      </c>
      <c r="U12" s="32">
        <v>257408.22799999994</v>
      </c>
      <c r="V12" s="19">
        <f>U12*VLOOKUP($F12, 'Emission Factors'!$A$3:$E$44, 5, FALSE)*1000</f>
        <v>692428.13331999991</v>
      </c>
      <c r="W12" s="32">
        <v>260463.66799999995</v>
      </c>
      <c r="X12" s="19">
        <f>W12*VLOOKUP($F12, 'Emission Factors'!$A$3:$E$44, 5, FALSE)*1000</f>
        <v>700647.26691999985</v>
      </c>
      <c r="Y12" s="32">
        <v>257913.52799999999</v>
      </c>
      <c r="Z12" s="19">
        <f>Y12*VLOOKUP($F12, 'Emission Factors'!$A$3:$E$44, 5, FALSE)*1000</f>
        <v>693787.39032000001</v>
      </c>
      <c r="AA12" s="32">
        <v>246389.55799999999</v>
      </c>
      <c r="AB12" s="19">
        <f>AA12*VLOOKUP($F12, 'Emission Factors'!$A$3:$E$44, 5, FALSE)*1000</f>
        <v>662787.91102</v>
      </c>
      <c r="AC12" s="32">
        <v>256110.50799999997</v>
      </c>
      <c r="AD12" s="19">
        <f>AC12*VLOOKUP($F12, 'Emission Factors'!$A$3:$E$44, 5, FALSE)*1000</f>
        <v>688937.26651999995</v>
      </c>
      <c r="AE12" s="32">
        <v>253976.86799999996</v>
      </c>
      <c r="AF12" s="19">
        <f>AE12*VLOOKUP($F12, 'Emission Factors'!$A$3:$E$44, 5, FALSE)*1000</f>
        <v>683197.77491999988</v>
      </c>
      <c r="AG12" s="19">
        <f>SUM(J12,L12,N12,P12,R12,T12,V12,X12,Z12,AB12,AD12,AF12)</f>
        <v>8322163.7177491775</v>
      </c>
      <c r="AH12" s="32" t="s">
        <v>256</v>
      </c>
      <c r="AI12" s="32"/>
      <c r="AJ12" s="32"/>
      <c r="AK12" s="32"/>
    </row>
    <row r="13" spans="1:37" s="2" customFormat="1" ht="15" customHeight="1" x14ac:dyDescent="0.25">
      <c r="A13" s="118"/>
      <c r="B13" s="119"/>
      <c r="C13" s="107"/>
      <c r="D13" s="108"/>
      <c r="E13" s="7" t="s">
        <v>62</v>
      </c>
      <c r="F13" s="7" t="s">
        <v>39</v>
      </c>
      <c r="G13" s="15" t="s">
        <v>36</v>
      </c>
      <c r="H13" s="28" t="s">
        <v>63</v>
      </c>
      <c r="I13" s="32"/>
      <c r="J13" s="40">
        <f>I13*VLOOKUP($F13, 'Emission Factors'!$A$3:$E$44, 5, FALSE)</f>
        <v>0</v>
      </c>
      <c r="K13" s="32"/>
      <c r="L13" s="19">
        <f>K13*VLOOKUP($F13, 'Emission Factors'!$A$3:$E$44, 5, FALSE)*1000</f>
        <v>0</v>
      </c>
      <c r="M13" s="32"/>
      <c r="N13" s="19">
        <f>M13*VLOOKUP($F13, 'Emission Factors'!$A$3:$E$44, 5, FALSE)*1000</f>
        <v>0</v>
      </c>
      <c r="O13" s="32"/>
      <c r="P13" s="19">
        <f>O13*VLOOKUP($F13, 'Emission Factors'!$A$3:$E$44, 5, FALSE)*1000</f>
        <v>0</v>
      </c>
      <c r="Q13" s="32"/>
      <c r="R13" s="19">
        <f>Q13*VLOOKUP($F13, 'Emission Factors'!$A$3:$E$44, 5, FALSE)*1000</f>
        <v>0</v>
      </c>
      <c r="S13" s="32"/>
      <c r="T13" s="19">
        <f>S13*VLOOKUP($F13, 'Emission Factors'!$A$3:$E$44, 5, FALSE)*1000</f>
        <v>0</v>
      </c>
      <c r="U13" s="32"/>
      <c r="V13" s="19">
        <f>U13*VLOOKUP($F13, 'Emission Factors'!$A$3:$E$44, 5, FALSE)*1000</f>
        <v>0</v>
      </c>
      <c r="W13" s="32"/>
      <c r="X13" s="19">
        <f>W13*VLOOKUP($F13, 'Emission Factors'!$A$3:$E$44, 5, FALSE)*1000</f>
        <v>0</v>
      </c>
      <c r="Y13" s="32"/>
      <c r="Z13" s="19">
        <f>Y13*VLOOKUP($F13, 'Emission Factors'!$A$3:$E$44, 5, FALSE)*1000</f>
        <v>0</v>
      </c>
      <c r="AA13" s="32"/>
      <c r="AB13" s="19">
        <f>AA13*VLOOKUP($F13, 'Emission Factors'!$A$3:$E$44, 5, FALSE)*1000</f>
        <v>0</v>
      </c>
      <c r="AC13" s="32"/>
      <c r="AD13" s="19">
        <f>AC13*VLOOKUP($F13, 'Emission Factors'!$A$3:$E$44, 5, FALSE)*1000</f>
        <v>0</v>
      </c>
      <c r="AE13" s="32"/>
      <c r="AF13" s="19">
        <f>AE13*VLOOKUP($F13, 'Emission Factors'!$A$3:$E$44, 5, FALSE)*1000</f>
        <v>0</v>
      </c>
      <c r="AG13" s="19">
        <f t="shared" si="0"/>
        <v>0</v>
      </c>
      <c r="AH13" s="32"/>
      <c r="AI13" s="32"/>
      <c r="AJ13" s="32"/>
      <c r="AK13" s="32"/>
    </row>
    <row r="14" spans="1:37" s="2" customFormat="1" ht="15" customHeight="1" x14ac:dyDescent="0.25">
      <c r="A14" s="118"/>
      <c r="B14" s="119"/>
      <c r="C14" s="107"/>
      <c r="D14" s="108"/>
      <c r="E14" s="7" t="s">
        <v>64</v>
      </c>
      <c r="F14" s="7" t="s">
        <v>41</v>
      </c>
      <c r="G14" s="15" t="s">
        <v>36</v>
      </c>
      <c r="H14" s="28" t="s">
        <v>65</v>
      </c>
      <c r="I14" s="32">
        <v>5788.9484796710176</v>
      </c>
      <c r="J14" s="19">
        <f>I14*VLOOKUP($F14, 'Emission Factors'!$A$3:$E$44, 5, FALSE)</f>
        <v>14182.923775193995</v>
      </c>
      <c r="K14" s="32">
        <v>7345.2817208272272</v>
      </c>
      <c r="L14" s="19">
        <f>K14*VLOOKUP($F14, 'Emission Factors'!$A$3:$E$44, 5, FALSE)</f>
        <v>17995.940216026709</v>
      </c>
      <c r="M14" s="32">
        <v>7684.5753157516619</v>
      </c>
      <c r="N14" s="19">
        <f>M14*VLOOKUP($F14, 'Emission Factors'!$A$3:$E$44, 5, FALSE)</f>
        <v>18827.209523591573</v>
      </c>
      <c r="O14" s="32">
        <v>7112.6693333333315</v>
      </c>
      <c r="P14" s="19">
        <f>O14*VLOOKUP($F14, 'Emission Factors'!$A$3:$E$44, 5, FALSE)</f>
        <v>17426.039866666662</v>
      </c>
      <c r="Q14" s="32">
        <v>7208.4193333333315</v>
      </c>
      <c r="R14" s="19">
        <f>Q14*VLOOKUP($F14, 'Emission Factors'!$A$3:$E$44, 5, FALSE)</f>
        <v>17660.627366666664</v>
      </c>
      <c r="S14" s="32">
        <v>7327.7993333333307</v>
      </c>
      <c r="T14" s="19">
        <f>S14*VLOOKUP($F14, 'Emission Factors'!$A$3:$E$44, 5, FALSE)</f>
        <v>17953.10836666666</v>
      </c>
      <c r="U14" s="32">
        <v>6951.4343333333318</v>
      </c>
      <c r="V14" s="19">
        <f>U14*VLOOKUP($F14, 'Emission Factors'!$A$3:$E$44, 5, FALSE)</f>
        <v>17031.014116666665</v>
      </c>
      <c r="W14" s="32">
        <v>6605.1443333333309</v>
      </c>
      <c r="X14" s="19">
        <f>W14*VLOOKUP($F14, 'Emission Factors'!$A$3:$E$44, 5, FALSE)</f>
        <v>16182.603616666662</v>
      </c>
      <c r="Y14" s="32">
        <v>7618.0643333333319</v>
      </c>
      <c r="Z14" s="19">
        <f>Y14*VLOOKUP($F14, 'Emission Factors'!$A$3:$E$44, 5, FALSE)</f>
        <v>18664.257616666666</v>
      </c>
      <c r="AA14" s="32">
        <v>5543.4743333333327</v>
      </c>
      <c r="AB14" s="19">
        <f>AA14*VLOOKUP($F14, 'Emission Factors'!$A$3:$E$44, 5, FALSE)</f>
        <v>13581.512116666667</v>
      </c>
      <c r="AC14" s="32">
        <v>7047.5743333333312</v>
      </c>
      <c r="AD14" s="19">
        <f>AC14*VLOOKUP($F14, 'Emission Factors'!$A$3:$E$44, 5, FALSE)</f>
        <v>17266.557116666663</v>
      </c>
      <c r="AE14" s="32">
        <v>6761.6243333333305</v>
      </c>
      <c r="AF14" s="19">
        <f>AE14*VLOOKUP($F14, 'Emission Factors'!$A$3:$E$44, 5, FALSE)</f>
        <v>16565.97961666666</v>
      </c>
      <c r="AG14" s="19">
        <f>SUM(J14,L14,N14,P14,R14,T14,V14,X14,Z14,AB14,AD14,AF14)</f>
        <v>203337.77331481225</v>
      </c>
      <c r="AH14" s="32" t="s">
        <v>257</v>
      </c>
      <c r="AI14" s="32"/>
      <c r="AJ14" s="32"/>
      <c r="AK14" s="32"/>
    </row>
    <row r="15" spans="1:37" s="2" customFormat="1" ht="105" x14ac:dyDescent="0.25">
      <c r="A15" s="118"/>
      <c r="B15" s="119"/>
      <c r="C15" s="107"/>
      <c r="D15" s="108"/>
      <c r="E15" s="7" t="s">
        <v>66</v>
      </c>
      <c r="F15" s="7" t="s">
        <v>67</v>
      </c>
      <c r="G15" s="15" t="s">
        <v>68</v>
      </c>
      <c r="H15" s="28" t="s">
        <v>69</v>
      </c>
      <c r="I15" s="32"/>
      <c r="J15" s="19">
        <f>I15*VLOOKUP($F15, 'Emission Factors'!$A$3:$E$44, 5, FALSE)*1000</f>
        <v>0</v>
      </c>
      <c r="K15" s="32"/>
      <c r="L15" s="19">
        <f>K15*VLOOKUP($F15, 'Emission Factors'!$A$3:$E$44, 5, FALSE)*1000</f>
        <v>0</v>
      </c>
      <c r="M15" s="32"/>
      <c r="N15" s="19">
        <f>M15*VLOOKUP($F15, 'Emission Factors'!$A$3:$E$44, 5, FALSE)*1000</f>
        <v>0</v>
      </c>
      <c r="O15" s="32"/>
      <c r="P15" s="19">
        <f>O15*VLOOKUP($F15, 'Emission Factors'!$A$3:$E$44, 5, FALSE)*1000</f>
        <v>0</v>
      </c>
      <c r="Q15" s="32"/>
      <c r="R15" s="19">
        <f>Q15*VLOOKUP($F15, 'Emission Factors'!$A$3:$E$44, 5, FALSE)*1000</f>
        <v>0</v>
      </c>
      <c r="S15" s="32"/>
      <c r="T15" s="19">
        <f>S15*VLOOKUP($F15, 'Emission Factors'!$A$3:$E$44, 5, FALSE)*1000</f>
        <v>0</v>
      </c>
      <c r="U15" s="32"/>
      <c r="V15" s="19">
        <f>U15*VLOOKUP($F15, 'Emission Factors'!$A$3:$E$44, 5, FALSE)*1000</f>
        <v>0</v>
      </c>
      <c r="W15" s="32"/>
      <c r="X15" s="19">
        <f>W15*VLOOKUP($F15, 'Emission Factors'!$A$3:$E$44, 5, FALSE)*1000</f>
        <v>0</v>
      </c>
      <c r="Y15" s="32"/>
      <c r="Z15" s="19">
        <f>Y15*VLOOKUP($F15, 'Emission Factors'!$A$3:$E$44, 5, FALSE)*1000</f>
        <v>0</v>
      </c>
      <c r="AA15" s="32"/>
      <c r="AB15" s="19">
        <f>AA15*VLOOKUP($F15, 'Emission Factors'!$A$3:$E$44, 5, FALSE)*1000</f>
        <v>0</v>
      </c>
      <c r="AC15" s="32"/>
      <c r="AD15" s="19">
        <f>AC15*VLOOKUP($F15, 'Emission Factors'!$A$3:$E$44, 5, FALSE)*1000</f>
        <v>0</v>
      </c>
      <c r="AE15" s="32"/>
      <c r="AF15" s="19">
        <f>AE15*VLOOKUP($F15, 'Emission Factors'!$A$3:$E$44, 5, FALSE)*1000</f>
        <v>0</v>
      </c>
      <c r="AG15" s="19">
        <f t="shared" si="0"/>
        <v>0</v>
      </c>
      <c r="AH15" s="32"/>
      <c r="AI15" s="32"/>
      <c r="AJ15" s="32"/>
      <c r="AK15" s="32"/>
    </row>
    <row r="16" spans="1:37" s="2" customFormat="1" ht="30" x14ac:dyDescent="0.25">
      <c r="A16" s="118"/>
      <c r="B16" s="119"/>
      <c r="C16" s="29">
        <v>2.2000000000000002</v>
      </c>
      <c r="D16" s="27" t="s">
        <v>56</v>
      </c>
      <c r="E16" s="7" t="s">
        <v>70</v>
      </c>
      <c r="F16" s="7" t="s">
        <v>56</v>
      </c>
      <c r="G16" s="15" t="s">
        <v>15</v>
      </c>
      <c r="H16" s="28" t="s">
        <v>58</v>
      </c>
      <c r="I16" s="32"/>
      <c r="J16" s="19">
        <f>I16</f>
        <v>0</v>
      </c>
      <c r="K16" s="32"/>
      <c r="L16" s="19">
        <f>K16</f>
        <v>0</v>
      </c>
      <c r="M16" s="32"/>
      <c r="N16" s="19">
        <f>M16</f>
        <v>0</v>
      </c>
      <c r="O16" s="32"/>
      <c r="P16" s="19">
        <f>O16</f>
        <v>0</v>
      </c>
      <c r="Q16" s="32"/>
      <c r="R16" s="19">
        <f>Q16</f>
        <v>0</v>
      </c>
      <c r="S16" s="32"/>
      <c r="T16" s="19">
        <f>S16</f>
        <v>0</v>
      </c>
      <c r="U16" s="32"/>
      <c r="V16" s="19">
        <f>U16</f>
        <v>0</v>
      </c>
      <c r="W16" s="32"/>
      <c r="X16" s="19">
        <f>W16</f>
        <v>0</v>
      </c>
      <c r="Y16" s="32"/>
      <c r="Z16" s="19">
        <f>Y16</f>
        <v>0</v>
      </c>
      <c r="AA16" s="32"/>
      <c r="AB16" s="19">
        <f>AA16</f>
        <v>0</v>
      </c>
      <c r="AC16" s="32"/>
      <c r="AD16" s="19">
        <f>AC16</f>
        <v>0</v>
      </c>
      <c r="AE16" s="32"/>
      <c r="AF16" s="19">
        <f>AE16</f>
        <v>0</v>
      </c>
      <c r="AG16" s="19">
        <f t="shared" si="0"/>
        <v>0</v>
      </c>
      <c r="AH16" s="32"/>
      <c r="AI16" s="32"/>
      <c r="AJ16" s="32"/>
      <c r="AK16" s="32"/>
    </row>
    <row r="17" spans="1:37" s="2" customFormat="1" ht="15" customHeight="1" x14ac:dyDescent="0.25">
      <c r="A17" s="118">
        <v>3</v>
      </c>
      <c r="B17" s="119" t="s">
        <v>71</v>
      </c>
      <c r="C17" s="107">
        <v>3.1</v>
      </c>
      <c r="D17" s="108" t="s">
        <v>71</v>
      </c>
      <c r="E17" s="7" t="s">
        <v>72</v>
      </c>
      <c r="F17" s="7" t="s">
        <v>73</v>
      </c>
      <c r="G17" s="15" t="s">
        <v>36</v>
      </c>
      <c r="H17" s="28" t="s">
        <v>74</v>
      </c>
      <c r="I17" s="32"/>
      <c r="J17" s="20"/>
      <c r="K17" s="32"/>
      <c r="L17" s="20"/>
      <c r="M17" s="32"/>
      <c r="N17" s="20"/>
      <c r="O17" s="32"/>
      <c r="P17" s="20"/>
      <c r="Q17" s="32"/>
      <c r="R17" s="20"/>
      <c r="S17" s="32"/>
      <c r="T17" s="20"/>
      <c r="U17" s="32"/>
      <c r="V17" s="20"/>
      <c r="W17" s="32"/>
      <c r="X17" s="20"/>
      <c r="Y17" s="32"/>
      <c r="Z17" s="20"/>
      <c r="AA17" s="32"/>
      <c r="AB17" s="64"/>
      <c r="AC17" s="32"/>
      <c r="AD17" s="20"/>
      <c r="AE17" s="32"/>
      <c r="AF17" s="20"/>
      <c r="AG17" s="20"/>
      <c r="AH17" s="32"/>
      <c r="AI17" s="32"/>
      <c r="AJ17" s="32"/>
      <c r="AK17" s="32"/>
    </row>
    <row r="18" spans="1:37" s="2" customFormat="1" ht="15" customHeight="1" x14ac:dyDescent="0.25">
      <c r="A18" s="118"/>
      <c r="B18" s="119"/>
      <c r="C18" s="107"/>
      <c r="D18" s="108"/>
      <c r="E18" s="7" t="s">
        <v>75</v>
      </c>
      <c r="F18" s="7" t="s">
        <v>76</v>
      </c>
      <c r="G18" s="15" t="s">
        <v>36</v>
      </c>
      <c r="H18" s="28" t="s">
        <v>77</v>
      </c>
      <c r="I18" s="32"/>
      <c r="J18" s="20"/>
      <c r="K18" s="32"/>
      <c r="L18" s="20"/>
      <c r="M18" s="32"/>
      <c r="N18" s="20"/>
      <c r="O18" s="32"/>
      <c r="P18" s="20"/>
      <c r="Q18" s="32"/>
      <c r="R18" s="20"/>
      <c r="S18" s="32"/>
      <c r="T18" s="20"/>
      <c r="U18" s="32"/>
      <c r="V18" s="20"/>
      <c r="W18" s="32"/>
      <c r="X18" s="20"/>
      <c r="Y18" s="32"/>
      <c r="Z18" s="20"/>
      <c r="AA18" s="32"/>
      <c r="AB18" s="20"/>
      <c r="AC18" s="32"/>
      <c r="AD18" s="20"/>
      <c r="AE18" s="32"/>
      <c r="AF18" s="20"/>
      <c r="AG18" s="20"/>
      <c r="AH18" s="32"/>
      <c r="AI18" s="32"/>
      <c r="AJ18" s="32"/>
      <c r="AK18" s="32"/>
    </row>
    <row r="19" spans="1:37" s="2" customFormat="1" ht="15" customHeight="1" x14ac:dyDescent="0.25">
      <c r="A19" s="118">
        <v>4</v>
      </c>
      <c r="B19" s="119" t="s">
        <v>78</v>
      </c>
      <c r="C19" s="107">
        <v>4.0999999999999996</v>
      </c>
      <c r="D19" s="108" t="s">
        <v>79</v>
      </c>
      <c r="E19" s="7" t="s">
        <v>80</v>
      </c>
      <c r="F19" s="7" t="s">
        <v>81</v>
      </c>
      <c r="G19" s="15" t="s">
        <v>82</v>
      </c>
      <c r="H19" s="98" t="s">
        <v>83</v>
      </c>
      <c r="I19" s="32"/>
      <c r="J19" s="20"/>
      <c r="K19" s="32"/>
      <c r="L19" s="20"/>
      <c r="M19" s="32"/>
      <c r="N19" s="20"/>
      <c r="O19" s="32"/>
      <c r="P19" s="20"/>
      <c r="Q19" s="32"/>
      <c r="R19" s="20"/>
      <c r="S19" s="32"/>
      <c r="T19" s="20"/>
      <c r="U19" s="32"/>
      <c r="V19" s="20"/>
      <c r="W19" s="32"/>
      <c r="X19" s="20"/>
      <c r="Y19" s="32"/>
      <c r="Z19" s="20"/>
      <c r="AA19" s="32"/>
      <c r="AB19" s="20"/>
      <c r="AC19" s="32"/>
      <c r="AD19" s="20"/>
      <c r="AE19" s="32"/>
      <c r="AF19" s="20"/>
      <c r="AG19" s="20"/>
      <c r="AH19" s="32"/>
      <c r="AI19" s="32"/>
      <c r="AJ19" s="32"/>
      <c r="AK19" s="32"/>
    </row>
    <row r="20" spans="1:37" s="2" customFormat="1" ht="15" customHeight="1" x14ac:dyDescent="0.25">
      <c r="A20" s="118"/>
      <c r="B20" s="119"/>
      <c r="C20" s="107"/>
      <c r="D20" s="108"/>
      <c r="E20" s="7" t="s">
        <v>84</v>
      </c>
      <c r="F20" s="7" t="s">
        <v>20</v>
      </c>
      <c r="G20" s="15" t="s">
        <v>82</v>
      </c>
      <c r="H20" s="98"/>
      <c r="I20" s="32"/>
      <c r="J20" s="20"/>
      <c r="K20" s="32"/>
      <c r="L20" s="20"/>
      <c r="M20" s="32"/>
      <c r="N20" s="20"/>
      <c r="O20" s="32"/>
      <c r="P20" s="20"/>
      <c r="Q20" s="32"/>
      <c r="R20" s="20"/>
      <c r="S20" s="32"/>
      <c r="T20" s="20"/>
      <c r="U20" s="32"/>
      <c r="V20" s="20"/>
      <c r="W20" s="32"/>
      <c r="X20" s="20"/>
      <c r="Y20" s="32"/>
      <c r="Z20" s="20"/>
      <c r="AA20" s="32"/>
      <c r="AB20" s="20"/>
      <c r="AC20" s="32"/>
      <c r="AD20" s="20"/>
      <c r="AE20" s="32"/>
      <c r="AF20" s="20"/>
      <c r="AG20" s="20"/>
      <c r="AH20" s="32"/>
      <c r="AI20" s="32"/>
      <c r="AJ20" s="32"/>
      <c r="AK20" s="32"/>
    </row>
    <row r="21" spans="1:37" s="2" customFormat="1" ht="15" customHeight="1" x14ac:dyDescent="0.25">
      <c r="A21" s="118"/>
      <c r="B21" s="119"/>
      <c r="C21" s="107"/>
      <c r="D21" s="108"/>
      <c r="E21" s="7" t="s">
        <v>85</v>
      </c>
      <c r="F21" s="7" t="s">
        <v>86</v>
      </c>
      <c r="G21" s="15" t="s">
        <v>82</v>
      </c>
      <c r="H21" s="98"/>
      <c r="I21" s="32"/>
      <c r="J21" s="20"/>
      <c r="K21" s="32"/>
      <c r="L21" s="20"/>
      <c r="M21" s="32"/>
      <c r="N21" s="20"/>
      <c r="O21" s="32"/>
      <c r="P21" s="20"/>
      <c r="Q21" s="32"/>
      <c r="R21" s="20"/>
      <c r="S21" s="32"/>
      <c r="T21" s="20"/>
      <c r="U21" s="32"/>
      <c r="V21" s="20"/>
      <c r="W21" s="32"/>
      <c r="X21" s="20"/>
      <c r="Y21" s="32"/>
      <c r="Z21" s="20"/>
      <c r="AA21" s="32"/>
      <c r="AB21" s="20"/>
      <c r="AC21" s="32"/>
      <c r="AD21" s="20"/>
      <c r="AE21" s="32"/>
      <c r="AF21" s="20"/>
      <c r="AG21" s="20"/>
      <c r="AH21" s="32"/>
      <c r="AI21" s="32"/>
      <c r="AJ21" s="32"/>
      <c r="AK21" s="32"/>
    </row>
    <row r="22" spans="1:37" s="2" customFormat="1" ht="15" customHeight="1" x14ac:dyDescent="0.25">
      <c r="A22" s="118"/>
      <c r="B22" s="119"/>
      <c r="C22" s="107"/>
      <c r="D22" s="108"/>
      <c r="E22" s="7" t="s">
        <v>87</v>
      </c>
      <c r="F22" s="7" t="s">
        <v>88</v>
      </c>
      <c r="G22" s="15" t="s">
        <v>82</v>
      </c>
      <c r="H22" s="4" t="s">
        <v>89</v>
      </c>
      <c r="I22" s="32"/>
      <c r="J22" s="20"/>
      <c r="K22" s="32"/>
      <c r="L22" s="20"/>
      <c r="M22" s="32"/>
      <c r="N22" s="20"/>
      <c r="O22" s="32"/>
      <c r="P22" s="20"/>
      <c r="Q22" s="32"/>
      <c r="R22" s="20"/>
      <c r="S22" s="32"/>
      <c r="T22" s="20"/>
      <c r="U22" s="32"/>
      <c r="V22" s="20"/>
      <c r="W22" s="32"/>
      <c r="X22" s="20"/>
      <c r="Y22" s="32"/>
      <c r="Z22" s="20"/>
      <c r="AA22" s="32"/>
      <c r="AB22" s="20"/>
      <c r="AC22" s="32"/>
      <c r="AD22" s="20"/>
      <c r="AE22" s="32"/>
      <c r="AF22" s="20"/>
      <c r="AG22" s="20"/>
      <c r="AH22" s="32"/>
      <c r="AI22" s="32"/>
      <c r="AJ22" s="32"/>
      <c r="AK22" s="32"/>
    </row>
    <row r="23" spans="1:37" s="2" customFormat="1" ht="15" customHeight="1" x14ac:dyDescent="0.25">
      <c r="A23" s="118"/>
      <c r="B23" s="119"/>
      <c r="C23" s="107"/>
      <c r="D23" s="108"/>
      <c r="E23" s="7" t="s">
        <v>90</v>
      </c>
      <c r="F23" s="7" t="s">
        <v>91</v>
      </c>
      <c r="G23" s="15" t="s">
        <v>82</v>
      </c>
      <c r="H23" s="4" t="s">
        <v>92</v>
      </c>
      <c r="I23" s="32"/>
      <c r="J23" s="20"/>
      <c r="K23" s="32"/>
      <c r="L23" s="20"/>
      <c r="M23" s="32"/>
      <c r="N23" s="20"/>
      <c r="O23" s="32"/>
      <c r="P23" s="20"/>
      <c r="Q23" s="32"/>
      <c r="R23" s="20"/>
      <c r="S23" s="32"/>
      <c r="T23" s="20"/>
      <c r="U23" s="32"/>
      <c r="V23" s="20"/>
      <c r="W23" s="32"/>
      <c r="X23" s="20"/>
      <c r="Y23" s="32"/>
      <c r="Z23" s="20"/>
      <c r="AA23" s="32"/>
      <c r="AB23" s="20"/>
      <c r="AC23" s="32"/>
      <c r="AD23" s="20"/>
      <c r="AE23" s="32"/>
      <c r="AF23" s="20"/>
      <c r="AG23" s="20"/>
      <c r="AH23" s="32"/>
      <c r="AI23" s="32"/>
      <c r="AJ23" s="32"/>
      <c r="AK23" s="32"/>
    </row>
    <row r="24" spans="1:37" s="2" customFormat="1" ht="15.75" x14ac:dyDescent="0.25">
      <c r="A24" s="118"/>
      <c r="B24" s="119"/>
      <c r="C24" s="29">
        <v>4.2</v>
      </c>
      <c r="D24" s="27" t="s">
        <v>93</v>
      </c>
      <c r="E24" s="7" t="s">
        <v>94</v>
      </c>
      <c r="F24" s="7" t="s">
        <v>93</v>
      </c>
      <c r="G24" s="15" t="s">
        <v>82</v>
      </c>
      <c r="H24" s="4" t="s">
        <v>95</v>
      </c>
      <c r="I24" s="32"/>
      <c r="J24" s="20"/>
      <c r="K24" s="32"/>
      <c r="L24" s="20"/>
      <c r="M24" s="32"/>
      <c r="N24" s="20"/>
      <c r="O24" s="32"/>
      <c r="P24" s="20"/>
      <c r="Q24" s="32"/>
      <c r="R24" s="20"/>
      <c r="S24" s="32"/>
      <c r="T24" s="20"/>
      <c r="U24" s="32"/>
      <c r="V24" s="20"/>
      <c r="W24" s="32"/>
      <c r="X24" s="20"/>
      <c r="Y24" s="32"/>
      <c r="Z24" s="20"/>
      <c r="AA24" s="32"/>
      <c r="AB24" s="20"/>
      <c r="AC24" s="32"/>
      <c r="AD24" s="20"/>
      <c r="AE24" s="32"/>
      <c r="AF24" s="20"/>
      <c r="AG24" s="20"/>
      <c r="AH24" s="32"/>
      <c r="AI24" s="32"/>
      <c r="AJ24" s="32"/>
      <c r="AK24" s="32"/>
    </row>
    <row r="25" spans="1:37" s="2" customFormat="1" ht="15.75" x14ac:dyDescent="0.25">
      <c r="A25" s="118"/>
      <c r="B25" s="119"/>
      <c r="C25" s="29">
        <v>4.3</v>
      </c>
      <c r="D25" s="27" t="s">
        <v>96</v>
      </c>
      <c r="E25" s="7" t="s">
        <v>97</v>
      </c>
      <c r="F25" s="7" t="s">
        <v>96</v>
      </c>
      <c r="G25" s="15" t="s">
        <v>82</v>
      </c>
      <c r="H25" s="4" t="s">
        <v>98</v>
      </c>
      <c r="I25" s="32"/>
      <c r="J25" s="20"/>
      <c r="K25" s="32"/>
      <c r="L25" s="20"/>
      <c r="M25" s="32"/>
      <c r="N25" s="20"/>
      <c r="O25" s="32"/>
      <c r="P25" s="20"/>
      <c r="Q25" s="32"/>
      <c r="R25" s="20"/>
      <c r="S25" s="32"/>
      <c r="T25" s="20"/>
      <c r="U25" s="32"/>
      <c r="V25" s="20"/>
      <c r="W25" s="32"/>
      <c r="X25" s="20"/>
      <c r="Y25" s="32"/>
      <c r="Z25" s="20"/>
      <c r="AA25" s="32"/>
      <c r="AB25" s="20"/>
      <c r="AC25" s="32"/>
      <c r="AD25" s="20"/>
      <c r="AE25" s="32"/>
      <c r="AF25" s="20"/>
      <c r="AG25" s="20"/>
      <c r="AH25" s="32"/>
      <c r="AI25" s="32"/>
      <c r="AJ25" s="32"/>
      <c r="AK25" s="32"/>
    </row>
    <row r="26" spans="1:37" s="2" customFormat="1" ht="15" customHeight="1" x14ac:dyDescent="0.25">
      <c r="A26" s="118"/>
      <c r="B26" s="119"/>
      <c r="C26" s="107">
        <v>4.4000000000000004</v>
      </c>
      <c r="D26" s="108" t="s">
        <v>99</v>
      </c>
      <c r="E26" s="7" t="s">
        <v>100</v>
      </c>
      <c r="F26" s="7" t="s">
        <v>19</v>
      </c>
      <c r="G26" s="15" t="s">
        <v>82</v>
      </c>
      <c r="H26" s="98" t="s">
        <v>101</v>
      </c>
      <c r="I26" s="32"/>
      <c r="J26" s="20"/>
      <c r="K26" s="32"/>
      <c r="L26" s="20"/>
      <c r="M26" s="32"/>
      <c r="N26" s="20"/>
      <c r="O26" s="32"/>
      <c r="P26" s="20"/>
      <c r="Q26" s="32"/>
      <c r="R26" s="20"/>
      <c r="S26" s="32"/>
      <c r="T26" s="20"/>
      <c r="U26" s="32"/>
      <c r="V26" s="20"/>
      <c r="W26" s="32"/>
      <c r="X26" s="20"/>
      <c r="Y26" s="32"/>
      <c r="Z26" s="20"/>
      <c r="AA26" s="32"/>
      <c r="AB26" s="20"/>
      <c r="AC26" s="32"/>
      <c r="AD26" s="20"/>
      <c r="AE26" s="32"/>
      <c r="AF26" s="20"/>
      <c r="AG26" s="20"/>
      <c r="AH26" s="32"/>
      <c r="AI26" s="32"/>
      <c r="AJ26" s="32"/>
      <c r="AK26" s="32"/>
    </row>
    <row r="27" spans="1:37" s="2" customFormat="1" ht="15" customHeight="1" x14ac:dyDescent="0.25">
      <c r="A27" s="118"/>
      <c r="B27" s="119"/>
      <c r="C27" s="107"/>
      <c r="D27" s="108"/>
      <c r="E27" s="7" t="s">
        <v>102</v>
      </c>
      <c r="F27" s="7" t="s">
        <v>18</v>
      </c>
      <c r="G27" s="15" t="s">
        <v>82</v>
      </c>
      <c r="H27" s="98"/>
      <c r="I27" s="32"/>
      <c r="J27" s="20"/>
      <c r="K27" s="32"/>
      <c r="L27" s="20"/>
      <c r="M27" s="32"/>
      <c r="N27" s="20"/>
      <c r="O27" s="32"/>
      <c r="P27" s="20"/>
      <c r="Q27" s="32"/>
      <c r="R27" s="20"/>
      <c r="S27" s="32"/>
      <c r="T27" s="20"/>
      <c r="U27" s="32"/>
      <c r="V27" s="20"/>
      <c r="W27" s="32"/>
      <c r="X27" s="20"/>
      <c r="Y27" s="32"/>
      <c r="Z27" s="20"/>
      <c r="AA27" s="32"/>
      <c r="AB27" s="20"/>
      <c r="AC27" s="32"/>
      <c r="AD27" s="20"/>
      <c r="AE27" s="32"/>
      <c r="AF27" s="20"/>
      <c r="AG27" s="20"/>
      <c r="AH27" s="32"/>
      <c r="AI27" s="32"/>
      <c r="AJ27" s="32"/>
      <c r="AK27" s="32"/>
    </row>
    <row r="28" spans="1:37" s="2" customFormat="1" ht="15" customHeight="1" x14ac:dyDescent="0.25">
      <c r="A28" s="118"/>
      <c r="B28" s="119"/>
      <c r="C28" s="107"/>
      <c r="D28" s="108"/>
      <c r="E28" s="7" t="s">
        <v>103</v>
      </c>
      <c r="F28" s="7" t="s">
        <v>81</v>
      </c>
      <c r="G28" s="15" t="s">
        <v>82</v>
      </c>
      <c r="H28" s="98"/>
      <c r="I28" s="32"/>
      <c r="J28" s="20"/>
      <c r="K28" s="32">
        <v>246.65</v>
      </c>
      <c r="L28" s="20"/>
      <c r="M28" s="32">
        <v>88</v>
      </c>
      <c r="N28" s="20"/>
      <c r="O28" s="32">
        <v>21</v>
      </c>
      <c r="P28" s="20"/>
      <c r="Q28" s="32">
        <v>183</v>
      </c>
      <c r="R28" s="20"/>
      <c r="S28" s="32">
        <v>1318</v>
      </c>
      <c r="T28" s="20"/>
      <c r="U28" s="32"/>
      <c r="V28" s="20"/>
      <c r="W28" s="32"/>
      <c r="X28" s="20"/>
      <c r="Y28" s="32"/>
      <c r="Z28" s="20"/>
      <c r="AA28" s="32"/>
      <c r="AB28" s="20"/>
      <c r="AC28" s="32"/>
      <c r="AD28" s="20"/>
      <c r="AE28" s="32"/>
      <c r="AF28" s="20"/>
      <c r="AG28" s="20"/>
      <c r="AH28" s="32"/>
      <c r="AI28" s="32"/>
      <c r="AJ28" s="32"/>
      <c r="AK28" s="32"/>
    </row>
    <row r="29" spans="1:37" s="2" customFormat="1" ht="15" customHeight="1" x14ac:dyDescent="0.25">
      <c r="A29" s="118"/>
      <c r="B29" s="119"/>
      <c r="C29" s="107"/>
      <c r="D29" s="108"/>
      <c r="E29" s="7" t="s">
        <v>104</v>
      </c>
      <c r="F29" s="7" t="s">
        <v>20</v>
      </c>
      <c r="G29" s="15" t="s">
        <v>82</v>
      </c>
      <c r="H29" s="98"/>
      <c r="I29" s="32"/>
      <c r="J29" s="20"/>
      <c r="K29" s="32"/>
      <c r="L29" s="20"/>
      <c r="M29" s="32"/>
      <c r="N29" s="20"/>
      <c r="O29" s="32"/>
      <c r="P29" s="20"/>
      <c r="Q29" s="32"/>
      <c r="R29" s="20"/>
      <c r="S29" s="32"/>
      <c r="T29" s="20"/>
      <c r="U29" s="32"/>
      <c r="V29" s="20"/>
      <c r="W29" s="32"/>
      <c r="X29" s="20"/>
      <c r="Y29" s="32"/>
      <c r="Z29" s="20"/>
      <c r="AA29" s="32"/>
      <c r="AB29" s="20"/>
      <c r="AC29" s="32"/>
      <c r="AD29" s="20"/>
      <c r="AE29" s="32"/>
      <c r="AF29" s="20"/>
      <c r="AG29" s="20"/>
      <c r="AH29" s="32"/>
      <c r="AI29" s="32"/>
      <c r="AJ29" s="32"/>
      <c r="AK29" s="32"/>
    </row>
    <row r="30" spans="1:37" s="2" customFormat="1" ht="30" x14ac:dyDescent="0.25">
      <c r="A30" s="118"/>
      <c r="B30" s="119"/>
      <c r="C30" s="29">
        <v>4.5</v>
      </c>
      <c r="D30" s="27" t="s">
        <v>56</v>
      </c>
      <c r="E30" s="7" t="s">
        <v>105</v>
      </c>
      <c r="F30" s="7" t="s">
        <v>56</v>
      </c>
      <c r="G30" s="15" t="s">
        <v>15</v>
      </c>
      <c r="H30" s="4" t="s">
        <v>58</v>
      </c>
      <c r="I30" s="32"/>
      <c r="J30" s="19">
        <f>I30</f>
        <v>0</v>
      </c>
      <c r="K30" s="32"/>
      <c r="L30" s="19">
        <f>K30</f>
        <v>0</v>
      </c>
      <c r="M30" s="32"/>
      <c r="N30" s="19">
        <f>M30</f>
        <v>0</v>
      </c>
      <c r="O30" s="32"/>
      <c r="P30" s="19">
        <f>O30</f>
        <v>0</v>
      </c>
      <c r="Q30" s="32"/>
      <c r="R30" s="19">
        <f>Q30</f>
        <v>0</v>
      </c>
      <c r="S30" s="32"/>
      <c r="T30" s="19">
        <f>S30</f>
        <v>0</v>
      </c>
      <c r="U30" s="32"/>
      <c r="V30" s="19">
        <f>U30</f>
        <v>0</v>
      </c>
      <c r="W30" s="32"/>
      <c r="X30" s="19">
        <f>W30</f>
        <v>0</v>
      </c>
      <c r="Y30" s="32"/>
      <c r="Z30" s="19">
        <f>Y30</f>
        <v>0</v>
      </c>
      <c r="AA30" s="32"/>
      <c r="AB30" s="19">
        <f>AA30</f>
        <v>0</v>
      </c>
      <c r="AC30" s="32"/>
      <c r="AD30" s="19">
        <f>AC30</f>
        <v>0</v>
      </c>
      <c r="AE30" s="32"/>
      <c r="AF30" s="19">
        <f>AE30</f>
        <v>0</v>
      </c>
      <c r="AG30" s="19">
        <f t="shared" si="0"/>
        <v>0</v>
      </c>
      <c r="AH30" s="32"/>
      <c r="AI30" s="32"/>
      <c r="AJ30" s="32"/>
      <c r="AK30" s="32"/>
    </row>
    <row r="31" spans="1:37" s="2" customFormat="1" ht="15" customHeight="1" x14ac:dyDescent="0.25">
      <c r="A31" s="101">
        <v>5</v>
      </c>
      <c r="B31" s="111" t="s">
        <v>18</v>
      </c>
      <c r="C31" s="107">
        <v>5.0999999999999996</v>
      </c>
      <c r="D31" s="116" t="s">
        <v>106</v>
      </c>
      <c r="E31" s="7" t="s">
        <v>107</v>
      </c>
      <c r="F31" s="30" t="s">
        <v>108</v>
      </c>
      <c r="G31" s="15" t="s">
        <v>109</v>
      </c>
      <c r="H31" s="98" t="s">
        <v>110</v>
      </c>
      <c r="I31" s="32">
        <v>200</v>
      </c>
      <c r="J31" s="19">
        <f>I31*VLOOKUP(RIGHT($F31, 5), EmissionTable[], 5, FALSE)*PI()*(0.2*0.2-0.195*0.195)*VLOOKUP(RIGHT($F31, 5), EmissionTable[], 11, FALSE)*1000</f>
        <v>6012.3014806238207</v>
      </c>
      <c r="K31" s="32">
        <v>314</v>
      </c>
      <c r="L31" s="19">
        <f>K31*VLOOKUP(RIGHT($F31, 5), EmissionTable[], 5, FALSE)*PI()*(0.1*0.1-0.095*0.095)*VLOOKUP(RIGHT($F31, 5), EmissionTable[], 11, FALSE)*1000</f>
        <v>4659.9141728936256</v>
      </c>
      <c r="M31" s="32">
        <v>228</v>
      </c>
      <c r="N31" s="19">
        <f>M31*VLOOKUP(RIGHT($F31, 5), EmissionTable[], 5, FALSE)*PI()*(0.1*0.1-0.095*0.095)*VLOOKUP(RIGHT($F31, 5), EmissionTable[], 11, FALSE)*1000</f>
        <v>3383.6319471966453</v>
      </c>
      <c r="O31" s="32">
        <v>10</v>
      </c>
      <c r="P31" s="19">
        <f>O31*VLOOKUP(RIGHT($F31, 5), EmissionTable[], 5, FALSE)*PI()*(0.1*0.1-0.095*0.095)*VLOOKUP(RIGHT($F31, 5), EmissionTable[], 11, FALSE)*1000</f>
        <v>148.40490996476512</v>
      </c>
      <c r="Q31" s="32">
        <v>157.5</v>
      </c>
      <c r="R31" s="19">
        <f>Q31*VLOOKUP(RIGHT($F31, 5), EmissionTable[], 5, FALSE)*PI()*(0.1*0.1-0.095*0.095)*VLOOKUP(RIGHT($F31, 5), EmissionTable[], 11, FALSE)*1000</f>
        <v>2337.3773319450506</v>
      </c>
      <c r="S31" s="32">
        <v>21</v>
      </c>
      <c r="T31" s="19">
        <f>S31*VLOOKUP(RIGHT($F31, 5), EmissionTable[], 5, FALSE)*PI()*(0.1*0.1-0.095*0.095)*VLOOKUP(RIGHT($F31, 5), EmissionTable[], 11, FALSE)*1000</f>
        <v>311.65031092600674</v>
      </c>
      <c r="U31" s="32"/>
      <c r="V31" s="19">
        <f>U31*VLOOKUP(RIGHT($F31, 5), EmissionTable[], 5, FALSE)*PI()*(0.1*0.1-0.095*0.095)*VLOOKUP(RIGHT($F31, 5), EmissionTable[], 11, FALSE)*1000</f>
        <v>0</v>
      </c>
      <c r="W31" s="32">
        <v>33</v>
      </c>
      <c r="X31" s="19">
        <f>W31*VLOOKUP(RIGHT($F31, 5), EmissionTable[], 5, FALSE)*PI()*(0.1*0.1-0.095*0.095)*VLOOKUP(RIGHT($F31, 5), EmissionTable[], 11, FALSE)*1000</f>
        <v>489.73620288372501</v>
      </c>
      <c r="Y31" s="32"/>
      <c r="Z31" s="19">
        <f>Y31*VLOOKUP(RIGHT($F31, 5), EmissionTable[], 5, FALSE)*PI()*(0.1*0.1-0.095*0.095)*VLOOKUP(RIGHT($F31, 5), EmissionTable[], 11, FALSE)*1000</f>
        <v>0</v>
      </c>
      <c r="AA31" s="32"/>
      <c r="AB31" s="19">
        <f>AA31*VLOOKUP(RIGHT($F31, 5), EmissionTable[], 5, FALSE)*PI()*(0.1*0.1-0.095*0.095)*VLOOKUP(RIGHT($F31, 5), EmissionTable[], 11, FALSE)*1000</f>
        <v>0</v>
      </c>
      <c r="AC31" s="32"/>
      <c r="AD31" s="19">
        <f>AC31*VLOOKUP(RIGHT($F31, 5), EmissionTable[], 5, FALSE)*PI()*(0.1*0.1-0.095*0.095)*VLOOKUP(RIGHT($F31, 5), EmissionTable[], 11, FALSE)*1000</f>
        <v>0</v>
      </c>
      <c r="AE31" s="32"/>
      <c r="AF31" s="19">
        <f>AE31*VLOOKUP(RIGHT($F31, 5), EmissionTable[], 5, FALSE)*PI()*(0.1*0.1-0.095*0.095)*VLOOKUP(RIGHT($F31, 5), EmissionTable[], 11, FALSE)*1000</f>
        <v>0</v>
      </c>
      <c r="AG31" s="19">
        <f>SUM(J31,L31,N31,P31,R31,T31,V31,X31,Z31,AB31,AD31,AF31)</f>
        <v>17343.01635643364</v>
      </c>
      <c r="AH31" s="32"/>
      <c r="AI31" s="32"/>
      <c r="AJ31" s="32"/>
      <c r="AK31" s="32"/>
    </row>
    <row r="32" spans="1:37" s="2" customFormat="1" ht="49.5" customHeight="1" x14ac:dyDescent="0.25">
      <c r="A32" s="102"/>
      <c r="B32" s="112"/>
      <c r="C32" s="107"/>
      <c r="D32" s="117"/>
      <c r="E32" s="7" t="s">
        <v>111</v>
      </c>
      <c r="F32" s="30" t="s">
        <v>112</v>
      </c>
      <c r="G32" s="15" t="s">
        <v>109</v>
      </c>
      <c r="H32" s="98"/>
      <c r="I32" s="32">
        <v>366</v>
      </c>
      <c r="J32" s="19">
        <f>I32*VLOOKUP(RIGHT($F$32, 5), EmissionTable[], 5, FALSE)*PI()*(0.1*0.1-0.095*0.095)*VLOOKUP(RIGHT($F$32, 5), EmissionTable[], 11, FALSE)*1000</f>
        <v>5431.6197047104042</v>
      </c>
      <c r="K32" s="32">
        <v>306</v>
      </c>
      <c r="L32" s="19">
        <f>K32*VLOOKUP(RIGHT($F$32, 5), EmissionTable[], 5, FALSE)*PI()*(0.1*0.1-0.095*0.095)*VLOOKUP(RIGHT($F$32, 5), EmissionTable[], 11, FALSE)*1000</f>
        <v>4541.1902449218132</v>
      </c>
      <c r="M32" s="32">
        <v>615</v>
      </c>
      <c r="N32" s="19">
        <f>M32*VLOOKUP(RIGHT($F$32, 5), EmissionTable[], 5, FALSE)*PI()*(0.1*0.1-0.095*0.095)*VLOOKUP(RIGHT($F$32, 5), EmissionTable[], 11, FALSE)*1000</f>
        <v>9126.9019628330552</v>
      </c>
      <c r="O32" s="32">
        <v>346.5</v>
      </c>
      <c r="P32" s="19">
        <f>O32*VLOOKUP(RIGHT($F$32, 5), EmissionTable[], 5, FALSE)*PI()*(0.1*0.1-0.095*0.095)*VLOOKUP(RIGHT($F$32, 5), EmissionTable[], 11, FALSE)*1000</f>
        <v>5142.230130279112</v>
      </c>
      <c r="Q32" s="32">
        <v>321</v>
      </c>
      <c r="R32" s="19">
        <f>Q32*VLOOKUP(RIGHT($F$32, 5), EmissionTable[], 5, FALSE)*PI()*(0.1*0.1-0.095*0.095)*VLOOKUP(RIGHT($F$32, 5), EmissionTable[], 11, FALSE)*1000</f>
        <v>4763.7976098689596</v>
      </c>
      <c r="S32" s="32">
        <v>277.5</v>
      </c>
      <c r="T32" s="19">
        <f>S32*VLOOKUP(RIGHT($F$32, 5), EmissionTable[], 5, FALSE)*PI()*(0.1*0.1-0.095*0.095)*VLOOKUP(RIGHT($F$32, 5), EmissionTable[], 11, FALSE)*1000</f>
        <v>4118.2362515222321</v>
      </c>
      <c r="U32" s="32">
        <v>277.5</v>
      </c>
      <c r="V32" s="19">
        <f>U32*VLOOKUP(RIGHT($F$32, 5), EmissionTable[], 5, FALSE)*PI()*(0.1*0.1-0.095*0.095)*VLOOKUP(RIGHT($F$32, 5), EmissionTable[], 11, FALSE)*1000</f>
        <v>4118.2362515222321</v>
      </c>
      <c r="W32" s="32">
        <v>25.5</v>
      </c>
      <c r="X32" s="19">
        <f>W32*VLOOKUP(RIGHT($F$32, 5), EmissionTable[], 5, FALSE)*PI()*(0.1*0.1-0.095*0.095)*VLOOKUP(RIGHT($F$32, 5), EmissionTable[], 11, FALSE)*1000</f>
        <v>378.43252041015108</v>
      </c>
      <c r="Y32" s="32"/>
      <c r="Z32" s="19">
        <f>Y32*VLOOKUP(RIGHT($F$32, 5), EmissionTable[], 5, FALSE)*PI()*(0.1*0.1-0.095*0.095)*VLOOKUP(RIGHT($F$32, 5), EmissionTable[], 11, FALSE)*1000</f>
        <v>0</v>
      </c>
      <c r="AA32" s="32"/>
      <c r="AB32" s="19">
        <f>AA32*VLOOKUP(RIGHT($F$32, 5), EmissionTable[], 5, FALSE)*PI()*(0.1*0.1-0.095*0.095)*VLOOKUP(RIGHT($F$32, 5), EmissionTable[], 11, FALSE)*1000</f>
        <v>0</v>
      </c>
      <c r="AC32" s="32"/>
      <c r="AD32" s="19">
        <f>AC32*VLOOKUP(RIGHT($F$32, 5), EmissionTable[], 5, FALSE)*PI()*(0.1*0.1-0.095*0.095)*VLOOKUP(RIGHT($F$32, 5), EmissionTable[], 11, FALSE)*1000</f>
        <v>0</v>
      </c>
      <c r="AE32" s="32"/>
      <c r="AF32" s="19">
        <f>AE32*VLOOKUP(RIGHT($F$32, 5), EmissionTable[], 5, FALSE)*PI()*(0.1*0.1-0.095*0.095)*VLOOKUP(RIGHT($F$32, 5), EmissionTable[], 11, FALSE)*1000</f>
        <v>0</v>
      </c>
      <c r="AG32" s="19">
        <f>SUM(J32,L32,N32,P32,R32,T32,V32,X32,Z32,AB32,AD32,AF32)</f>
        <v>37620.644676067961</v>
      </c>
      <c r="AH32" s="32"/>
      <c r="AI32" s="32"/>
      <c r="AJ32" s="32"/>
      <c r="AK32" s="32"/>
    </row>
    <row r="33" spans="1:37" s="2" customFormat="1" ht="15" customHeight="1" x14ac:dyDescent="0.25">
      <c r="A33" s="102"/>
      <c r="B33" s="112"/>
      <c r="C33" s="107">
        <v>5.2</v>
      </c>
      <c r="D33" s="108" t="s">
        <v>113</v>
      </c>
      <c r="E33" s="7" t="s">
        <v>114</v>
      </c>
      <c r="F33" s="30" t="s">
        <v>115</v>
      </c>
      <c r="G33" s="15" t="s">
        <v>109</v>
      </c>
      <c r="H33" s="4" t="s">
        <v>116</v>
      </c>
      <c r="I33" s="32">
        <v>1349</v>
      </c>
      <c r="J33" s="19">
        <f>I33*VLOOKUP($F33, 'Emission Factors'!$A$3:$E$44, 5, FALSE)*1000</f>
        <v>201319.85454545452</v>
      </c>
      <c r="K33" s="32">
        <v>1915</v>
      </c>
      <c r="L33" s="19">
        <f>K33*VLOOKUP($F33, 'Emission Factors'!$A$3:$E$44, 5, FALSE)*1000</f>
        <v>285787.63636363629</v>
      </c>
      <c r="M33" s="32">
        <v>2599</v>
      </c>
      <c r="N33" s="19">
        <f>M33*VLOOKUP($F33, 'Emission Factors'!$A$3:$E$44, 5, FALSE)*1000</f>
        <v>387865.30909090902</v>
      </c>
      <c r="O33" s="32">
        <v>936</v>
      </c>
      <c r="P33" s="19">
        <f>O33*VLOOKUP($F33, 'Emission Factors'!$A$3:$E$44, 5, FALSE)*1000</f>
        <v>139685.23636363633</v>
      </c>
      <c r="Q33" s="32">
        <v>3139</v>
      </c>
      <c r="R33" s="19">
        <f>Q33*VLOOKUP($F33, 'Emission Factors'!$A$3:$E$44, 5, FALSE)*1000</f>
        <v>468452.94545454538</v>
      </c>
      <c r="S33" s="32">
        <v>1438</v>
      </c>
      <c r="T33" s="19">
        <f>S33*VLOOKUP($F33, 'Emission Factors'!$A$3:$E$44, 5, FALSE)*1000</f>
        <v>214601.89090909087</v>
      </c>
      <c r="U33" s="32"/>
      <c r="V33" s="19">
        <f>U33*VLOOKUP($F33, 'Emission Factors'!$A$3:$E$44, 5, FALSE)*1000</f>
        <v>0</v>
      </c>
      <c r="W33" s="32"/>
      <c r="X33" s="19">
        <f>W33*VLOOKUP($F33, 'Emission Factors'!$A$3:$E$44, 5, FALSE)*1000</f>
        <v>0</v>
      </c>
      <c r="Y33" s="32"/>
      <c r="Z33" s="19">
        <f>Y33*VLOOKUP($F33, 'Emission Factors'!$A$3:$E$44, 5, FALSE)*1000</f>
        <v>0</v>
      </c>
      <c r="AA33" s="32">
        <v>120</v>
      </c>
      <c r="AB33" s="19">
        <f>AA33*VLOOKUP($F33, 'Emission Factors'!$A$3:$E$44, 5, FALSE)*1000</f>
        <v>17908.363636363632</v>
      </c>
      <c r="AC33" s="32"/>
      <c r="AD33" s="19">
        <f>AC33*VLOOKUP($F33, 'Emission Factors'!$A$3:$E$44, 5, FALSE)*1000</f>
        <v>0</v>
      </c>
      <c r="AE33" s="32"/>
      <c r="AF33" s="19">
        <f>AE33*VLOOKUP($F33, 'Emission Factors'!$A$3:$E$44, 5, FALSE)*1000</f>
        <v>0</v>
      </c>
      <c r="AG33" s="19">
        <f>SUM(J33,L33,N33,P33,R33,T33,V33,X33,Z33,AB33,AD33,AF33)</f>
        <v>1715621.2363636359</v>
      </c>
      <c r="AH33" s="32"/>
      <c r="AI33" s="32"/>
      <c r="AJ33" s="32"/>
      <c r="AK33" s="32"/>
    </row>
    <row r="34" spans="1:37" s="2" customFormat="1" ht="15" customHeight="1" x14ac:dyDescent="0.25">
      <c r="A34" s="102"/>
      <c r="B34" s="112"/>
      <c r="C34" s="107"/>
      <c r="D34" s="108"/>
      <c r="E34" s="7" t="s">
        <v>117</v>
      </c>
      <c r="F34" s="30" t="s">
        <v>118</v>
      </c>
      <c r="G34" s="15" t="s">
        <v>109</v>
      </c>
      <c r="H34" s="4" t="s">
        <v>119</v>
      </c>
      <c r="I34" s="32">
        <v>3010</v>
      </c>
      <c r="J34" s="19">
        <f>I34*VLOOKUP($F34, 'Emission Factors'!$A$3:$E$44, 5, FALSE)*1000</f>
        <v>173354.32800000001</v>
      </c>
      <c r="K34" s="32">
        <v>3788</v>
      </c>
      <c r="L34" s="19">
        <f>K34*VLOOKUP($F34, 'Emission Factors'!$A$3:$E$44, 5, FALSE)*1000</f>
        <v>218161.52639999997</v>
      </c>
      <c r="M34" s="32">
        <v>611</v>
      </c>
      <c r="N34" s="19">
        <f>M34*VLOOKUP($F34, 'Emission Factors'!$A$3:$E$44, 5, FALSE)*1000</f>
        <v>35189.200799999999</v>
      </c>
      <c r="O34" s="32"/>
      <c r="P34" s="19">
        <f>O34*VLOOKUP($F34, 'Emission Factors'!$A$3:$E$44, 5, FALSE)*1000</f>
        <v>0</v>
      </c>
      <c r="Q34" s="32">
        <v>201</v>
      </c>
      <c r="R34" s="19">
        <f>Q34*VLOOKUP($F34, 'Emission Factors'!$A$3:$E$44, 5, FALSE)*1000</f>
        <v>11576.1528</v>
      </c>
      <c r="S34" s="32"/>
      <c r="T34" s="19">
        <f>S34*VLOOKUP($F34, 'Emission Factors'!$A$3:$E$44, 5, FALSE)*1000</f>
        <v>0</v>
      </c>
      <c r="U34" s="32"/>
      <c r="V34" s="19">
        <f>U34*VLOOKUP($F34, 'Emission Factors'!$A$3:$E$44, 5, FALSE)*1000</f>
        <v>0</v>
      </c>
      <c r="W34" s="32"/>
      <c r="X34" s="19">
        <f>W34*VLOOKUP($F34, 'Emission Factors'!$A$3:$E$44, 5, FALSE)*1000</f>
        <v>0</v>
      </c>
      <c r="Y34" s="32"/>
      <c r="Z34" s="19">
        <f>Y34*VLOOKUP($F34, 'Emission Factors'!$A$3:$E$44, 5, FALSE)*1000</f>
        <v>0</v>
      </c>
      <c r="AA34" s="32"/>
      <c r="AB34" s="19">
        <f>AA34*VLOOKUP($F34, 'Emission Factors'!$A$3:$E$44, 5, FALSE)*1000</f>
        <v>0</v>
      </c>
      <c r="AC34" s="32"/>
      <c r="AD34" s="19">
        <f>AC34*VLOOKUP($F34, 'Emission Factors'!$A$3:$E$44, 5, FALSE)*1000</f>
        <v>0</v>
      </c>
      <c r="AE34" s="32"/>
      <c r="AF34" s="19">
        <f>AE34*VLOOKUP($F34, 'Emission Factors'!$A$3:$E$44, 5, FALSE)*1000</f>
        <v>0</v>
      </c>
      <c r="AG34" s="19">
        <f>SUM(J34,L34,N34,P34,R34,T34,V34,X34,Z34,AB34,AD34,AF34)</f>
        <v>438281.20799999993</v>
      </c>
      <c r="AH34" s="32"/>
      <c r="AI34" s="32"/>
      <c r="AJ34" s="32"/>
      <c r="AK34" s="32"/>
    </row>
    <row r="35" spans="1:37" s="2" customFormat="1" ht="45" x14ac:dyDescent="0.25">
      <c r="A35" s="102"/>
      <c r="B35" s="112"/>
      <c r="C35" s="29">
        <v>5.3</v>
      </c>
      <c r="D35" s="27" t="s">
        <v>120</v>
      </c>
      <c r="E35" s="7" t="s">
        <v>121</v>
      </c>
      <c r="F35" s="7" t="s">
        <v>18</v>
      </c>
      <c r="G35" s="15" t="s">
        <v>82</v>
      </c>
      <c r="H35" s="4" t="s">
        <v>122</v>
      </c>
      <c r="I35" s="32"/>
      <c r="J35" s="19">
        <f>I35*VLOOKUP($F35, 'Emission Factors'!$A$3:$E$44, 5, FALSE)*1000</f>
        <v>0</v>
      </c>
      <c r="K35" s="32"/>
      <c r="L35" s="19">
        <f>K35*VLOOKUP($F35, 'Emission Factors'!$A$3:$E$44, 5, FALSE)*1000</f>
        <v>0</v>
      </c>
      <c r="M35" s="32"/>
      <c r="N35" s="19">
        <f>M35*VLOOKUP($F35, 'Emission Factors'!$A$3:$E$44, 5, FALSE)*1000</f>
        <v>0</v>
      </c>
      <c r="O35" s="32"/>
      <c r="P35" s="19">
        <f>O35*VLOOKUP($F35, 'Emission Factors'!$A$3:$E$44, 5, FALSE)*1000</f>
        <v>0</v>
      </c>
      <c r="Q35" s="32"/>
      <c r="R35" s="19">
        <f>Q35*VLOOKUP($F35, 'Emission Factors'!$A$3:$E$44, 5, FALSE)*1000</f>
        <v>0</v>
      </c>
      <c r="S35" s="32"/>
      <c r="T35" s="19">
        <f>S35*VLOOKUP($F35, 'Emission Factors'!$A$3:$E$44, 5, FALSE)*1000</f>
        <v>0</v>
      </c>
      <c r="U35" s="32"/>
      <c r="V35" s="19">
        <f>U35*VLOOKUP($F35, 'Emission Factors'!$A$3:$E$44, 5, FALSE)*1000</f>
        <v>0</v>
      </c>
      <c r="W35" s="32"/>
      <c r="X35" s="19">
        <f>W35*VLOOKUP($F35, 'Emission Factors'!$A$3:$E$44, 5, FALSE)*1000</f>
        <v>0</v>
      </c>
      <c r="Y35" s="32"/>
      <c r="Z35" s="19">
        <f>Y35*VLOOKUP($F35, 'Emission Factors'!$A$3:$E$44, 5, FALSE)*1000</f>
        <v>0</v>
      </c>
      <c r="AA35" s="32"/>
      <c r="AB35" s="19">
        <f>AA35*VLOOKUP($F35, 'Emission Factors'!$A$3:$E$44, 5, FALSE)*1000</f>
        <v>0</v>
      </c>
      <c r="AC35" s="32"/>
      <c r="AD35" s="19">
        <f>AC35*VLOOKUP($F35, 'Emission Factors'!$A$3:$E$44, 5, FALSE)*1000</f>
        <v>0</v>
      </c>
      <c r="AE35" s="32"/>
      <c r="AF35" s="19">
        <f>AE35*VLOOKUP($F35, 'Emission Factors'!$A$3:$E$44, 5, FALSE)*1000</f>
        <v>0</v>
      </c>
      <c r="AG35" s="19">
        <f t="shared" si="0"/>
        <v>0</v>
      </c>
      <c r="AH35" s="32"/>
      <c r="AI35" s="32"/>
      <c r="AJ35" s="32"/>
      <c r="AK35" s="32"/>
    </row>
    <row r="36" spans="1:37" s="2" customFormat="1" ht="30.75" customHeight="1" x14ac:dyDescent="0.25">
      <c r="A36" s="103"/>
      <c r="B36" s="113"/>
      <c r="C36" s="29">
        <v>5.4</v>
      </c>
      <c r="D36" s="27" t="s">
        <v>56</v>
      </c>
      <c r="E36" s="7" t="s">
        <v>123</v>
      </c>
      <c r="F36" s="7" t="s">
        <v>56</v>
      </c>
      <c r="G36" s="15" t="s">
        <v>15</v>
      </c>
      <c r="H36" s="4" t="s">
        <v>58</v>
      </c>
      <c r="I36" s="32"/>
      <c r="J36" s="19">
        <f>I36</f>
        <v>0</v>
      </c>
      <c r="K36" s="32"/>
      <c r="L36" s="19">
        <f>K36</f>
        <v>0</v>
      </c>
      <c r="M36" s="32"/>
      <c r="N36" s="19">
        <f>M36</f>
        <v>0</v>
      </c>
      <c r="O36" s="32"/>
      <c r="P36" s="19">
        <f>O36</f>
        <v>0</v>
      </c>
      <c r="Q36" s="32"/>
      <c r="R36" s="19">
        <f>Q36</f>
        <v>0</v>
      </c>
      <c r="S36" s="32"/>
      <c r="T36" s="19">
        <f>S36</f>
        <v>0</v>
      </c>
      <c r="U36" s="32"/>
      <c r="V36" s="19">
        <f>U36</f>
        <v>0</v>
      </c>
      <c r="W36" s="32"/>
      <c r="X36" s="19">
        <f>W36</f>
        <v>0</v>
      </c>
      <c r="Y36" s="32"/>
      <c r="Z36" s="19">
        <f>Y36</f>
        <v>0</v>
      </c>
      <c r="AA36" s="32"/>
      <c r="AB36" s="19">
        <f>AA36</f>
        <v>0</v>
      </c>
      <c r="AC36" s="32"/>
      <c r="AD36" s="19">
        <f>AC36</f>
        <v>0</v>
      </c>
      <c r="AE36" s="32"/>
      <c r="AF36" s="19">
        <f>AE36</f>
        <v>0</v>
      </c>
      <c r="AG36" s="19">
        <f t="shared" si="0"/>
        <v>0</v>
      </c>
      <c r="AH36" s="32"/>
      <c r="AI36" s="32"/>
      <c r="AJ36" s="32"/>
      <c r="AK36" s="32"/>
    </row>
    <row r="37" spans="1:37" s="2" customFormat="1" ht="15.75" customHeight="1" x14ac:dyDescent="0.25">
      <c r="A37" s="101">
        <v>6</v>
      </c>
      <c r="B37" s="111" t="s">
        <v>19</v>
      </c>
      <c r="C37" s="29">
        <v>6.1</v>
      </c>
      <c r="D37" s="27" t="s">
        <v>124</v>
      </c>
      <c r="E37" s="7" t="s">
        <v>125</v>
      </c>
      <c r="F37" s="30" t="s">
        <v>126</v>
      </c>
      <c r="G37" s="15" t="s">
        <v>127</v>
      </c>
      <c r="H37" s="4" t="s">
        <v>128</v>
      </c>
      <c r="I37" s="32">
        <v>342</v>
      </c>
      <c r="J37" s="23">
        <f>I37*1.5/1000*VLOOKUP(RIGHT($F37, 9), EmissionTable[], 5, FALSE)*VLOOKUP(RIGHT($F37, 9), EmissionTable[], 11, FALSE)*1000</f>
        <v>3722.3280000000004</v>
      </c>
      <c r="K37" s="32">
        <v>245</v>
      </c>
      <c r="L37" s="23">
        <f>K37*1.5/1000*VLOOKUP(RIGHT($F37, 9), EmissionTable[], 5, FALSE)*VLOOKUP(RIGHT($F37, 9), EmissionTable[], 11, FALSE)*1000</f>
        <v>2666.5800000000004</v>
      </c>
      <c r="M37" s="32">
        <v>541</v>
      </c>
      <c r="N37" s="23">
        <f>M37*1.5/1000*VLOOKUP(RIGHT($F37, 9), EmissionTable[], 5, FALSE)*VLOOKUP(RIGHT($F37, 9), EmissionTable[], 11, FALSE)*1000</f>
        <v>5888.2440000000006</v>
      </c>
      <c r="O37" s="32">
        <v>319</v>
      </c>
      <c r="P37" s="23">
        <f>O37*1.5/1000*VLOOKUP(RIGHT($F37, 9), EmissionTable[], 5, FALSE)*VLOOKUP(RIGHT($F37, 9), EmissionTable[], 11, FALSE)*1000</f>
        <v>3471.9960000000001</v>
      </c>
      <c r="Q37" s="32">
        <v>196</v>
      </c>
      <c r="R37" s="23">
        <f>Q37*1.5/1000*VLOOKUP(RIGHT($F37, 9), EmissionTable[], 5, FALSE)*VLOOKUP(RIGHT($F37, 9), EmissionTable[], 11, FALSE)*1000</f>
        <v>2133.2640000000001</v>
      </c>
      <c r="S37" s="32">
        <v>226</v>
      </c>
      <c r="T37" s="23">
        <f>S37*1.5/1000*VLOOKUP(RIGHT($F37, 9), EmissionTable[], 5, FALSE)*VLOOKUP(RIGHT($F37, 9), EmissionTable[], 11, FALSE)*1000</f>
        <v>2459.7840000000006</v>
      </c>
      <c r="U37" s="32">
        <v>258</v>
      </c>
      <c r="V37" s="23">
        <f>U37*1.5/1000*VLOOKUP(RIGHT($F37, 9), EmissionTable[], 5, FALSE)*VLOOKUP(RIGHT($F37, 9), EmissionTable[], 11, FALSE)*1000</f>
        <v>2808.0720000000006</v>
      </c>
      <c r="W37" s="32">
        <v>143</v>
      </c>
      <c r="X37" s="23">
        <f>W37*1.5/1000*VLOOKUP(RIGHT($F37, 9), EmissionTable[], 5, FALSE)*VLOOKUP(RIGHT($F37, 9), EmissionTable[], 11, FALSE)*1000</f>
        <v>1556.412</v>
      </c>
      <c r="Y37" s="32">
        <v>170</v>
      </c>
      <c r="Z37" s="23">
        <f>Y37*1.5/1000*VLOOKUP(RIGHT($F37, 9), EmissionTable[], 5, FALSE)*VLOOKUP(RIGHT($F37, 9), EmissionTable[], 11, FALSE)*1000</f>
        <v>1850.2800000000002</v>
      </c>
      <c r="AA37" s="32">
        <v>105</v>
      </c>
      <c r="AB37" s="23">
        <f>AA37*1.5/1000*VLOOKUP(RIGHT($F37, 9), EmissionTable[], 5, FALSE)*VLOOKUP(RIGHT($F37, 9), EmissionTable[], 11, FALSE)*1000</f>
        <v>1142.8200000000002</v>
      </c>
      <c r="AC37" s="32">
        <v>5</v>
      </c>
      <c r="AD37" s="23">
        <f>AC37*1.5/1000*VLOOKUP(RIGHT($F37, 9), EmissionTable[], 5, FALSE)*VLOOKUP(RIGHT($F37, 9), EmissionTable[], 11, FALSE)*1000</f>
        <v>54.42</v>
      </c>
      <c r="AE37" s="32"/>
      <c r="AF37" s="23">
        <f>AE37*1.5/1000*VLOOKUP(RIGHT($F37, 9), EmissionTable[], 5, FALSE)*VLOOKUP(RIGHT($F37, 9), EmissionTable[], 11, FALSE)*1000</f>
        <v>0</v>
      </c>
      <c r="AG37" s="23">
        <f>SUM(J37,L37,N37,P37,R37,T37,V37,X37,Z37,AB37,AD37,AF37)</f>
        <v>27754.199999999997</v>
      </c>
      <c r="AH37" s="32"/>
      <c r="AI37" s="32"/>
      <c r="AJ37" s="32"/>
      <c r="AK37" s="32"/>
    </row>
    <row r="38" spans="1:37" s="2" customFormat="1" ht="15.75" customHeight="1" x14ac:dyDescent="0.25">
      <c r="A38" s="102"/>
      <c r="B38" s="112"/>
      <c r="C38" s="114">
        <v>6.2</v>
      </c>
      <c r="D38" s="116" t="s">
        <v>129</v>
      </c>
      <c r="E38" s="7" t="s">
        <v>130</v>
      </c>
      <c r="F38" s="30" t="s">
        <v>131</v>
      </c>
      <c r="G38" s="15" t="s">
        <v>109</v>
      </c>
      <c r="H38" s="109" t="s">
        <v>132</v>
      </c>
      <c r="I38" s="32"/>
      <c r="J38" s="23">
        <f>I38*VLOOKUP(RIGHT($F38, 9), 'Emission Factors'!$A$3:$E$44, 5, FALSE)*PI()*(0.3*0.3-0.297*0.297)*VLOOKUP(RIGHT($F38, 9), 'Emission Factors'!$A$3:$E$44, 5, FALSE)*1000</f>
        <v>0</v>
      </c>
      <c r="K38" s="32">
        <v>70</v>
      </c>
      <c r="L38" s="23">
        <f>K38*VLOOKUP(RIGHT($F38, 9), 'Emission Factors'!$A$3:$E$44, 5, FALSE)*PI()*(0.3*0.3-0.297*0.297)*VLOOKUP(RIGHT($F38, 9), 'Emission Factors'!$A$3:$E$44, 5, FALSE)*1000</f>
        <v>32400.97452406806</v>
      </c>
      <c r="M38" s="32"/>
      <c r="N38" s="23">
        <f>M38*VLOOKUP(RIGHT($F38, 9), 'Emission Factors'!$A$3:$E$44, 5, FALSE)*PI()*(0.3*0.3-0.297*0.297)*VLOOKUP(RIGHT($F38, 9), 'Emission Factors'!$A$3:$E$44, 5, FALSE)*1000</f>
        <v>0</v>
      </c>
      <c r="O38" s="32"/>
      <c r="P38" s="23">
        <f>O38*VLOOKUP(RIGHT($F38, 9), 'Emission Factors'!$A$3:$E$44, 5, FALSE)*PI()*(0.3*0.3-0.297*0.297)*VLOOKUP(RIGHT($F38, 9), 'Emission Factors'!$A$3:$E$44, 5, FALSE)*1000</f>
        <v>0</v>
      </c>
      <c r="Q38" s="32"/>
      <c r="R38" s="23">
        <f>Q38*VLOOKUP(RIGHT($F38, 9), 'Emission Factors'!$A$3:$E$44, 5, FALSE)*PI()*(0.3*0.3-0.297*0.297)*VLOOKUP(RIGHT($F38, 9), 'Emission Factors'!$A$3:$E$44, 5, FALSE)*1000</f>
        <v>0</v>
      </c>
      <c r="S38" s="32">
        <v>10</v>
      </c>
      <c r="T38" s="23">
        <f>S38*VLOOKUP(RIGHT($F38, 9), 'Emission Factors'!$A$3:$E$44, 5, FALSE)*PI()*(0.3*0.3-0.297*0.297)*VLOOKUP(RIGHT($F38, 9), 'Emission Factors'!$A$3:$E$44, 5, FALSE)*1000</f>
        <v>4628.7106462954371</v>
      </c>
      <c r="U38" s="32"/>
      <c r="V38" s="23">
        <f>U38*VLOOKUP(RIGHT($F38, 9), 'Emission Factors'!$A$3:$E$44, 5, FALSE)*PI()*(0.3*0.3-0.297*0.297)*VLOOKUP(RIGHT($F38, 9), 'Emission Factors'!$A$3:$E$44, 5, FALSE)*1000</f>
        <v>0</v>
      </c>
      <c r="W38" s="32"/>
      <c r="X38" s="23">
        <f>W38*VLOOKUP(RIGHT($F38, 9), 'Emission Factors'!$A$3:$E$44, 5, FALSE)*PI()*(0.3*0.3-0.297*0.297)*VLOOKUP(RIGHT($F38, 9), 'Emission Factors'!$A$3:$E$44, 5, FALSE)*1000</f>
        <v>0</v>
      </c>
      <c r="Y38" s="32"/>
      <c r="Z38" s="23">
        <f>Y38*VLOOKUP(RIGHT($F38, 9), 'Emission Factors'!$A$3:$E$44, 5, FALSE)*PI()*(0.3*0.3-0.297*0.297)*VLOOKUP(RIGHT($F38, 9), 'Emission Factors'!$A$3:$E$44, 5, FALSE)*1000</f>
        <v>0</v>
      </c>
      <c r="AA38" s="32"/>
      <c r="AB38" s="23">
        <f>AA38*VLOOKUP(RIGHT($F38, 9), 'Emission Factors'!$A$3:$E$44, 5, FALSE)*PI()*(0.3*0.3-0.297*0.297)*VLOOKUP(RIGHT($F38, 9), 'Emission Factors'!$A$3:$E$44, 5, FALSE)*1000</f>
        <v>0</v>
      </c>
      <c r="AC38" s="32"/>
      <c r="AD38" s="23">
        <f>AC38*VLOOKUP(RIGHT($F38, 9), 'Emission Factors'!$A$3:$E$44, 5, FALSE)*PI()*(0.3*0.3-0.297*0.297)*VLOOKUP(RIGHT($F38, 9), 'Emission Factors'!$A$3:$E$44, 5, FALSE)*1000</f>
        <v>0</v>
      </c>
      <c r="AE38" s="32"/>
      <c r="AF38" s="23">
        <f>AE38*VLOOKUP(RIGHT($F38, 9), 'Emission Factors'!$A$3:$E$44, 5, FALSE)*PI()*(0.3*0.3-0.297*0.297)*VLOOKUP(RIGHT($F38, 9), 'Emission Factors'!$A$3:$E$44, 5, FALSE)*1000</f>
        <v>0</v>
      </c>
      <c r="AG38" s="23">
        <f>SUM(J38,L38,N38,P38,R38,T38,V38,X38,Z38,AB38,AD38,AF38)</f>
        <v>37029.685170363497</v>
      </c>
      <c r="AH38" s="32"/>
      <c r="AI38" s="32"/>
      <c r="AJ38" s="32"/>
      <c r="AK38" s="32"/>
    </row>
    <row r="39" spans="1:37" s="2" customFormat="1" ht="33" customHeight="1" x14ac:dyDescent="0.25">
      <c r="A39" s="102"/>
      <c r="B39" s="112"/>
      <c r="C39" s="115"/>
      <c r="D39" s="117"/>
      <c r="E39" s="7" t="s">
        <v>133</v>
      </c>
      <c r="F39" s="30" t="s">
        <v>134</v>
      </c>
      <c r="G39" s="15" t="s">
        <v>109</v>
      </c>
      <c r="H39" s="110"/>
      <c r="I39" s="32">
        <v>366</v>
      </c>
      <c r="J39" s="23">
        <f>I39*VLOOKUP(RIGHT($F39, 9), 'Emission Factors'!$A$3:$E$44, 5, FALSE)*PI()*(0.1*0.1-0.095*0.095)*VLOOKUP(RIGHT($F39, 9), EmissionTable[], 11, FALSE)*1000</f>
        <v>8134.5371676736204</v>
      </c>
      <c r="K39" s="32">
        <v>306</v>
      </c>
      <c r="L39" s="23">
        <f>K39*VLOOKUP(RIGHT($F39, 9), 'Emission Factors'!$A$3:$E$44, 5, FALSE)*PI()*(0.1*0.1-0.095*0.095)*VLOOKUP(RIGHT($F39, 9), EmissionTable[], 11, FALSE)*1000</f>
        <v>6801.0064844484359</v>
      </c>
      <c r="M39" s="32">
        <v>615</v>
      </c>
      <c r="N39" s="23">
        <f>M39*VLOOKUP(RIGHT($F39, 9), 'Emission Factors'!$A$3:$E$44, 5, FALSE)*PI()*(0.1*0.1-0.095*0.095)*VLOOKUP(RIGHT($F39, 9), EmissionTable[], 11, FALSE)*1000</f>
        <v>13668.689503058133</v>
      </c>
      <c r="O39" s="32">
        <v>346.5</v>
      </c>
      <c r="P39" s="23">
        <f>O39*VLOOKUP(RIGHT($F39, 9), 'Emission Factors'!$A$3:$E$44, 5, FALSE)*PI()*(0.1*0.1-0.095*0.095)*VLOOKUP(RIGHT($F39, 9), EmissionTable[], 11, FALSE)*1000</f>
        <v>7701.1396956254348</v>
      </c>
      <c r="Q39" s="32">
        <v>321</v>
      </c>
      <c r="R39" s="23">
        <f>Q39*VLOOKUP(RIGHT($F39, 9), 'Emission Factors'!$A$3:$E$44, 5, FALSE)*PI()*(0.1*0.1-0.095*0.095)*VLOOKUP(RIGHT($F39, 9), EmissionTable[], 11, FALSE)*1000</f>
        <v>7134.3891552547339</v>
      </c>
      <c r="S39" s="32">
        <v>277.5</v>
      </c>
      <c r="T39" s="23">
        <f>S39*VLOOKUP(RIGHT($F39, 9), 'Emission Factors'!$A$3:$E$44, 5, FALSE)*PI()*(0.1*0.1-0.095*0.095)*VLOOKUP(RIGHT($F39, 9), EmissionTable[], 11, FALSE)*1000</f>
        <v>6167.579409916475</v>
      </c>
      <c r="U39" s="32">
        <v>277.5</v>
      </c>
      <c r="V39" s="23">
        <f>U39*VLOOKUP(RIGHT($F39, 9), 'Emission Factors'!$A$3:$E$44, 5, FALSE)*PI()*(0.1*0.1-0.095*0.095)*VLOOKUP(RIGHT($F39, 9), EmissionTable[], 11, FALSE)*1000</f>
        <v>6167.579409916475</v>
      </c>
      <c r="W39" s="32">
        <v>25.5</v>
      </c>
      <c r="X39" s="23">
        <f>W39*VLOOKUP(RIGHT($F39, 9), 'Emission Factors'!$A$3:$E$44, 5, FALSE)*PI()*(0.1*0.1-0.095*0.095)*VLOOKUP(RIGHT($F39, 9), EmissionTable[], 11, FALSE)*1000</f>
        <v>566.75054037070299</v>
      </c>
      <c r="Y39" s="32"/>
      <c r="Z39" s="23">
        <f>Y39*VLOOKUP(RIGHT($F39, 9), 'Emission Factors'!$A$3:$E$44, 5, FALSE)*PI()*(0.1*0.1-0.095*0.095)*VLOOKUP(RIGHT($F39, 9), EmissionTable[], 11, FALSE)*1000</f>
        <v>0</v>
      </c>
      <c r="AA39" s="32"/>
      <c r="AB39" s="23">
        <f>AA39*VLOOKUP(RIGHT($F39, 9), 'Emission Factors'!$A$3:$E$44, 5, FALSE)*PI()*(0.1*0.1-0.095*0.095)*VLOOKUP(RIGHT($F39, 9), EmissionTable[], 11, FALSE)*1000</f>
        <v>0</v>
      </c>
      <c r="AC39" s="32"/>
      <c r="AD39" s="23">
        <f>AC39*VLOOKUP(RIGHT($F39, 9), 'Emission Factors'!$A$3:$E$44, 5, FALSE)*PI()*(0.1*0.1-0.095*0.095)*VLOOKUP(RIGHT($F39, 9), EmissionTable[], 11, FALSE)*1000</f>
        <v>0</v>
      </c>
      <c r="AE39" s="32"/>
      <c r="AF39" s="23">
        <f>AE39*VLOOKUP(RIGHT($F39, 9), 'Emission Factors'!$A$3:$E$44, 5, FALSE)*PI()*(0.1*0.1-0.095*0.095)*VLOOKUP(RIGHT($F39, 9), EmissionTable[], 11, FALSE)*1000</f>
        <v>0</v>
      </c>
      <c r="AG39" s="23">
        <f>SUM(J39,L39,N39,P39,R39,T39,V39,X39,Z39,AB39,AD39,AF39)</f>
        <v>56341.671366264018</v>
      </c>
      <c r="AH39" s="32"/>
      <c r="AI39" s="32"/>
      <c r="AJ39" s="32"/>
      <c r="AK39" s="32"/>
    </row>
    <row r="40" spans="1:37" s="2" customFormat="1" ht="15.75" customHeight="1" x14ac:dyDescent="0.25">
      <c r="A40" s="102"/>
      <c r="B40" s="112"/>
      <c r="C40" s="29">
        <v>6.3</v>
      </c>
      <c r="D40" s="27" t="s">
        <v>135</v>
      </c>
      <c r="E40" s="7" t="s">
        <v>136</v>
      </c>
      <c r="F40" s="7" t="s">
        <v>19</v>
      </c>
      <c r="G40" s="15" t="s">
        <v>82</v>
      </c>
      <c r="H40" s="4" t="s">
        <v>137</v>
      </c>
      <c r="I40" s="32"/>
      <c r="J40" s="19">
        <f>I40*VLOOKUP($F40, 'Emission Factors'!$A$3:$E$44, 5, FALSE)*1000</f>
        <v>0</v>
      </c>
      <c r="K40" s="32"/>
      <c r="L40" s="19">
        <f>K40*VLOOKUP($F40, 'Emission Factors'!$A$3:$E$44, 5, FALSE)*1000</f>
        <v>0</v>
      </c>
      <c r="M40" s="32"/>
      <c r="N40" s="19">
        <f>M40*VLOOKUP($F40, 'Emission Factors'!$A$3:$E$44, 5, FALSE)*1000</f>
        <v>0</v>
      </c>
      <c r="O40" s="32"/>
      <c r="P40" s="19">
        <f>O40*VLOOKUP($F40, 'Emission Factors'!$A$3:$E$44, 5, FALSE)*1000</f>
        <v>0</v>
      </c>
      <c r="Q40" s="32"/>
      <c r="R40" s="19">
        <f>Q40*VLOOKUP($F40, 'Emission Factors'!$A$3:$E$44, 5, FALSE)*1000</f>
        <v>0</v>
      </c>
      <c r="S40" s="32"/>
      <c r="T40" s="19">
        <f>S40*VLOOKUP($F40, 'Emission Factors'!$A$3:$E$44, 5, FALSE)*1000</f>
        <v>0</v>
      </c>
      <c r="U40" s="32"/>
      <c r="V40" s="19">
        <f>U40*VLOOKUP($F40, 'Emission Factors'!$A$3:$E$44, 5, FALSE)*1000</f>
        <v>0</v>
      </c>
      <c r="W40" s="32"/>
      <c r="X40" s="19">
        <f>W40*VLOOKUP($F40, 'Emission Factors'!$A$3:$E$44, 5, FALSE)*1000</f>
        <v>0</v>
      </c>
      <c r="Y40" s="32"/>
      <c r="Z40" s="19">
        <f>Y40*VLOOKUP($F40, 'Emission Factors'!$A$3:$E$44, 5, FALSE)*1000</f>
        <v>0</v>
      </c>
      <c r="AA40" s="32"/>
      <c r="AB40" s="19">
        <f>AA40*VLOOKUP($F40, 'Emission Factors'!$A$3:$E$44, 5, FALSE)*1000</f>
        <v>0</v>
      </c>
      <c r="AC40" s="32"/>
      <c r="AD40" s="19">
        <f>AC40*VLOOKUP($F40, 'Emission Factors'!$A$3:$E$44, 5, FALSE)*1000</f>
        <v>0</v>
      </c>
      <c r="AE40" s="32"/>
      <c r="AF40" s="19">
        <f>AE40*VLOOKUP($F40, 'Emission Factors'!$A$3:$E$44, 5, FALSE)*1000</f>
        <v>0</v>
      </c>
      <c r="AG40" s="19">
        <f t="shared" si="0"/>
        <v>0</v>
      </c>
      <c r="AH40" s="32"/>
      <c r="AI40" s="32"/>
      <c r="AJ40" s="32"/>
      <c r="AK40" s="32"/>
    </row>
    <row r="41" spans="1:37" s="2" customFormat="1" ht="30.75" customHeight="1" x14ac:dyDescent="0.25">
      <c r="A41" s="103"/>
      <c r="B41" s="113"/>
      <c r="C41" s="29">
        <v>6.4</v>
      </c>
      <c r="D41" s="27" t="s">
        <v>56</v>
      </c>
      <c r="E41" s="7" t="s">
        <v>138</v>
      </c>
      <c r="F41" s="7" t="s">
        <v>56</v>
      </c>
      <c r="G41" s="15" t="s">
        <v>15</v>
      </c>
      <c r="H41" s="4" t="s">
        <v>58</v>
      </c>
      <c r="I41" s="32"/>
      <c r="J41" s="19">
        <f>I41</f>
        <v>0</v>
      </c>
      <c r="K41" s="32"/>
      <c r="L41" s="19">
        <f>K41</f>
        <v>0</v>
      </c>
      <c r="M41" s="32"/>
      <c r="N41" s="19">
        <f>M41</f>
        <v>0</v>
      </c>
      <c r="O41" s="32"/>
      <c r="P41" s="19">
        <f>O41</f>
        <v>0</v>
      </c>
      <c r="Q41" s="32"/>
      <c r="R41" s="19">
        <f>Q41</f>
        <v>0</v>
      </c>
      <c r="S41" s="32"/>
      <c r="T41" s="19">
        <f>S41</f>
        <v>0</v>
      </c>
      <c r="U41" s="32"/>
      <c r="V41" s="19">
        <f>U41</f>
        <v>0</v>
      </c>
      <c r="W41" s="32"/>
      <c r="X41" s="19">
        <f>W41</f>
        <v>0</v>
      </c>
      <c r="Y41" s="32"/>
      <c r="Z41" s="19">
        <f>Y41</f>
        <v>0</v>
      </c>
      <c r="AA41" s="32"/>
      <c r="AB41" s="19">
        <f>AA41</f>
        <v>0</v>
      </c>
      <c r="AC41" s="32"/>
      <c r="AD41" s="19">
        <f>AC41</f>
        <v>0</v>
      </c>
      <c r="AE41" s="32"/>
      <c r="AF41" s="19">
        <f>AE41</f>
        <v>0</v>
      </c>
      <c r="AG41" s="19">
        <f t="shared" si="0"/>
        <v>0</v>
      </c>
      <c r="AH41" s="32"/>
      <c r="AI41" s="32"/>
      <c r="AJ41" s="32"/>
      <c r="AK41" s="32"/>
    </row>
    <row r="42" spans="1:37" s="2" customFormat="1" ht="15" customHeight="1" x14ac:dyDescent="0.25">
      <c r="A42" s="101">
        <v>7</v>
      </c>
      <c r="B42" s="104" t="s">
        <v>20</v>
      </c>
      <c r="C42" s="29">
        <v>7.1</v>
      </c>
      <c r="D42" s="27" t="s">
        <v>139</v>
      </c>
      <c r="E42" s="7" t="s">
        <v>140</v>
      </c>
      <c r="F42" s="30" t="s">
        <v>141</v>
      </c>
      <c r="G42" s="15" t="s">
        <v>109</v>
      </c>
      <c r="H42" s="28" t="s">
        <v>142</v>
      </c>
      <c r="I42" s="32"/>
      <c r="J42" s="19">
        <f>I42*VLOOKUP($F42,'Emission Factors'!$A$3:$E$44,5,FALSE)*1000</f>
        <v>0</v>
      </c>
      <c r="K42" s="32"/>
      <c r="L42" s="19">
        <f>K42*VLOOKUP($F42,'Emission Factors'!$A$3:$E$44,5,FALSE)*1000</f>
        <v>0</v>
      </c>
      <c r="M42" s="32"/>
      <c r="N42" s="19">
        <f>M42*VLOOKUP($F42,'Emission Factors'!$A$3:$E$44,5,FALSE)*1000</f>
        <v>0</v>
      </c>
      <c r="O42" s="32"/>
      <c r="P42" s="19">
        <f>O42*VLOOKUP($F42,'Emission Factors'!$A$3:$E$44,5,FALSE)*1000</f>
        <v>0</v>
      </c>
      <c r="Q42" s="32"/>
      <c r="R42" s="19">
        <f>Q42*VLOOKUP($F42,'Emission Factors'!$A$3:$E$44,5,FALSE)*1000</f>
        <v>0</v>
      </c>
      <c r="S42" s="32">
        <v>6</v>
      </c>
      <c r="T42" s="19">
        <f>S42*VLOOKUP($F42,'Emission Factors'!$A$3:$E$44,5,FALSE)*1000</f>
        <v>6417.7758000000013</v>
      </c>
      <c r="U42" s="32">
        <v>16</v>
      </c>
      <c r="V42" s="19">
        <f>U42*VLOOKUP($F42,'Emission Factors'!$A$3:$E$44,5,FALSE)*1000</f>
        <v>17114.068800000001</v>
      </c>
      <c r="W42" s="32"/>
      <c r="X42" s="19">
        <f>W42*VLOOKUP($F42,'Emission Factors'!$A$3:$E$44,5,FALSE)*1000</f>
        <v>0</v>
      </c>
      <c r="Y42" s="32"/>
      <c r="Z42" s="19">
        <f>Y42*VLOOKUP($F42,'Emission Factors'!$A$3:$E$44,5,FALSE)*1000</f>
        <v>0</v>
      </c>
      <c r="AA42" s="32"/>
      <c r="AB42" s="19">
        <f>AA42*VLOOKUP($F42,'Emission Factors'!$A$3:$E$44,5,FALSE)*1000</f>
        <v>0</v>
      </c>
      <c r="AC42" s="32"/>
      <c r="AD42" s="19">
        <f>AC42*VLOOKUP($F42,'Emission Factors'!$A$3:$E$44,5,FALSE)*1000</f>
        <v>0</v>
      </c>
      <c r="AE42" s="32"/>
      <c r="AF42" s="19">
        <f>AE42*VLOOKUP($F42,'Emission Factors'!$A$3:$E$44,5,FALSE)*1000</f>
        <v>0</v>
      </c>
      <c r="AG42" s="19">
        <f t="shared" si="0"/>
        <v>23531.844600000004</v>
      </c>
      <c r="AH42" s="32"/>
      <c r="AI42" s="32"/>
      <c r="AJ42" s="32"/>
      <c r="AK42" s="32"/>
    </row>
    <row r="43" spans="1:37" s="2" customFormat="1" ht="15" customHeight="1" x14ac:dyDescent="0.25">
      <c r="A43" s="102"/>
      <c r="B43" s="105"/>
      <c r="C43" s="107">
        <v>7.2</v>
      </c>
      <c r="D43" s="108" t="s">
        <v>143</v>
      </c>
      <c r="E43" s="7" t="s">
        <v>144</v>
      </c>
      <c r="F43" s="30" t="s">
        <v>145</v>
      </c>
      <c r="G43" s="15" t="s">
        <v>109</v>
      </c>
      <c r="H43" s="98" t="s">
        <v>146</v>
      </c>
      <c r="I43" s="32">
        <v>18</v>
      </c>
      <c r="J43" s="19">
        <f>I43*VLOOKUP($F43,'Emission Factors'!$A$3:$E$44,5,FALSE)</f>
        <v>332.64895860000001</v>
      </c>
      <c r="K43" s="32"/>
      <c r="L43" s="19">
        <f>K43*VLOOKUP($F43,'Emission Factors'!$A$3:$E$44,5,FALSE)</f>
        <v>0</v>
      </c>
      <c r="M43" s="32">
        <v>150</v>
      </c>
      <c r="N43" s="19">
        <f>M43*VLOOKUP($F43,'Emission Factors'!$A$3:$E$44,5,FALSE)</f>
        <v>2772.0746550000003</v>
      </c>
      <c r="O43" s="32">
        <v>297</v>
      </c>
      <c r="P43" s="19">
        <f>O43*VLOOKUP($F43,'Emission Factors'!$A$3:$E$44,5,FALSE)</f>
        <v>5488.7078169000006</v>
      </c>
      <c r="Q43" s="32">
        <v>188</v>
      </c>
      <c r="R43" s="19">
        <f>Q43*VLOOKUP($F43,'Emission Factors'!$A$3:$E$44,5,FALSE)</f>
        <v>3474.3335676000002</v>
      </c>
      <c r="S43" s="32">
        <v>68.099999999999994</v>
      </c>
      <c r="T43" s="19">
        <f>S43*VLOOKUP($F43,'Emission Factors'!$A$3:$E$44,5,FALSE)</f>
        <v>1258.52189337</v>
      </c>
      <c r="U43" s="32"/>
      <c r="V43" s="19">
        <f>U43*VLOOKUP($F43,'Emission Factors'!$A$3:$E$44,5,FALSE)</f>
        <v>0</v>
      </c>
      <c r="W43" s="32">
        <v>65</v>
      </c>
      <c r="X43" s="19">
        <f>W43*VLOOKUP($F43,'Emission Factors'!$A$3:$E$44,5,FALSE)</f>
        <v>1201.2323504999999</v>
      </c>
      <c r="Y43" s="32">
        <v>182</v>
      </c>
      <c r="Z43" s="19">
        <f>Y43*VLOOKUP($F43,'Emission Factors'!$A$3:$E$44,5,FALSE)</f>
        <v>3363.4505814000004</v>
      </c>
      <c r="AA43" s="32">
        <v>23</v>
      </c>
      <c r="AB43" s="19">
        <f>AA43*VLOOKUP($F43,'Emission Factors'!$A$3:$E$44,5,FALSE)</f>
        <v>425.05144710000002</v>
      </c>
      <c r="AC43" s="32"/>
      <c r="AD43" s="19">
        <f>AC43*VLOOKUP($F43,'Emission Factors'!$A$3:$E$44,5,FALSE)</f>
        <v>0</v>
      </c>
      <c r="AE43" s="32"/>
      <c r="AF43" s="19">
        <f>AE43*VLOOKUP($F43,'Emission Factors'!$A$3:$E$44,5,FALSE)</f>
        <v>0</v>
      </c>
      <c r="AG43" s="19">
        <f t="shared" si="0"/>
        <v>18316.021270470002</v>
      </c>
      <c r="AH43" s="32"/>
      <c r="AI43" s="32"/>
      <c r="AJ43" s="32"/>
      <c r="AK43" s="32"/>
    </row>
    <row r="44" spans="1:37" s="2" customFormat="1" ht="15" customHeight="1" x14ac:dyDescent="0.25">
      <c r="A44" s="102"/>
      <c r="B44" s="105"/>
      <c r="C44" s="107"/>
      <c r="D44" s="108"/>
      <c r="E44" s="7" t="s">
        <v>147</v>
      </c>
      <c r="F44" s="30" t="s">
        <v>148</v>
      </c>
      <c r="G44" s="15" t="s">
        <v>109</v>
      </c>
      <c r="H44" s="98"/>
      <c r="I44" s="32">
        <v>23</v>
      </c>
      <c r="J44" s="19">
        <f>I44*VLOOKUP($F44,'Emission Factors'!$A$3:$E$44,5,FALSE)</f>
        <v>1675.5651248000001</v>
      </c>
      <c r="K44" s="32"/>
      <c r="L44" s="19">
        <f>K44*VLOOKUP($F44,'Emission Factors'!$A$3:$E$44,5,FALSE)</f>
        <v>0</v>
      </c>
      <c r="M44" s="32">
        <v>52.4</v>
      </c>
      <c r="N44" s="19">
        <f>M44*VLOOKUP($F44,'Emission Factors'!$A$3:$E$44,5,FALSE)</f>
        <v>3817.37445824</v>
      </c>
      <c r="O44" s="32">
        <v>70</v>
      </c>
      <c r="P44" s="19">
        <f>O44*VLOOKUP($F44,'Emission Factors'!$A$3:$E$44,5,FALSE)</f>
        <v>5099.5460320000002</v>
      </c>
      <c r="Q44" s="32">
        <v>52</v>
      </c>
      <c r="R44" s="19">
        <f>Q44*VLOOKUP($F44,'Emission Factors'!$A$3:$E$44,5,FALSE)</f>
        <v>3788.2341952000002</v>
      </c>
      <c r="S44" s="32"/>
      <c r="T44" s="19">
        <f>S44*VLOOKUP($F44,'Emission Factors'!$A$3:$E$44,5,FALSE)</f>
        <v>0</v>
      </c>
      <c r="U44" s="32"/>
      <c r="V44" s="19">
        <f>U44*VLOOKUP($F44,'Emission Factors'!$A$3:$E$44,5,FALSE)</f>
        <v>0</v>
      </c>
      <c r="W44" s="32">
        <v>22</v>
      </c>
      <c r="X44" s="19">
        <f>W44*VLOOKUP($F44,'Emission Factors'!$A$3:$E$44,5,FALSE)</f>
        <v>1602.7144672000002</v>
      </c>
      <c r="Y44" s="32">
        <v>21</v>
      </c>
      <c r="Z44" s="19">
        <f>Y44*VLOOKUP($F44,'Emission Factors'!$A$3:$E$44,5,FALSE)</f>
        <v>1529.8638096000002</v>
      </c>
      <c r="AA44" s="32"/>
      <c r="AB44" s="19">
        <f>AA44*VLOOKUP($F44,'Emission Factors'!$A$3:$E$44,5,FALSE)</f>
        <v>0</v>
      </c>
      <c r="AC44" s="32"/>
      <c r="AD44" s="19">
        <f>AC44*VLOOKUP($F44,'Emission Factors'!$A$3:$E$44,5,FALSE)</f>
        <v>0</v>
      </c>
      <c r="AE44" s="32"/>
      <c r="AF44" s="19">
        <f>AE44*VLOOKUP($F44,'Emission Factors'!$A$3:$E$44,5,FALSE)</f>
        <v>0</v>
      </c>
      <c r="AG44" s="19">
        <f t="shared" si="0"/>
        <v>17513.298087040002</v>
      </c>
      <c r="AH44" s="32"/>
      <c r="AI44" s="32"/>
      <c r="AJ44" s="32"/>
      <c r="AK44" s="32"/>
    </row>
    <row r="45" spans="1:37" s="2" customFormat="1" ht="15" customHeight="1" x14ac:dyDescent="0.25">
      <c r="A45" s="102"/>
      <c r="B45" s="105"/>
      <c r="C45" s="107"/>
      <c r="D45" s="108"/>
      <c r="E45" s="7" t="s">
        <v>149</v>
      </c>
      <c r="F45" s="30" t="s">
        <v>150</v>
      </c>
      <c r="G45" s="15" t="s">
        <v>109</v>
      </c>
      <c r="H45" s="98"/>
      <c r="I45" s="32"/>
      <c r="J45" s="19">
        <f>I45*VLOOKUP($F45,'Emission Factors'!$A$3:$E$44,5,FALSE)</f>
        <v>0</v>
      </c>
      <c r="K45" s="32"/>
      <c r="L45" s="19">
        <f>K45*VLOOKUP($F45,'Emission Factors'!$A$3:$E$44,5,FALSE)</f>
        <v>0</v>
      </c>
      <c r="M45" s="32"/>
      <c r="N45" s="19">
        <f>M45*VLOOKUP($F45,'Emission Factors'!$A$3:$E$44,5,FALSE)</f>
        <v>0</v>
      </c>
      <c r="O45" s="32"/>
      <c r="P45" s="19">
        <f>O45*VLOOKUP($F45,'Emission Factors'!$A$3:$E$44,5,FALSE)</f>
        <v>0</v>
      </c>
      <c r="Q45" s="32"/>
      <c r="R45" s="19">
        <f>Q45*VLOOKUP($F45,'Emission Factors'!$A$3:$E$44,5,FALSE)</f>
        <v>0</v>
      </c>
      <c r="S45" s="32"/>
      <c r="T45" s="19">
        <f>S45*VLOOKUP($F45,'Emission Factors'!$A$3:$E$44,5,FALSE)</f>
        <v>0</v>
      </c>
      <c r="U45" s="32"/>
      <c r="V45" s="19">
        <f>U45*VLOOKUP($F45,'Emission Factors'!$A$3:$E$44,5,FALSE)</f>
        <v>0</v>
      </c>
      <c r="W45" s="32"/>
      <c r="X45" s="19">
        <f>W45*VLOOKUP($F45,'Emission Factors'!$A$3:$E$44,5,FALSE)</f>
        <v>0</v>
      </c>
      <c r="Y45" s="32"/>
      <c r="Z45" s="19">
        <f>Y45*VLOOKUP($F45,'Emission Factors'!$A$3:$E$44,5,FALSE)</f>
        <v>0</v>
      </c>
      <c r="AA45" s="32"/>
      <c r="AB45" s="19">
        <f>AA45*VLOOKUP($F45,'Emission Factors'!$A$3:$E$44,5,FALSE)</f>
        <v>0</v>
      </c>
      <c r="AC45" s="32">
        <v>12</v>
      </c>
      <c r="AD45" s="19">
        <f>AC45*VLOOKUP($F45,'Emission Factors'!$A$3:$E$44,5,FALSE)</f>
        <v>1606.9998000000001</v>
      </c>
      <c r="AE45" s="32"/>
      <c r="AF45" s="19">
        <f>AE45*VLOOKUP($F45,'Emission Factors'!$A$3:$E$44,5,FALSE)</f>
        <v>0</v>
      </c>
      <c r="AG45" s="19">
        <f t="shared" si="0"/>
        <v>1606.9998000000001</v>
      </c>
      <c r="AH45" s="32"/>
      <c r="AI45" s="32"/>
      <c r="AJ45" s="32"/>
      <c r="AK45" s="32"/>
    </row>
    <row r="46" spans="1:37" s="2" customFormat="1" ht="15" customHeight="1" x14ac:dyDescent="0.25">
      <c r="A46" s="102"/>
      <c r="B46" s="105"/>
      <c r="C46" s="107"/>
      <c r="D46" s="108"/>
      <c r="E46" s="7" t="s">
        <v>151</v>
      </c>
      <c r="F46" s="30" t="s">
        <v>152</v>
      </c>
      <c r="G46" s="15" t="s">
        <v>109</v>
      </c>
      <c r="H46" s="98"/>
      <c r="I46" s="32"/>
      <c r="J46" s="19">
        <f>I46*VLOOKUP($F46,'Emission Factors'!$A$3:$E$44,5,FALSE)</f>
        <v>0</v>
      </c>
      <c r="K46" s="32"/>
      <c r="L46" s="19">
        <f>K46*VLOOKUP($F46,'Emission Factors'!$A$3:$E$44,5,FALSE)</f>
        <v>0</v>
      </c>
      <c r="M46" s="32">
        <v>20</v>
      </c>
      <c r="N46" s="19">
        <f>M46*VLOOKUP($F46,'Emission Factors'!$A$3:$E$44,5,FALSE)</f>
        <v>4928.1327199999996</v>
      </c>
      <c r="O46" s="32"/>
      <c r="P46" s="19">
        <f>O46*VLOOKUP($F46,'Emission Factors'!$A$3:$E$44,5,FALSE)</f>
        <v>0</v>
      </c>
      <c r="Q46" s="32"/>
      <c r="R46" s="19">
        <f>Q46*VLOOKUP($F46,'Emission Factors'!$A$3:$E$44,5,FALSE)</f>
        <v>0</v>
      </c>
      <c r="S46" s="32"/>
      <c r="T46" s="19">
        <f>S46*VLOOKUP($F46,'Emission Factors'!$A$3:$E$44,5,FALSE)</f>
        <v>0</v>
      </c>
      <c r="U46" s="32"/>
      <c r="V46" s="19">
        <f>U46*VLOOKUP($F46,'Emission Factors'!$A$3:$E$44,5,FALSE)</f>
        <v>0</v>
      </c>
      <c r="W46" s="32"/>
      <c r="X46" s="19">
        <f>W46*VLOOKUP($F46,'Emission Factors'!$A$3:$E$44,5,FALSE)</f>
        <v>0</v>
      </c>
      <c r="Y46" s="32"/>
      <c r="Z46" s="19">
        <f>Y46*VLOOKUP($F46,'Emission Factors'!$A$3:$E$44,5,FALSE)</f>
        <v>0</v>
      </c>
      <c r="AA46" s="32"/>
      <c r="AB46" s="19">
        <f>AA46*VLOOKUP($F46,'Emission Factors'!$A$3:$E$44,5,FALSE)</f>
        <v>0</v>
      </c>
      <c r="AC46" s="32"/>
      <c r="AD46" s="19">
        <f>AC46*VLOOKUP($F46,'Emission Factors'!$A$3:$E$44,5,FALSE)</f>
        <v>0</v>
      </c>
      <c r="AE46" s="32"/>
      <c r="AF46" s="19">
        <f>AE46*VLOOKUP($F46,'Emission Factors'!$A$3:$E$44,5,FALSE)</f>
        <v>0</v>
      </c>
      <c r="AG46" s="19">
        <f t="shared" si="0"/>
        <v>4928.1327199999996</v>
      </c>
      <c r="AH46" s="32"/>
      <c r="AI46" s="32"/>
      <c r="AJ46" s="32"/>
      <c r="AK46" s="32"/>
    </row>
    <row r="47" spans="1:37" s="2" customFormat="1" ht="15" customHeight="1" x14ac:dyDescent="0.25">
      <c r="A47" s="102"/>
      <c r="B47" s="105"/>
      <c r="C47" s="107"/>
      <c r="D47" s="108"/>
      <c r="E47" s="7" t="s">
        <v>153</v>
      </c>
      <c r="F47" s="30" t="s">
        <v>154</v>
      </c>
      <c r="G47" s="15" t="s">
        <v>109</v>
      </c>
      <c r="H47" s="98"/>
      <c r="I47" s="32"/>
      <c r="J47" s="19">
        <f>I47*VLOOKUP($F47,'Emission Factors'!$A$3:$E$44,5,FALSE)</f>
        <v>0</v>
      </c>
      <c r="K47" s="32"/>
      <c r="L47" s="19">
        <f>K47*VLOOKUP($F47,'Emission Factors'!$A$3:$E$44,5,FALSE)</f>
        <v>0</v>
      </c>
      <c r="M47" s="32"/>
      <c r="N47" s="19">
        <f>M47*VLOOKUP($F47,'Emission Factors'!$A$3:$E$44,5,FALSE)</f>
        <v>0</v>
      </c>
      <c r="O47" s="32"/>
      <c r="P47" s="19">
        <f>O47*VLOOKUP($F47,'Emission Factors'!$A$3:$E$44,5,FALSE)</f>
        <v>0</v>
      </c>
      <c r="Q47" s="32"/>
      <c r="R47" s="19">
        <f>Q47*VLOOKUP($F47,'Emission Factors'!$A$3:$E$44,5,FALSE)</f>
        <v>0</v>
      </c>
      <c r="S47" s="32">
        <v>14</v>
      </c>
      <c r="T47" s="19">
        <f>S47*VLOOKUP($F47,'Emission Factors'!$A$3:$E$44,5,FALSE)</f>
        <v>6348.1848765999994</v>
      </c>
      <c r="U47" s="32"/>
      <c r="V47" s="19">
        <f>U47*VLOOKUP($F47,'Emission Factors'!$A$3:$E$44,5,FALSE)</f>
        <v>0</v>
      </c>
      <c r="W47" s="32"/>
      <c r="X47" s="19">
        <f>W47*VLOOKUP($F47,'Emission Factors'!$A$3:$E$44,5,FALSE)</f>
        <v>0</v>
      </c>
      <c r="Y47" s="32"/>
      <c r="Z47" s="19">
        <f>Y47*VLOOKUP($F47,'Emission Factors'!$A$3:$E$44,5,FALSE)</f>
        <v>0</v>
      </c>
      <c r="AA47" s="32"/>
      <c r="AB47" s="19">
        <f>AA47*VLOOKUP($F47,'Emission Factors'!$A$3:$E$44,5,FALSE)</f>
        <v>0</v>
      </c>
      <c r="AC47" s="32"/>
      <c r="AD47" s="19">
        <f>AC47*VLOOKUP($F47,'Emission Factors'!$A$3:$E$44,5,FALSE)</f>
        <v>0</v>
      </c>
      <c r="AE47" s="32"/>
      <c r="AF47" s="19">
        <f>AE47*VLOOKUP($F47,'Emission Factors'!$A$3:$E$44,5,FALSE)</f>
        <v>0</v>
      </c>
      <c r="AG47" s="19">
        <f t="shared" si="0"/>
        <v>6348.1848765999994</v>
      </c>
      <c r="AH47" s="32"/>
      <c r="AI47" s="32"/>
      <c r="AJ47" s="32"/>
      <c r="AK47" s="32"/>
    </row>
    <row r="48" spans="1:37" s="2" customFormat="1" ht="15" customHeight="1" x14ac:dyDescent="0.25">
      <c r="A48" s="102"/>
      <c r="B48" s="105"/>
      <c r="C48" s="107">
        <v>7.3</v>
      </c>
      <c r="D48" s="108" t="s">
        <v>155</v>
      </c>
      <c r="E48" s="7" t="s">
        <v>156</v>
      </c>
      <c r="F48" s="30" t="s">
        <v>157</v>
      </c>
      <c r="G48" s="15" t="s">
        <v>158</v>
      </c>
      <c r="H48" s="98" t="s">
        <v>159</v>
      </c>
      <c r="I48" s="32"/>
      <c r="J48" s="19">
        <f>I48*VLOOKUP($F48,'Emission Factors'!$A$3:$E$44,5,FALSE)</f>
        <v>0</v>
      </c>
      <c r="K48" s="32"/>
      <c r="L48" s="19">
        <f>K48*VLOOKUP($F48,'Emission Factors'!$A$3:$E$44,5,FALSE)</f>
        <v>0</v>
      </c>
      <c r="M48" s="32">
        <v>1</v>
      </c>
      <c r="N48" s="19">
        <f>M48*VLOOKUP($F48,'Emission Factors'!$A$3:$E$44,5,FALSE)</f>
        <v>1830</v>
      </c>
      <c r="O48" s="32">
        <v>3</v>
      </c>
      <c r="P48" s="19">
        <f>O48*VLOOKUP($F48,'Emission Factors'!$A$3:$E$44,5,FALSE)</f>
        <v>5490</v>
      </c>
      <c r="Q48" s="32"/>
      <c r="R48" s="19">
        <f>Q48*VLOOKUP($F48,'Emission Factors'!$A$3:$E$44,5,FALSE)</f>
        <v>0</v>
      </c>
      <c r="S48" s="32">
        <v>1</v>
      </c>
      <c r="T48" s="19">
        <f>S48*VLOOKUP($F48,'Emission Factors'!$A$3:$E$44,5,FALSE)</f>
        <v>1830</v>
      </c>
      <c r="U48" s="32"/>
      <c r="V48" s="19">
        <f>U48*VLOOKUP($F48,'Emission Factors'!$A$3:$E$44,5,FALSE)</f>
        <v>0</v>
      </c>
      <c r="W48" s="32"/>
      <c r="X48" s="19">
        <f>W48*VLOOKUP($F48,'Emission Factors'!$A$3:$E$44,5,FALSE)</f>
        <v>0</v>
      </c>
      <c r="Y48" s="32"/>
      <c r="Z48" s="19">
        <f>Y48*VLOOKUP($F48,'Emission Factors'!$A$3:$E$44,5,FALSE)</f>
        <v>0</v>
      </c>
      <c r="AA48" s="32"/>
      <c r="AB48" s="19">
        <f>AA48*VLOOKUP($F48,'Emission Factors'!$A$3:$E$44,5,FALSE)</f>
        <v>0</v>
      </c>
      <c r="AC48" s="32"/>
      <c r="AD48" s="19">
        <f>AC48*VLOOKUP($F48,'Emission Factors'!$A$3:$E$44,5,FALSE)</f>
        <v>0</v>
      </c>
      <c r="AE48" s="32"/>
      <c r="AF48" s="19">
        <f>AE48*VLOOKUP($F48,'Emission Factors'!$A$3:$E$44,5,FALSE)</f>
        <v>0</v>
      </c>
      <c r="AG48" s="19">
        <f t="shared" si="0"/>
        <v>9150</v>
      </c>
      <c r="AH48" s="32"/>
      <c r="AI48" s="32"/>
      <c r="AJ48" s="32"/>
      <c r="AK48" s="32"/>
    </row>
    <row r="49" spans="1:37" s="2" customFormat="1" ht="15" customHeight="1" x14ac:dyDescent="0.25">
      <c r="A49" s="102"/>
      <c r="B49" s="105"/>
      <c r="C49" s="107"/>
      <c r="D49" s="108"/>
      <c r="E49" s="7" t="s">
        <v>160</v>
      </c>
      <c r="F49" s="30" t="s">
        <v>161</v>
      </c>
      <c r="G49" s="15" t="s">
        <v>158</v>
      </c>
      <c r="H49" s="98"/>
      <c r="I49" s="32"/>
      <c r="J49" s="19">
        <f>I49*VLOOKUP($F49,'Emission Factors'!$A$3:$E$44,5,FALSE)</f>
        <v>0</v>
      </c>
      <c r="K49" s="32"/>
      <c r="L49" s="19">
        <f>K49*VLOOKUP($F49,'Emission Factors'!$A$3:$E$44,5,FALSE)</f>
        <v>0</v>
      </c>
      <c r="M49" s="32"/>
      <c r="N49" s="19">
        <f>M49*VLOOKUP($F49,'Emission Factors'!$A$3:$E$44,5,FALSE)</f>
        <v>0</v>
      </c>
      <c r="O49" s="32"/>
      <c r="P49" s="19">
        <f>O49*VLOOKUP($F49,'Emission Factors'!$A$3:$E$44,5,FALSE)</f>
        <v>0</v>
      </c>
      <c r="Q49" s="32"/>
      <c r="R49" s="19">
        <f>Q49*VLOOKUP($F49,'Emission Factors'!$A$3:$E$44,5,FALSE)</f>
        <v>0</v>
      </c>
      <c r="S49" s="32"/>
      <c r="T49" s="19">
        <f>S49*VLOOKUP($F49,'Emission Factors'!$A$3:$E$44,5,FALSE)</f>
        <v>0</v>
      </c>
      <c r="U49" s="32"/>
      <c r="V49" s="19">
        <f>U49*VLOOKUP($F49,'Emission Factors'!$A$3:$E$44,5,FALSE)</f>
        <v>0</v>
      </c>
      <c r="W49" s="32"/>
      <c r="X49" s="19">
        <f>W49*VLOOKUP($F49,'Emission Factors'!$A$3:$E$44,5,FALSE)</f>
        <v>0</v>
      </c>
      <c r="Y49" s="32"/>
      <c r="Z49" s="19">
        <f>Y49*VLOOKUP($F49,'Emission Factors'!$A$3:$E$44,5,FALSE)</f>
        <v>0</v>
      </c>
      <c r="AA49" s="32"/>
      <c r="AB49" s="19">
        <f>AA49*VLOOKUP($F49,'Emission Factors'!$A$3:$E$44,5,FALSE)</f>
        <v>0</v>
      </c>
      <c r="AC49" s="32"/>
      <c r="AD49" s="19">
        <f>AC49*VLOOKUP($F49,'Emission Factors'!$A$3:$E$44,5,FALSE)</f>
        <v>0</v>
      </c>
      <c r="AE49" s="32"/>
      <c r="AF49" s="19">
        <f>AE49*VLOOKUP($F49,'Emission Factors'!$A$3:$E$44,5,FALSE)</f>
        <v>0</v>
      </c>
      <c r="AG49" s="19">
        <f t="shared" si="0"/>
        <v>0</v>
      </c>
      <c r="AH49" s="32"/>
      <c r="AI49" s="32"/>
      <c r="AJ49" s="32"/>
      <c r="AK49" s="32"/>
    </row>
    <row r="50" spans="1:37" s="2" customFormat="1" ht="15" customHeight="1" x14ac:dyDescent="0.25">
      <c r="A50" s="102"/>
      <c r="B50" s="105"/>
      <c r="C50" s="107"/>
      <c r="D50" s="108"/>
      <c r="E50" s="7" t="s">
        <v>162</v>
      </c>
      <c r="F50" s="30" t="s">
        <v>163</v>
      </c>
      <c r="G50" s="15" t="s">
        <v>158</v>
      </c>
      <c r="H50" s="98"/>
      <c r="I50" s="32"/>
      <c r="J50" s="19">
        <f>I50*VLOOKUP($F50,'Emission Factors'!$A$3:$E$44,5,FALSE)</f>
        <v>0</v>
      </c>
      <c r="K50" s="32"/>
      <c r="L50" s="19">
        <f>K50*VLOOKUP($F50,'Emission Factors'!$A$3:$E$44,5,FALSE)</f>
        <v>0</v>
      </c>
      <c r="M50" s="32"/>
      <c r="N50" s="19">
        <f>M50*VLOOKUP($F50,'Emission Factors'!$A$3:$E$44,5,FALSE)</f>
        <v>0</v>
      </c>
      <c r="O50" s="32"/>
      <c r="P50" s="19">
        <f>O50*VLOOKUP($F50,'Emission Factors'!$A$3:$E$44,5,FALSE)</f>
        <v>0</v>
      </c>
      <c r="Q50" s="32"/>
      <c r="R50" s="19">
        <f>Q50*VLOOKUP($F50,'Emission Factors'!$A$3:$E$44,5,FALSE)</f>
        <v>0</v>
      </c>
      <c r="S50" s="32"/>
      <c r="T50" s="19">
        <f>S50*VLOOKUP($F50,'Emission Factors'!$A$3:$E$44,5,FALSE)</f>
        <v>0</v>
      </c>
      <c r="U50" s="32"/>
      <c r="V50" s="19">
        <f>U50*VLOOKUP($F50,'Emission Factors'!$A$3:$E$44,5,FALSE)</f>
        <v>0</v>
      </c>
      <c r="W50" s="32"/>
      <c r="X50" s="19">
        <f>W50*VLOOKUP($F50,'Emission Factors'!$A$3:$E$44,5,FALSE)</f>
        <v>0</v>
      </c>
      <c r="Y50" s="32"/>
      <c r="Z50" s="19">
        <f>Y50*VLOOKUP($F50,'Emission Factors'!$A$3:$E$44,5,FALSE)</f>
        <v>0</v>
      </c>
      <c r="AA50" s="32"/>
      <c r="AB50" s="19">
        <f>AA50*VLOOKUP($F50,'Emission Factors'!$A$3:$E$44,5,FALSE)</f>
        <v>0</v>
      </c>
      <c r="AC50" s="32"/>
      <c r="AD50" s="19">
        <f>AC50*VLOOKUP($F50,'Emission Factors'!$A$3:$E$44,5,FALSE)</f>
        <v>0</v>
      </c>
      <c r="AE50" s="32"/>
      <c r="AF50" s="19">
        <f>AE50*VLOOKUP($F50,'Emission Factors'!$A$3:$E$44,5,FALSE)</f>
        <v>0</v>
      </c>
      <c r="AG50" s="19">
        <f t="shared" si="0"/>
        <v>0</v>
      </c>
      <c r="AH50" s="32"/>
      <c r="AI50" s="32"/>
      <c r="AJ50" s="32"/>
      <c r="AK50" s="32"/>
    </row>
    <row r="51" spans="1:37" s="2" customFormat="1" ht="15" customHeight="1" x14ac:dyDescent="0.25">
      <c r="A51" s="102"/>
      <c r="B51" s="105"/>
      <c r="C51" s="107"/>
      <c r="D51" s="108"/>
      <c r="E51" s="7" t="s">
        <v>164</v>
      </c>
      <c r="F51" s="30" t="s">
        <v>165</v>
      </c>
      <c r="G51" s="15" t="s">
        <v>158</v>
      </c>
      <c r="H51" s="98"/>
      <c r="I51" s="32"/>
      <c r="J51" s="19">
        <f>I51*VLOOKUP($F51,'Emission Factors'!$A$3:$E$44,5,FALSE)</f>
        <v>0</v>
      </c>
      <c r="K51" s="32"/>
      <c r="L51" s="19">
        <f>K51*VLOOKUP($F51,'Emission Factors'!$A$3:$E$44,5,FALSE)</f>
        <v>0</v>
      </c>
      <c r="M51" s="32"/>
      <c r="N51" s="19">
        <f>M51*VLOOKUP($F51,'Emission Factors'!$A$3:$E$44,5,FALSE)</f>
        <v>0</v>
      </c>
      <c r="O51" s="32"/>
      <c r="P51" s="19">
        <f>O51*VLOOKUP($F51,'Emission Factors'!$A$3:$E$44,5,FALSE)</f>
        <v>0</v>
      </c>
      <c r="Q51" s="32"/>
      <c r="R51" s="19">
        <f>Q51*VLOOKUP($F51,'Emission Factors'!$A$3:$E$44,5,FALSE)</f>
        <v>0</v>
      </c>
      <c r="S51" s="32"/>
      <c r="T51" s="19">
        <f>S51*VLOOKUP($F51,'Emission Factors'!$A$3:$E$44,5,FALSE)</f>
        <v>0</v>
      </c>
      <c r="U51" s="32"/>
      <c r="V51" s="19">
        <f>U51*VLOOKUP($F51,'Emission Factors'!$A$3:$E$44,5,FALSE)</f>
        <v>0</v>
      </c>
      <c r="W51" s="32"/>
      <c r="X51" s="19">
        <f>W51*VLOOKUP($F51,'Emission Factors'!$A$3:$E$44,5,FALSE)</f>
        <v>0</v>
      </c>
      <c r="Y51" s="32"/>
      <c r="Z51" s="19">
        <f>Y51*VLOOKUP($F51,'Emission Factors'!$A$3:$E$44,5,FALSE)</f>
        <v>0</v>
      </c>
      <c r="AA51" s="32"/>
      <c r="AB51" s="19">
        <f>AA51*VLOOKUP($F51,'Emission Factors'!$A$3:$E$44,5,FALSE)</f>
        <v>0</v>
      </c>
      <c r="AC51" s="32"/>
      <c r="AD51" s="19">
        <f>AC51*VLOOKUP($F51,'Emission Factors'!$A$3:$E$44,5,FALSE)</f>
        <v>0</v>
      </c>
      <c r="AE51" s="32"/>
      <c r="AF51" s="19">
        <f>AE51*VLOOKUP($F51,'Emission Factors'!$A$3:$E$44,5,FALSE)</f>
        <v>0</v>
      </c>
      <c r="AG51" s="19">
        <f t="shared" si="0"/>
        <v>0</v>
      </c>
      <c r="AH51" s="32"/>
      <c r="AI51" s="32"/>
      <c r="AJ51" s="32"/>
      <c r="AK51" s="32"/>
    </row>
    <row r="52" spans="1:37" s="2" customFormat="1" ht="15" customHeight="1" x14ac:dyDescent="0.25">
      <c r="A52" s="102"/>
      <c r="B52" s="105"/>
      <c r="C52" s="107"/>
      <c r="D52" s="108"/>
      <c r="E52" s="7" t="s">
        <v>166</v>
      </c>
      <c r="F52" s="30" t="s">
        <v>167</v>
      </c>
      <c r="G52" s="15" t="s">
        <v>158</v>
      </c>
      <c r="H52" s="98"/>
      <c r="I52" s="32"/>
      <c r="J52" s="19">
        <f>I52*VLOOKUP($F52,'Emission Factors'!$A$3:$E$44,5,FALSE)</f>
        <v>0</v>
      </c>
      <c r="K52" s="32"/>
      <c r="L52" s="19">
        <f>K52*VLOOKUP($F52,'Emission Factors'!$A$3:$E$44,5,FALSE)</f>
        <v>0</v>
      </c>
      <c r="M52" s="32"/>
      <c r="N52" s="19">
        <f>M52*VLOOKUP($F52,'Emission Factors'!$A$3:$E$44,5,FALSE)</f>
        <v>0</v>
      </c>
      <c r="O52" s="32"/>
      <c r="P52" s="19">
        <f>O52*VLOOKUP($F52,'Emission Factors'!$A$3:$E$44,5,FALSE)</f>
        <v>0</v>
      </c>
      <c r="Q52" s="32"/>
      <c r="R52" s="19">
        <f>Q52*VLOOKUP($F52,'Emission Factors'!$A$3:$E$44,5,FALSE)</f>
        <v>0</v>
      </c>
      <c r="S52" s="32"/>
      <c r="T52" s="19">
        <f>S52*VLOOKUP($F52,'Emission Factors'!$A$3:$E$44,5,FALSE)</f>
        <v>0</v>
      </c>
      <c r="U52" s="32"/>
      <c r="V52" s="19">
        <f>U52*VLOOKUP($F52,'Emission Factors'!$A$3:$E$44,5,FALSE)</f>
        <v>0</v>
      </c>
      <c r="W52" s="32"/>
      <c r="X52" s="19">
        <f>W52*VLOOKUP($F52,'Emission Factors'!$A$3:$E$44,5,FALSE)</f>
        <v>0</v>
      </c>
      <c r="Y52" s="32"/>
      <c r="Z52" s="19">
        <f>Y52*VLOOKUP($F52,'Emission Factors'!$A$3:$E$44,5,FALSE)</f>
        <v>0</v>
      </c>
      <c r="AA52" s="32"/>
      <c r="AB52" s="19">
        <f>AA52*VLOOKUP($F52,'Emission Factors'!$A$3:$E$44,5,FALSE)</f>
        <v>0</v>
      </c>
      <c r="AC52" s="32"/>
      <c r="AD52" s="19">
        <f>AC52*VLOOKUP($F52,'Emission Factors'!$A$3:$E$44,5,FALSE)</f>
        <v>0</v>
      </c>
      <c r="AE52" s="32"/>
      <c r="AF52" s="19">
        <f>AE52*VLOOKUP($F52,'Emission Factors'!$A$3:$E$44,5,FALSE)</f>
        <v>0</v>
      </c>
      <c r="AG52" s="19">
        <f t="shared" si="0"/>
        <v>0</v>
      </c>
      <c r="AH52" s="32"/>
      <c r="AI52" s="32"/>
      <c r="AJ52" s="32"/>
      <c r="AK52" s="32"/>
    </row>
    <row r="53" spans="1:37" s="2" customFormat="1" ht="15" customHeight="1" x14ac:dyDescent="0.25">
      <c r="A53" s="102"/>
      <c r="B53" s="105"/>
      <c r="C53" s="107">
        <v>7.4</v>
      </c>
      <c r="D53" s="108" t="s">
        <v>168</v>
      </c>
      <c r="E53" s="7" t="s">
        <v>169</v>
      </c>
      <c r="F53" s="7" t="s">
        <v>170</v>
      </c>
      <c r="G53" s="15" t="s">
        <v>171</v>
      </c>
      <c r="H53" s="28" t="s">
        <v>172</v>
      </c>
      <c r="I53" s="32"/>
      <c r="J53" s="20"/>
      <c r="K53" s="32"/>
      <c r="L53" s="20"/>
      <c r="M53" s="32"/>
      <c r="N53" s="20"/>
      <c r="O53" s="32"/>
      <c r="P53" s="20"/>
      <c r="Q53" s="32"/>
      <c r="R53" s="20"/>
      <c r="S53" s="32"/>
      <c r="T53" s="20"/>
      <c r="U53" s="32"/>
      <c r="V53" s="20"/>
      <c r="W53" s="32"/>
      <c r="X53" s="20"/>
      <c r="Y53" s="32"/>
      <c r="Z53" s="20"/>
      <c r="AA53" s="32"/>
      <c r="AB53" s="20"/>
      <c r="AC53" s="32"/>
      <c r="AD53" s="20"/>
      <c r="AE53" s="32"/>
      <c r="AF53" s="20"/>
      <c r="AG53" s="20"/>
      <c r="AH53" s="32"/>
      <c r="AI53" s="32"/>
      <c r="AJ53" s="32"/>
      <c r="AK53" s="32"/>
    </row>
    <row r="54" spans="1:37" s="2" customFormat="1" ht="15" customHeight="1" x14ac:dyDescent="0.25">
      <c r="A54" s="102"/>
      <c r="B54" s="105"/>
      <c r="C54" s="107"/>
      <c r="D54" s="108"/>
      <c r="E54" s="7" t="s">
        <v>173</v>
      </c>
      <c r="F54" s="7" t="s">
        <v>174</v>
      </c>
      <c r="G54" s="15" t="s">
        <v>82</v>
      </c>
      <c r="H54" s="28" t="s">
        <v>175</v>
      </c>
      <c r="I54" s="32"/>
      <c r="J54" s="26">
        <f>I54*VLOOKUP(LEFT($F54, 8), 'Emission Factors'!$A$3:$E$44, 5, FALSE)*1000</f>
        <v>0</v>
      </c>
      <c r="K54" s="32"/>
      <c r="L54" s="26">
        <f>K54*VLOOKUP(LEFT($F54, 8), 'Emission Factors'!$A$3:$E$44, 5, FALSE)*1000</f>
        <v>0</v>
      </c>
      <c r="M54" s="32"/>
      <c r="N54" s="26">
        <f>M54*VLOOKUP(LEFT($F54, 8), 'Emission Factors'!$A$3:$E$44, 5, FALSE)*1000</f>
        <v>0</v>
      </c>
      <c r="O54" s="32"/>
      <c r="P54" s="26">
        <f>O54*VLOOKUP(LEFT($F54, 8), 'Emission Factors'!$A$3:$E$44, 5, FALSE)*1000</f>
        <v>0</v>
      </c>
      <c r="Q54" s="32"/>
      <c r="R54" s="26">
        <f>Q54*VLOOKUP(LEFT($F54, 8), 'Emission Factors'!$A$3:$E$44, 5, FALSE)*1000</f>
        <v>0</v>
      </c>
      <c r="S54" s="32"/>
      <c r="T54" s="26">
        <f>S54*VLOOKUP(LEFT($F54, 8), 'Emission Factors'!$A$3:$E$44, 5, FALSE)*1000</f>
        <v>0</v>
      </c>
      <c r="U54" s="32"/>
      <c r="V54" s="26">
        <f>U54*VLOOKUP(LEFT($F54, 8), 'Emission Factors'!$A$3:$E$44, 5, FALSE)*1000</f>
        <v>0</v>
      </c>
      <c r="W54" s="32"/>
      <c r="X54" s="26">
        <f>W54*VLOOKUP(LEFT($F54, 8), 'Emission Factors'!$A$3:$E$44, 5, FALSE)*1000</f>
        <v>0</v>
      </c>
      <c r="Y54" s="32"/>
      <c r="Z54" s="26">
        <f>Y54*VLOOKUP(LEFT($F54, 8), 'Emission Factors'!$A$3:$E$44, 5, FALSE)*1000</f>
        <v>0</v>
      </c>
      <c r="AA54" s="32"/>
      <c r="AB54" s="26">
        <f>AA54*VLOOKUP(LEFT($F54, 8), 'Emission Factors'!$A$3:$E$44, 5, FALSE)*1000</f>
        <v>0</v>
      </c>
      <c r="AC54" s="32"/>
      <c r="AD54" s="26">
        <f>AC54*VLOOKUP(LEFT($F54, 8), 'Emission Factors'!$A$3:$E$44, 5, FALSE)*1000</f>
        <v>0</v>
      </c>
      <c r="AE54" s="32"/>
      <c r="AF54" s="26">
        <f>AE54*VLOOKUP(LEFT($F54, 8), 'Emission Factors'!$A$3:$E$44, 5, FALSE)*1000</f>
        <v>0</v>
      </c>
      <c r="AG54" s="26">
        <f t="shared" si="0"/>
        <v>0</v>
      </c>
      <c r="AH54" s="32"/>
      <c r="AI54" s="32"/>
      <c r="AJ54" s="32"/>
      <c r="AK54" s="32"/>
    </row>
    <row r="55" spans="1:37" s="2" customFormat="1" ht="15" customHeight="1" x14ac:dyDescent="0.25">
      <c r="A55" s="102"/>
      <c r="B55" s="105"/>
      <c r="C55" s="107">
        <v>7</v>
      </c>
      <c r="D55" s="108" t="s">
        <v>176</v>
      </c>
      <c r="E55" s="7" t="s">
        <v>177</v>
      </c>
      <c r="F55" s="7" t="s">
        <v>170</v>
      </c>
      <c r="G55" s="15" t="s">
        <v>171</v>
      </c>
      <c r="H55" s="28" t="s">
        <v>172</v>
      </c>
      <c r="I55" s="32"/>
      <c r="J55" s="20"/>
      <c r="K55" s="32"/>
      <c r="L55" s="20"/>
      <c r="M55" s="32"/>
      <c r="N55" s="20"/>
      <c r="O55" s="32"/>
      <c r="P55" s="20"/>
      <c r="Q55" s="32"/>
      <c r="R55" s="20"/>
      <c r="S55" s="32"/>
      <c r="T55" s="20"/>
      <c r="U55" s="32"/>
      <c r="V55" s="20"/>
      <c r="W55" s="32"/>
      <c r="X55" s="20"/>
      <c r="Y55" s="32"/>
      <c r="Z55" s="20"/>
      <c r="AA55" s="32"/>
      <c r="AB55" s="20"/>
      <c r="AC55" s="32"/>
      <c r="AD55" s="20"/>
      <c r="AE55" s="32"/>
      <c r="AF55" s="20"/>
      <c r="AG55" s="20"/>
      <c r="AH55" s="32"/>
      <c r="AI55" s="32"/>
      <c r="AJ55" s="32"/>
      <c r="AK55" s="32"/>
    </row>
    <row r="56" spans="1:37" s="2" customFormat="1" ht="15" customHeight="1" x14ac:dyDescent="0.25">
      <c r="A56" s="102"/>
      <c r="B56" s="105"/>
      <c r="C56" s="107"/>
      <c r="D56" s="108"/>
      <c r="E56" s="7" t="s">
        <v>178</v>
      </c>
      <c r="F56" s="7" t="s">
        <v>174</v>
      </c>
      <c r="G56" s="15" t="s">
        <v>82</v>
      </c>
      <c r="H56" s="28" t="s">
        <v>175</v>
      </c>
      <c r="I56" s="32"/>
      <c r="J56" s="26">
        <f>I56*VLOOKUP(LEFT($F56, 8), 'Emission Factors'!$A$3:$E$44, 5, FALSE)*1000</f>
        <v>0</v>
      </c>
      <c r="K56" s="32"/>
      <c r="L56" s="26">
        <f>K56*VLOOKUP(LEFT($F56, 8), 'Emission Factors'!$A$3:$E$44, 5, FALSE)*1000</f>
        <v>0</v>
      </c>
      <c r="M56" s="32"/>
      <c r="N56" s="26">
        <f>M56*VLOOKUP(LEFT($F56, 8), 'Emission Factors'!$A$3:$E$44, 5, FALSE)*1000</f>
        <v>0</v>
      </c>
      <c r="O56" s="32"/>
      <c r="P56" s="26">
        <f>O56*VLOOKUP(LEFT($F56, 8), 'Emission Factors'!$A$3:$E$44, 5, FALSE)*1000</f>
        <v>0</v>
      </c>
      <c r="Q56" s="32"/>
      <c r="R56" s="26">
        <f>Q56*VLOOKUP(LEFT($F56, 8), 'Emission Factors'!$A$3:$E$44, 5, FALSE)*1000</f>
        <v>0</v>
      </c>
      <c r="S56" s="32"/>
      <c r="T56" s="26">
        <f>S56*VLOOKUP(LEFT($F56, 8), 'Emission Factors'!$A$3:$E$44, 5, FALSE)*1000</f>
        <v>0</v>
      </c>
      <c r="U56" s="32"/>
      <c r="V56" s="26">
        <f>U56*VLOOKUP(LEFT($F56, 8), 'Emission Factors'!$A$3:$E$44, 5, FALSE)*1000</f>
        <v>0</v>
      </c>
      <c r="W56" s="32"/>
      <c r="X56" s="26">
        <f>W56*VLOOKUP(LEFT($F56, 8), 'Emission Factors'!$A$3:$E$44, 5, FALSE)*1000</f>
        <v>0</v>
      </c>
      <c r="Y56" s="32"/>
      <c r="Z56" s="26">
        <f>Y56*VLOOKUP(LEFT($F56, 8), 'Emission Factors'!$A$3:$E$44, 5, FALSE)*1000</f>
        <v>0</v>
      </c>
      <c r="AA56" s="32"/>
      <c r="AB56" s="26">
        <f>AA56*VLOOKUP(LEFT($F56, 8), 'Emission Factors'!$A$3:$E$44, 5, FALSE)*1000</f>
        <v>0</v>
      </c>
      <c r="AC56" s="32"/>
      <c r="AD56" s="26">
        <f>AC56*VLOOKUP(LEFT($F56, 8), 'Emission Factors'!$A$3:$E$44, 5, FALSE)*1000</f>
        <v>0</v>
      </c>
      <c r="AE56" s="32"/>
      <c r="AF56" s="26">
        <f>AE56*VLOOKUP(LEFT($F56, 8), 'Emission Factors'!$A$3:$E$44, 5, FALSE)*1000</f>
        <v>0</v>
      </c>
      <c r="AG56" s="26">
        <f t="shared" si="0"/>
        <v>0</v>
      </c>
      <c r="AH56" s="32"/>
      <c r="AI56" s="32"/>
      <c r="AJ56" s="32"/>
      <c r="AK56" s="32"/>
    </row>
    <row r="57" spans="1:37" s="2" customFormat="1" ht="15" customHeight="1" x14ac:dyDescent="0.25">
      <c r="A57" s="102"/>
      <c r="B57" s="105"/>
      <c r="C57" s="107">
        <v>7</v>
      </c>
      <c r="D57" s="108" t="s">
        <v>179</v>
      </c>
      <c r="E57" s="7" t="s">
        <v>180</v>
      </c>
      <c r="F57" s="7" t="s">
        <v>170</v>
      </c>
      <c r="G57" s="15" t="s">
        <v>171</v>
      </c>
      <c r="H57" s="28" t="s">
        <v>172</v>
      </c>
      <c r="I57" s="32"/>
      <c r="J57" s="20"/>
      <c r="K57" s="32"/>
      <c r="L57" s="20"/>
      <c r="M57" s="32"/>
      <c r="N57" s="20"/>
      <c r="O57" s="32"/>
      <c r="P57" s="20"/>
      <c r="Q57" s="32"/>
      <c r="R57" s="20"/>
      <c r="S57" s="32"/>
      <c r="T57" s="20"/>
      <c r="U57" s="32"/>
      <c r="V57" s="20"/>
      <c r="W57" s="32"/>
      <c r="X57" s="20"/>
      <c r="Y57" s="32"/>
      <c r="Z57" s="20"/>
      <c r="AA57" s="32"/>
      <c r="AB57" s="20"/>
      <c r="AC57" s="32"/>
      <c r="AD57" s="20"/>
      <c r="AE57" s="32"/>
      <c r="AF57" s="20"/>
      <c r="AG57" s="20"/>
      <c r="AH57" s="32"/>
      <c r="AI57" s="32"/>
      <c r="AJ57" s="32"/>
      <c r="AK57" s="32"/>
    </row>
    <row r="58" spans="1:37" s="2" customFormat="1" ht="15" customHeight="1" x14ac:dyDescent="0.25">
      <c r="A58" s="102"/>
      <c r="B58" s="105"/>
      <c r="C58" s="107"/>
      <c r="D58" s="108"/>
      <c r="E58" s="7" t="s">
        <v>181</v>
      </c>
      <c r="F58" s="7" t="s">
        <v>174</v>
      </c>
      <c r="G58" s="15" t="s">
        <v>82</v>
      </c>
      <c r="H58" s="28" t="s">
        <v>175</v>
      </c>
      <c r="I58" s="32"/>
      <c r="J58" s="26">
        <f>I58*VLOOKUP(LEFT($F58, 8), 'Emission Factors'!$A$3:$E$44, 5, FALSE)*1000</f>
        <v>0</v>
      </c>
      <c r="K58" s="32"/>
      <c r="L58" s="26">
        <f>K58*VLOOKUP(LEFT($F58, 8), 'Emission Factors'!$A$3:$E$44, 5, FALSE)*1000</f>
        <v>0</v>
      </c>
      <c r="M58" s="32"/>
      <c r="N58" s="26">
        <f>M58*VLOOKUP(LEFT($F58, 8), 'Emission Factors'!$A$3:$E$44, 5, FALSE)*1000</f>
        <v>0</v>
      </c>
      <c r="O58" s="32"/>
      <c r="P58" s="26">
        <f>O58*VLOOKUP(LEFT($F58, 8), 'Emission Factors'!$A$3:$E$44, 5, FALSE)*1000</f>
        <v>0</v>
      </c>
      <c r="Q58" s="32"/>
      <c r="R58" s="26">
        <f>Q58*VLOOKUP(LEFT($F58, 8), 'Emission Factors'!$A$3:$E$44, 5, FALSE)*1000</f>
        <v>0</v>
      </c>
      <c r="S58" s="32"/>
      <c r="T58" s="26">
        <f>S58*VLOOKUP(LEFT($F58, 8), 'Emission Factors'!$A$3:$E$44, 5, FALSE)*1000</f>
        <v>0</v>
      </c>
      <c r="U58" s="32"/>
      <c r="V58" s="26">
        <f>U58*VLOOKUP(LEFT($F58, 8), 'Emission Factors'!$A$3:$E$44, 5, FALSE)*1000</f>
        <v>0</v>
      </c>
      <c r="W58" s="32"/>
      <c r="X58" s="26">
        <f>W58*VLOOKUP(LEFT($F58, 8), 'Emission Factors'!$A$3:$E$44, 5, FALSE)*1000</f>
        <v>0</v>
      </c>
      <c r="Y58" s="32"/>
      <c r="Z58" s="26">
        <f>Y58*VLOOKUP(LEFT($F58, 8), 'Emission Factors'!$A$3:$E$44, 5, FALSE)*1000</f>
        <v>0</v>
      </c>
      <c r="AA58" s="32"/>
      <c r="AB58" s="26">
        <f>AA58*VLOOKUP(LEFT($F58, 8), 'Emission Factors'!$A$3:$E$44, 5, FALSE)*1000</f>
        <v>0</v>
      </c>
      <c r="AC58" s="32"/>
      <c r="AD58" s="26">
        <f>AC58*VLOOKUP(LEFT($F58, 8), 'Emission Factors'!$A$3:$E$44, 5, FALSE)*1000</f>
        <v>0</v>
      </c>
      <c r="AE58" s="32"/>
      <c r="AF58" s="26">
        <f>AE58*VLOOKUP(LEFT($F58, 8), 'Emission Factors'!$A$3:$E$44, 5, FALSE)*1000</f>
        <v>0</v>
      </c>
      <c r="AG58" s="26">
        <f t="shared" si="0"/>
        <v>0</v>
      </c>
      <c r="AH58" s="32"/>
      <c r="AI58" s="32"/>
      <c r="AJ58" s="32"/>
      <c r="AK58" s="32"/>
    </row>
    <row r="59" spans="1:37" s="2" customFormat="1" ht="15" customHeight="1" x14ac:dyDescent="0.25">
      <c r="A59" s="102"/>
      <c r="B59" s="105"/>
      <c r="C59" s="107">
        <v>7</v>
      </c>
      <c r="D59" s="108" t="s">
        <v>182</v>
      </c>
      <c r="E59" s="7" t="s">
        <v>183</v>
      </c>
      <c r="F59" s="7" t="s">
        <v>170</v>
      </c>
      <c r="G59" s="15" t="s">
        <v>171</v>
      </c>
      <c r="H59" s="28" t="s">
        <v>172</v>
      </c>
      <c r="I59" s="32"/>
      <c r="J59" s="20"/>
      <c r="K59" s="32"/>
      <c r="L59" s="20"/>
      <c r="M59" s="32"/>
      <c r="N59" s="20"/>
      <c r="O59" s="32"/>
      <c r="P59" s="20"/>
      <c r="Q59" s="32"/>
      <c r="R59" s="20"/>
      <c r="S59" s="32"/>
      <c r="T59" s="20"/>
      <c r="U59" s="32"/>
      <c r="V59" s="20"/>
      <c r="W59" s="32"/>
      <c r="X59" s="20"/>
      <c r="Y59" s="32"/>
      <c r="Z59" s="20"/>
      <c r="AA59" s="32"/>
      <c r="AB59" s="20"/>
      <c r="AC59" s="32"/>
      <c r="AD59" s="20"/>
      <c r="AE59" s="32"/>
      <c r="AF59" s="20"/>
      <c r="AG59" s="20"/>
      <c r="AH59" s="32"/>
      <c r="AI59" s="32"/>
      <c r="AJ59" s="32"/>
      <c r="AK59" s="32"/>
    </row>
    <row r="60" spans="1:37" s="2" customFormat="1" ht="15" customHeight="1" x14ac:dyDescent="0.25">
      <c r="A60" s="102"/>
      <c r="B60" s="105"/>
      <c r="C60" s="107"/>
      <c r="D60" s="108"/>
      <c r="E60" s="7" t="s">
        <v>184</v>
      </c>
      <c r="F60" s="7" t="s">
        <v>174</v>
      </c>
      <c r="G60" s="15" t="s">
        <v>82</v>
      </c>
      <c r="H60" s="28" t="s">
        <v>175</v>
      </c>
      <c r="I60" s="32"/>
      <c r="J60" s="26">
        <f>I60*VLOOKUP(LEFT($F60, 8), 'Emission Factors'!$A$3:$E$44, 5, FALSE)*1000</f>
        <v>0</v>
      </c>
      <c r="K60" s="32"/>
      <c r="L60" s="26">
        <f>K60*VLOOKUP(LEFT($F60, 8), 'Emission Factors'!$A$3:$E$44, 5, FALSE)*1000</f>
        <v>0</v>
      </c>
      <c r="M60" s="32"/>
      <c r="N60" s="26">
        <f>M60*VLOOKUP(LEFT($F60, 8), 'Emission Factors'!$A$3:$E$44, 5, FALSE)*1000</f>
        <v>0</v>
      </c>
      <c r="O60" s="32"/>
      <c r="P60" s="26">
        <f>O60*VLOOKUP(LEFT($F60, 8), 'Emission Factors'!$A$3:$E$44, 5, FALSE)*1000</f>
        <v>0</v>
      </c>
      <c r="Q60" s="32"/>
      <c r="R60" s="26">
        <f>Q60*VLOOKUP(LEFT($F60, 8), 'Emission Factors'!$A$3:$E$44, 5, FALSE)*1000</f>
        <v>0</v>
      </c>
      <c r="S60" s="32"/>
      <c r="T60" s="26">
        <f>S60*VLOOKUP(LEFT($F60, 8), 'Emission Factors'!$A$3:$E$44, 5, FALSE)*1000</f>
        <v>0</v>
      </c>
      <c r="U60" s="32"/>
      <c r="V60" s="26">
        <f>U60*VLOOKUP(LEFT($F60, 8), 'Emission Factors'!$A$3:$E$44, 5, FALSE)*1000</f>
        <v>0</v>
      </c>
      <c r="W60" s="32"/>
      <c r="X60" s="26">
        <f>W60*VLOOKUP(LEFT($F60, 8), 'Emission Factors'!$A$3:$E$44, 5, FALSE)*1000</f>
        <v>0</v>
      </c>
      <c r="Y60" s="32"/>
      <c r="Z60" s="26">
        <f>Y60*VLOOKUP(LEFT($F60, 8), 'Emission Factors'!$A$3:$E$44, 5, FALSE)*1000</f>
        <v>0</v>
      </c>
      <c r="AA60" s="32"/>
      <c r="AB60" s="26">
        <f>AA60*VLOOKUP(LEFT($F60, 8), 'Emission Factors'!$A$3:$E$44, 5, FALSE)*1000</f>
        <v>0</v>
      </c>
      <c r="AC60" s="32"/>
      <c r="AD60" s="26">
        <f>AC60*VLOOKUP(LEFT($F60, 8), 'Emission Factors'!$A$3:$E$44, 5, FALSE)*1000</f>
        <v>0</v>
      </c>
      <c r="AE60" s="32"/>
      <c r="AF60" s="26">
        <f>AE60*VLOOKUP(LEFT($F60, 8), 'Emission Factors'!$A$3:$E$44, 5, FALSE)*1000</f>
        <v>0</v>
      </c>
      <c r="AG60" s="26">
        <f t="shared" si="0"/>
        <v>0</v>
      </c>
      <c r="AH60" s="32"/>
      <c r="AI60" s="32"/>
      <c r="AJ60" s="32"/>
      <c r="AK60" s="32"/>
    </row>
    <row r="61" spans="1:37" s="2" customFormat="1" ht="35.25" customHeight="1" x14ac:dyDescent="0.25">
      <c r="A61" s="102"/>
      <c r="B61" s="105"/>
      <c r="C61" s="29">
        <v>7</v>
      </c>
      <c r="D61" s="27" t="s">
        <v>56</v>
      </c>
      <c r="E61" s="7" t="s">
        <v>185</v>
      </c>
      <c r="F61" s="7" t="s">
        <v>56</v>
      </c>
      <c r="G61" s="15" t="s">
        <v>15</v>
      </c>
      <c r="H61" s="4" t="s">
        <v>58</v>
      </c>
      <c r="I61" s="32"/>
      <c r="J61" s="19">
        <f>I61</f>
        <v>0</v>
      </c>
      <c r="K61" s="32"/>
      <c r="L61" s="19">
        <f>K61</f>
        <v>0</v>
      </c>
      <c r="M61" s="32"/>
      <c r="N61" s="19">
        <f>M61</f>
        <v>0</v>
      </c>
      <c r="O61" s="32"/>
      <c r="P61" s="19">
        <f>O61</f>
        <v>0</v>
      </c>
      <c r="Q61" s="32"/>
      <c r="R61" s="19">
        <f>Q61</f>
        <v>0</v>
      </c>
      <c r="S61" s="32"/>
      <c r="T61" s="19">
        <f>S61</f>
        <v>0</v>
      </c>
      <c r="U61" s="32"/>
      <c r="V61" s="19">
        <f>U61</f>
        <v>0</v>
      </c>
      <c r="W61" s="32"/>
      <c r="X61" s="19">
        <f>W61</f>
        <v>0</v>
      </c>
      <c r="Y61" s="32"/>
      <c r="Z61" s="19">
        <f>Y61</f>
        <v>0</v>
      </c>
      <c r="AA61" s="32"/>
      <c r="AB61" s="19">
        <f>AA61</f>
        <v>0</v>
      </c>
      <c r="AC61" s="32"/>
      <c r="AD61" s="19">
        <f>AC61</f>
        <v>0</v>
      </c>
      <c r="AE61" s="32"/>
      <c r="AF61" s="19">
        <f>AE61</f>
        <v>0</v>
      </c>
      <c r="AG61" s="19">
        <f t="shared" si="0"/>
        <v>0</v>
      </c>
      <c r="AH61" s="32"/>
      <c r="AI61" s="32"/>
      <c r="AJ61" s="32"/>
      <c r="AK61" s="32"/>
    </row>
    <row r="62" spans="1:37" s="2" customFormat="1" ht="35.25" customHeight="1" x14ac:dyDescent="0.25">
      <c r="A62" s="33"/>
      <c r="B62" s="34"/>
      <c r="C62" s="29">
        <v>7</v>
      </c>
      <c r="D62" s="27" t="s">
        <v>186</v>
      </c>
      <c r="E62" s="7">
        <v>7.9</v>
      </c>
      <c r="F62" s="30" t="s">
        <v>187</v>
      </c>
      <c r="G62" s="15" t="s">
        <v>82</v>
      </c>
      <c r="H62" s="4" t="s">
        <v>258</v>
      </c>
      <c r="I62" s="32">
        <v>91</v>
      </c>
      <c r="J62" s="19">
        <f>I62*'Emission Factors'!$E$10*1000</f>
        <v>14569.099999999999</v>
      </c>
      <c r="K62" s="32">
        <v>55</v>
      </c>
      <c r="L62" s="19">
        <f>K62*'Emission Factors'!$E$10*1000</f>
        <v>8805.5</v>
      </c>
      <c r="M62" s="32">
        <v>275</v>
      </c>
      <c r="N62" s="19">
        <f>M62*'Emission Factors'!$E$10*1000</f>
        <v>44027.499999999993</v>
      </c>
      <c r="O62" s="32">
        <v>10</v>
      </c>
      <c r="P62" s="19">
        <f>O62*'Emission Factors'!$E$10*1000</f>
        <v>1601</v>
      </c>
      <c r="Q62" s="32">
        <v>147</v>
      </c>
      <c r="R62" s="19">
        <f>Q62*'Emission Factors'!$E$10*1000</f>
        <v>23534.699999999997</v>
      </c>
      <c r="S62" s="32">
        <v>315</v>
      </c>
      <c r="T62" s="19">
        <f>S62*'Emission Factors'!$E$10*1000</f>
        <v>50431.5</v>
      </c>
      <c r="U62" s="32"/>
      <c r="V62" s="19">
        <f>U62*VLOOKUP(RIGHT($F62, 6), 'Emission Factors'!$A$3:$E$44, 5, FALSE)</f>
        <v>0</v>
      </c>
      <c r="W62" s="32"/>
      <c r="X62" s="19">
        <f>W62*VLOOKUP(RIGHT($F62, 6), 'Emission Factors'!$A$3:$E$44, 5, FALSE)</f>
        <v>0</v>
      </c>
      <c r="Y62" s="32">
        <v>65</v>
      </c>
      <c r="Z62" s="19">
        <f>Y62*'Emission Factors'!$E$10*1000</f>
        <v>10406.5</v>
      </c>
      <c r="AA62" s="32">
        <v>28</v>
      </c>
      <c r="AB62" s="19">
        <f>AA62*'Emission Factors'!$E$10*1000</f>
        <v>4482.8</v>
      </c>
      <c r="AC62" s="32">
        <f>AA62</f>
        <v>28</v>
      </c>
      <c r="AD62" s="19">
        <f>AC62*'Emission Factors'!$E$10*1000</f>
        <v>4482.8</v>
      </c>
      <c r="AE62" s="32">
        <f>AC62</f>
        <v>28</v>
      </c>
      <c r="AF62" s="19">
        <f>AE62*'Emission Factors'!$E$10*1000</f>
        <v>4482.8</v>
      </c>
      <c r="AG62" s="19">
        <f>SUM(J62,L62,N62,P62,R62,T62,V62,X62,Z62,AB62,AD62,AF62)</f>
        <v>166824.19999999995</v>
      </c>
      <c r="AH62" s="32"/>
      <c r="AI62" s="32"/>
      <c r="AJ62" s="32"/>
      <c r="AK62" s="32"/>
    </row>
    <row r="63" spans="1:37" s="2" customFormat="1" ht="38.25" customHeight="1" x14ac:dyDescent="0.25">
      <c r="A63" s="101">
        <v>8</v>
      </c>
      <c r="B63" s="104" t="s">
        <v>21</v>
      </c>
      <c r="C63" s="107">
        <v>8.1</v>
      </c>
      <c r="D63" s="108" t="s">
        <v>189</v>
      </c>
      <c r="E63" s="7" t="s">
        <v>190</v>
      </c>
      <c r="F63" s="30" t="s">
        <v>191</v>
      </c>
      <c r="G63" s="15" t="s">
        <v>82</v>
      </c>
      <c r="H63" s="4" t="s">
        <v>21</v>
      </c>
      <c r="I63" s="32">
        <v>2680</v>
      </c>
      <c r="J63" s="19">
        <f>I63*VLOOKUP($F63,'Emission Factors'!$A$3:$E$44,5,FALSE)*1000</f>
        <v>8231.4431199999999</v>
      </c>
      <c r="K63" s="32">
        <v>1343</v>
      </c>
      <c r="L63" s="19">
        <f>K63*VLOOKUP($F63,'Emission Factors'!$A$3:$E$44,5,FALSE)*1000</f>
        <v>4124.9358620000003</v>
      </c>
      <c r="M63" s="32"/>
      <c r="N63" s="19">
        <f>M63*VLOOKUP($F63,'Emission Factors'!$A$3:$E$44,5,FALSE)*1000</f>
        <v>0</v>
      </c>
      <c r="O63" s="32">
        <v>7065</v>
      </c>
      <c r="P63" s="19">
        <f>O63*VLOOKUP($F63,'Emission Factors'!$A$3:$E$44,5,FALSE)*1000</f>
        <v>21699.681210000002</v>
      </c>
      <c r="Q63" s="32">
        <v>31489</v>
      </c>
      <c r="R63" s="19">
        <f>Q63*VLOOKUP($F63,'Emission Factors'!$A$3:$E$44,5,FALSE)*1000</f>
        <v>96716.385225999999</v>
      </c>
      <c r="S63" s="32">
        <v>31389</v>
      </c>
      <c r="T63" s="19">
        <f>S63*VLOOKUP($F63,'Emission Factors'!$A$3:$E$44,5,FALSE)*1000</f>
        <v>96409.241825999998</v>
      </c>
      <c r="U63" s="32">
        <v>25165</v>
      </c>
      <c r="V63" s="19">
        <f>U63*VLOOKUP($F63,'Emission Factors'!$A$3:$E$44,5,FALSE)*1000</f>
        <v>77292.636610000001</v>
      </c>
      <c r="W63" s="32">
        <v>45168</v>
      </c>
      <c r="X63" s="19">
        <f>W63*VLOOKUP($F63,'Emission Factors'!$A$3:$E$44,5,FALSE)*1000</f>
        <v>138730.53091200002</v>
      </c>
      <c r="Y63" s="32">
        <v>34027</v>
      </c>
      <c r="Z63" s="19">
        <f>Y63*VLOOKUP($F63,'Emission Factors'!$A$3:$E$44,5,FALSE)*1000</f>
        <v>104511.684718</v>
      </c>
      <c r="AA63" s="32">
        <v>26831</v>
      </c>
      <c r="AB63" s="19">
        <f>AA63*VLOOKUP($F63,'Emission Factors'!$A$3:$E$44,5,FALSE)*1000</f>
        <v>82409.645654000007</v>
      </c>
      <c r="AC63" s="32">
        <f>AA63</f>
        <v>26831</v>
      </c>
      <c r="AD63" s="19">
        <f>AC63*VLOOKUP($F63,'Emission Factors'!$A$3:$E$44,5,FALSE)*1000</f>
        <v>82409.645654000007</v>
      </c>
      <c r="AE63" s="32">
        <f>AC63</f>
        <v>26831</v>
      </c>
      <c r="AF63" s="19">
        <f>AE63*VLOOKUP($F63,'Emission Factors'!$A$3:$E$44,5,FALSE)*1000</f>
        <v>82409.645654000007</v>
      </c>
      <c r="AG63" s="19">
        <f t="shared" si="0"/>
        <v>794945.47644600004</v>
      </c>
      <c r="AH63" s="32"/>
      <c r="AI63" s="32"/>
      <c r="AJ63" s="32"/>
      <c r="AK63" s="32" t="s">
        <v>193</v>
      </c>
    </row>
    <row r="64" spans="1:37" s="2" customFormat="1" ht="38.25" customHeight="1" x14ac:dyDescent="0.25">
      <c r="A64" s="102"/>
      <c r="B64" s="105"/>
      <c r="C64" s="107"/>
      <c r="D64" s="108"/>
      <c r="E64" s="7"/>
      <c r="F64" s="30" t="s">
        <v>191</v>
      </c>
      <c r="G64" s="15" t="s">
        <v>82</v>
      </c>
      <c r="H64" s="4" t="s">
        <v>259</v>
      </c>
      <c r="I64" s="32">
        <v>86.41</v>
      </c>
      <c r="J64" s="19">
        <f>I64*VLOOKUP($F64,'Emission Factors'!$A$3:$E$44,5,FALSE)*1000</f>
        <v>265.40261193999999</v>
      </c>
      <c r="K64" s="32">
        <v>72</v>
      </c>
      <c r="L64" s="19">
        <f>K64*VLOOKUP($F64,'Emission Factors'!$A$3:$E$44,5,FALSE)*1000</f>
        <v>221.14324800000003</v>
      </c>
      <c r="M64" s="32">
        <v>790</v>
      </c>
      <c r="N64" s="19">
        <f>M64*VLOOKUP($F64,'Emission Factors'!$A$3:$E$44,5,FALSE)*1000</f>
        <v>2426.4328600000003</v>
      </c>
      <c r="O64" s="32">
        <v>13369</v>
      </c>
      <c r="P64" s="19">
        <f>O64*VLOOKUP($F64,'Emission Factors'!$A$3:$E$44,5,FALSE)*1000</f>
        <v>41062.001146000002</v>
      </c>
      <c r="Q64" s="32">
        <v>10038</v>
      </c>
      <c r="R64" s="19">
        <f>Q64*VLOOKUP($F64,'Emission Factors'!$A$3:$E$44,5,FALSE)*1000</f>
        <v>30831.054491999999</v>
      </c>
      <c r="S64" s="32">
        <v>6999</v>
      </c>
      <c r="T64" s="19">
        <f>S64*VLOOKUP($F64,'Emission Factors'!$A$3:$E$44,5,FALSE)*1000</f>
        <v>21496.966566000003</v>
      </c>
      <c r="U64" s="32">
        <v>9102</v>
      </c>
      <c r="V64" s="19">
        <f>U64*VLOOKUP($F64,'Emission Factors'!$A$3:$E$44,5,FALSE)*1000</f>
        <v>27956.192267999999</v>
      </c>
      <c r="W64" s="32">
        <v>11528</v>
      </c>
      <c r="X64" s="19">
        <f>W64*VLOOKUP($F64,'Emission Factors'!$A$3:$E$44,5,FALSE)*1000</f>
        <v>35407.491151999995</v>
      </c>
      <c r="Y64" s="32">
        <v>9364</v>
      </c>
      <c r="Z64" s="19">
        <f>Y64*VLOOKUP($F64,'Emission Factors'!$A$3:$E$44,5,FALSE)*1000</f>
        <v>28760.907976000002</v>
      </c>
      <c r="AA64" s="32">
        <v>3447</v>
      </c>
      <c r="AB64" s="19">
        <f>AA64*VLOOKUP($F64,'Emission Factors'!$A$3:$E$44,5,FALSE)*1000</f>
        <v>10587.232998000001</v>
      </c>
      <c r="AC64" s="32">
        <f>AA64</f>
        <v>3447</v>
      </c>
      <c r="AD64" s="19">
        <f>AC64*VLOOKUP($F64,'Emission Factors'!$A$3:$E$44,5,FALSE)*1000</f>
        <v>10587.232998000001</v>
      </c>
      <c r="AE64" s="32">
        <f>AA64</f>
        <v>3447</v>
      </c>
      <c r="AF64" s="19">
        <f>AE64*VLOOKUP($F64,'Emission Factors'!$A$3:$E$44,5,FALSE)*1000</f>
        <v>10587.232998000001</v>
      </c>
      <c r="AG64" s="19">
        <f>SUM(J64,L64,N64,P64,R64,T64,V64,X64,Z64,AB64,AD64,AF64)</f>
        <v>220189.29131393996</v>
      </c>
      <c r="AH64" s="32"/>
      <c r="AI64" s="32"/>
      <c r="AJ64" s="32"/>
      <c r="AK64" s="32"/>
    </row>
    <row r="65" spans="1:37" s="2" customFormat="1" ht="15" customHeight="1" x14ac:dyDescent="0.25">
      <c r="A65" s="102"/>
      <c r="B65" s="105"/>
      <c r="C65" s="107"/>
      <c r="D65" s="108"/>
      <c r="E65" s="7" t="s">
        <v>200</v>
      </c>
      <c r="F65" s="7" t="s">
        <v>201</v>
      </c>
      <c r="G65" s="15" t="s">
        <v>82</v>
      </c>
      <c r="H65" s="4" t="s">
        <v>202</v>
      </c>
      <c r="I65" s="32"/>
      <c r="J65" s="19">
        <f>I65*VLOOKUP($F65,'Emission Factors'!$A$3:$E$44,5,FALSE)*1000</f>
        <v>0</v>
      </c>
      <c r="K65" s="32"/>
      <c r="L65" s="19">
        <f>K65*VLOOKUP($F65,'Emission Factors'!$A$3:$E$44,5,FALSE)*1000</f>
        <v>0</v>
      </c>
      <c r="M65" s="32"/>
      <c r="N65" s="19">
        <f>M65*VLOOKUP($F65,'Emission Factors'!$A$3:$E$44,5,FALSE)*1000</f>
        <v>0</v>
      </c>
      <c r="O65" s="32"/>
      <c r="P65" s="19">
        <f>O65*VLOOKUP($F65,'Emission Factors'!$A$3:$E$44,5,FALSE)*1000</f>
        <v>0</v>
      </c>
      <c r="Q65" s="32"/>
      <c r="R65" s="19">
        <f>Q65*VLOOKUP($F65,'Emission Factors'!$A$3:$E$44,5,FALSE)*1000</f>
        <v>0</v>
      </c>
      <c r="S65" s="32"/>
      <c r="T65" s="19">
        <f>S65*VLOOKUP($F65,'Emission Factors'!$A$3:$E$44,5,FALSE)*1000</f>
        <v>0</v>
      </c>
      <c r="U65" s="32"/>
      <c r="V65" s="19">
        <f>U65*VLOOKUP($F65,'Emission Factors'!$A$3:$E$44,5,FALSE)*1000</f>
        <v>0</v>
      </c>
      <c r="W65" s="32"/>
      <c r="X65" s="19">
        <f>W65*VLOOKUP($F65,'Emission Factors'!$A$3:$E$44,5,FALSE)*1000</f>
        <v>0</v>
      </c>
      <c r="Y65" s="32"/>
      <c r="Z65" s="19">
        <f>Y65*VLOOKUP($F65,'Emission Factors'!$A$3:$E$44,5,FALSE)*1000</f>
        <v>0</v>
      </c>
      <c r="AA65" s="32"/>
      <c r="AB65" s="19">
        <f>AA65*VLOOKUP($F65,'Emission Factors'!$A$3:$E$44,5,FALSE)*1000</f>
        <v>0</v>
      </c>
      <c r="AC65" s="32"/>
      <c r="AD65" s="19">
        <f>AC65*VLOOKUP($F65,'Emission Factors'!$A$3:$E$44,5,FALSE)*1000</f>
        <v>0</v>
      </c>
      <c r="AE65" s="32"/>
      <c r="AF65" s="19">
        <f>AE65*VLOOKUP($F65,'Emission Factors'!$A$3:$E$44,5,FALSE)*1000</f>
        <v>0</v>
      </c>
      <c r="AG65" s="19">
        <f t="shared" si="0"/>
        <v>0</v>
      </c>
      <c r="AH65" s="32"/>
      <c r="AI65" s="32"/>
      <c r="AJ65" s="32"/>
      <c r="AK65" s="32"/>
    </row>
    <row r="66" spans="1:37" s="2" customFormat="1" ht="15" customHeight="1" x14ac:dyDescent="0.25">
      <c r="A66" s="102"/>
      <c r="B66" s="105"/>
      <c r="C66" s="107"/>
      <c r="D66" s="108"/>
      <c r="E66" s="7" t="s">
        <v>203</v>
      </c>
      <c r="F66" s="7" t="s">
        <v>204</v>
      </c>
      <c r="G66" s="15" t="s">
        <v>82</v>
      </c>
      <c r="H66" s="4" t="s">
        <v>205</v>
      </c>
      <c r="I66" s="32"/>
      <c r="J66" s="19">
        <f>I66*VLOOKUP($F66,'Emission Factors'!$A$3:$E$44,5,FALSE)*1000</f>
        <v>0</v>
      </c>
      <c r="K66" s="32"/>
      <c r="L66" s="19">
        <f>K66*VLOOKUP($F66,'Emission Factors'!$A$3:$E$44,5,FALSE)*1000</f>
        <v>0</v>
      </c>
      <c r="M66" s="32"/>
      <c r="N66" s="19">
        <f>M66*VLOOKUP($F66,'Emission Factors'!$A$3:$E$44,5,FALSE)*1000</f>
        <v>0</v>
      </c>
      <c r="O66" s="32"/>
      <c r="P66" s="19">
        <f>O66*VLOOKUP($F66,'Emission Factors'!$A$3:$E$44,5,FALSE)*1000</f>
        <v>0</v>
      </c>
      <c r="Q66" s="32"/>
      <c r="R66" s="19">
        <f>Q66*VLOOKUP($F66,'Emission Factors'!$A$3:$E$44,5,FALSE)*1000</f>
        <v>0</v>
      </c>
      <c r="S66" s="32"/>
      <c r="T66" s="19">
        <f>S66*VLOOKUP($F66,'Emission Factors'!$A$3:$E$44,5,FALSE)*1000</f>
        <v>0</v>
      </c>
      <c r="U66" s="32"/>
      <c r="V66" s="19">
        <f>U66*VLOOKUP($F66,'Emission Factors'!$A$3:$E$44,5,FALSE)*1000</f>
        <v>0</v>
      </c>
      <c r="W66" s="32"/>
      <c r="X66" s="19">
        <f>W66*VLOOKUP($F66,'Emission Factors'!$A$3:$E$44,5,FALSE)*1000</f>
        <v>0</v>
      </c>
      <c r="Y66" s="32"/>
      <c r="Z66" s="19">
        <f>Y66*VLOOKUP($F66,'Emission Factors'!$A$3:$E$44,5,FALSE)*1000</f>
        <v>0</v>
      </c>
      <c r="AA66" s="32"/>
      <c r="AB66" s="19">
        <f>AA66*VLOOKUP($F66,'Emission Factors'!$A$3:$E$44,5,FALSE)*1000</f>
        <v>0</v>
      </c>
      <c r="AC66" s="32"/>
      <c r="AD66" s="19">
        <f>AC66*VLOOKUP($F66,'Emission Factors'!$A$3:$E$44,5,FALSE)*1000</f>
        <v>0</v>
      </c>
      <c r="AE66" s="32"/>
      <c r="AF66" s="19">
        <f>AE66*VLOOKUP($F66,'Emission Factors'!$A$3:$E$44,5,FALSE)*1000</f>
        <v>0</v>
      </c>
      <c r="AG66" s="19">
        <f t="shared" si="0"/>
        <v>0</v>
      </c>
      <c r="AH66" s="32"/>
      <c r="AI66" s="32"/>
      <c r="AJ66" s="32"/>
      <c r="AK66" s="32"/>
    </row>
    <row r="67" spans="1:37" s="2" customFormat="1" ht="15" customHeight="1" x14ac:dyDescent="0.25">
      <c r="A67" s="102"/>
      <c r="B67" s="105"/>
      <c r="C67" s="107">
        <v>8.1999999999999993</v>
      </c>
      <c r="D67" s="108" t="s">
        <v>206</v>
      </c>
      <c r="E67" s="7" t="s">
        <v>207</v>
      </c>
      <c r="F67" s="30" t="s">
        <v>208</v>
      </c>
      <c r="G67" s="15" t="s">
        <v>82</v>
      </c>
      <c r="H67" s="98" t="s">
        <v>209</v>
      </c>
      <c r="I67" s="32"/>
      <c r="J67" s="19">
        <f>I67*VLOOKUP($F67,'Emission Factors'!$A$3:$E$44,5,FALSE)*1000</f>
        <v>0</v>
      </c>
      <c r="K67" s="32"/>
      <c r="L67" s="19">
        <f>K67*VLOOKUP($F67,'Emission Factors'!$A$3:$E$44,5,FALSE)*1000</f>
        <v>0</v>
      </c>
      <c r="M67" s="32"/>
      <c r="N67" s="19">
        <f>M67*VLOOKUP($F67,'Emission Factors'!$A$3:$E$44,5,FALSE)*1000</f>
        <v>0</v>
      </c>
      <c r="O67" s="32"/>
      <c r="P67" s="19">
        <f>O67*VLOOKUP($F67,'Emission Factors'!$A$3:$E$44,5,FALSE)*1000</f>
        <v>0</v>
      </c>
      <c r="Q67" s="32"/>
      <c r="R67" s="19">
        <f>Q67*VLOOKUP($F67,'Emission Factors'!$A$3:$E$44,5,FALSE)*1000</f>
        <v>0</v>
      </c>
      <c r="S67" s="32">
        <v>92</v>
      </c>
      <c r="T67" s="19">
        <f>S67*VLOOKUP($F67,'Emission Factors'!$A$3:$E$44,5,FALSE)*1000</f>
        <v>34224</v>
      </c>
      <c r="U67" s="39">
        <v>136</v>
      </c>
      <c r="V67" s="19">
        <f>U67*VLOOKUP($F67,'Emission Factors'!$A$3:$E$44,5,FALSE)*1000</f>
        <v>50592</v>
      </c>
      <c r="W67" s="39">
        <v>162</v>
      </c>
      <c r="X67" s="19">
        <f>W67*VLOOKUP($F67,'Emission Factors'!$A$3:$E$44,5,FALSE)*1000</f>
        <v>60264</v>
      </c>
      <c r="Y67" s="32">
        <v>131</v>
      </c>
      <c r="Z67" s="19">
        <f>Y67*VLOOKUP($F67,'Emission Factors'!$A$3:$E$44,5,FALSE)*1000</f>
        <v>48732</v>
      </c>
      <c r="AA67" s="32">
        <v>102</v>
      </c>
      <c r="AB67" s="19">
        <f>AA67*VLOOKUP($F67,'Emission Factors'!$A$3:$E$44,5,FALSE)*1000</f>
        <v>37944</v>
      </c>
      <c r="AC67" s="32">
        <f>AA67</f>
        <v>102</v>
      </c>
      <c r="AD67" s="19">
        <f>AC67*VLOOKUP($F67,'Emission Factors'!$A$3:$E$44,5,FALSE)*1000</f>
        <v>37944</v>
      </c>
      <c r="AE67" s="32">
        <f>AC67</f>
        <v>102</v>
      </c>
      <c r="AF67" s="19">
        <f>AE67*VLOOKUP($F67,'Emission Factors'!$A$3:$E$44,5,FALSE)*1000</f>
        <v>37944</v>
      </c>
      <c r="AG67" s="19">
        <f t="shared" si="0"/>
        <v>307644</v>
      </c>
      <c r="AH67" s="32"/>
      <c r="AI67" s="32"/>
      <c r="AJ67" s="32"/>
      <c r="AK67" s="32" t="s">
        <v>210</v>
      </c>
    </row>
    <row r="68" spans="1:37" s="2" customFormat="1" ht="15" customHeight="1" x14ac:dyDescent="0.25">
      <c r="A68" s="102"/>
      <c r="B68" s="105"/>
      <c r="C68" s="107"/>
      <c r="D68" s="108"/>
      <c r="E68" s="7" t="s">
        <v>211</v>
      </c>
      <c r="F68" s="30" t="s">
        <v>212</v>
      </c>
      <c r="G68" s="15" t="s">
        <v>82</v>
      </c>
      <c r="H68" s="98"/>
      <c r="I68" s="32"/>
      <c r="J68" s="19">
        <f>I68*VLOOKUP($F68,'Emission Factors'!$A$3:$E$44,5,FALSE)*1000</f>
        <v>0</v>
      </c>
      <c r="K68" s="32"/>
      <c r="L68" s="19">
        <f>K68*VLOOKUP($F68,'Emission Factors'!$A$3:$E$44,5,FALSE)*1000</f>
        <v>0</v>
      </c>
      <c r="M68" s="32"/>
      <c r="N68" s="19">
        <f>M68*VLOOKUP($F68,'Emission Factors'!$A$3:$E$44,5,FALSE)*1000</f>
        <v>0</v>
      </c>
      <c r="O68" s="32"/>
      <c r="P68" s="19">
        <f>O68*VLOOKUP($F68,'Emission Factors'!$A$3:$E$44,5,FALSE)*1000</f>
        <v>0</v>
      </c>
      <c r="Q68" s="32"/>
      <c r="R68" s="19">
        <f>Q68*VLOOKUP($F68,'Emission Factors'!$A$3:$E$44,5,FALSE)*1000</f>
        <v>0</v>
      </c>
      <c r="S68" s="32"/>
      <c r="T68" s="19">
        <f>S68*VLOOKUP($F68,'Emission Factors'!$A$3:$E$44,5,FALSE)*1000</f>
        <v>0</v>
      </c>
      <c r="U68" s="32"/>
      <c r="V68" s="19">
        <f>U68*VLOOKUP($F68,'Emission Factors'!$A$3:$E$44,5,FALSE)*1000</f>
        <v>0</v>
      </c>
      <c r="W68" s="32"/>
      <c r="X68" s="19">
        <f>W68*VLOOKUP($F68,'Emission Factors'!$A$3:$E$44,5,FALSE)*1000</f>
        <v>0</v>
      </c>
      <c r="Y68" s="32"/>
      <c r="Z68" s="19">
        <f>Y68*VLOOKUP($F68,'Emission Factors'!$A$3:$E$44,5,FALSE)*1000</f>
        <v>0</v>
      </c>
      <c r="AA68" s="32">
        <v>16</v>
      </c>
      <c r="AB68" s="19">
        <f>AA68*VLOOKUP($F68,'Emission Factors'!$A$3:$E$44,5,FALSE)*1000</f>
        <v>13337.01024</v>
      </c>
      <c r="AC68" s="32">
        <f>AA68</f>
        <v>16</v>
      </c>
      <c r="AD68" s="19">
        <f>AC68*VLOOKUP($F68,'Emission Factors'!$A$3:$E$44,5,FALSE)*1000</f>
        <v>13337.01024</v>
      </c>
      <c r="AE68" s="32">
        <f>AC68</f>
        <v>16</v>
      </c>
      <c r="AF68" s="19">
        <f>AE68*VLOOKUP($F68,'Emission Factors'!$A$3:$E$44,5,FALSE)*1000</f>
        <v>13337.01024</v>
      </c>
      <c r="AG68" s="19">
        <f t="shared" si="0"/>
        <v>40011.030719999995</v>
      </c>
      <c r="AH68" s="32"/>
      <c r="AI68" s="32"/>
      <c r="AJ68" s="32"/>
      <c r="AK68" s="32"/>
    </row>
    <row r="69" spans="1:37" s="2" customFormat="1" ht="15" customHeight="1" x14ac:dyDescent="0.25">
      <c r="A69" s="102"/>
      <c r="B69" s="105"/>
      <c r="C69" s="107"/>
      <c r="D69" s="108"/>
      <c r="E69" s="7" t="s">
        <v>213</v>
      </c>
      <c r="F69" s="30" t="s">
        <v>214</v>
      </c>
      <c r="G69" s="15" t="s">
        <v>82</v>
      </c>
      <c r="H69" s="98"/>
      <c r="I69" s="37"/>
      <c r="J69" s="19">
        <f>I69*VLOOKUP($F69,'Emission Factors'!$A$3:$E$44,5,FALSE)*1000</f>
        <v>0</v>
      </c>
      <c r="K69" s="37">
        <v>11</v>
      </c>
      <c r="L69" s="19">
        <f>K69*VLOOKUP($F69,'Emission Factors'!$A$3:$E$44,5,FALSE)*1000</f>
        <v>10405.107680000001</v>
      </c>
      <c r="M69" s="37">
        <v>22</v>
      </c>
      <c r="N69" s="19">
        <f>M69*VLOOKUP($F69,'Emission Factors'!$A$3:$E$44,5,FALSE)*1000</f>
        <v>20810.215360000002</v>
      </c>
      <c r="O69" s="37">
        <v>44</v>
      </c>
      <c r="P69" s="19">
        <f>O69*VLOOKUP($F69,'Emission Factors'!$A$3:$E$44,5,FALSE)*1000</f>
        <v>41620.430720000004</v>
      </c>
      <c r="Q69" s="37">
        <v>209</v>
      </c>
      <c r="R69" s="19">
        <f>Q69*VLOOKUP($F69,'Emission Factors'!$A$3:$E$44,5,FALSE)*1000</f>
        <v>197697.04592</v>
      </c>
      <c r="S69" s="37">
        <v>118</v>
      </c>
      <c r="T69" s="19">
        <f>S69*VLOOKUP($F69,'Emission Factors'!$A$3:$E$44,5,FALSE)*1000</f>
        <v>111618.42783999999</v>
      </c>
      <c r="U69" s="37">
        <v>194</v>
      </c>
      <c r="V69" s="19">
        <f>U69*VLOOKUP($F69,'Emission Factors'!$A$3:$E$44,5,FALSE)*1000</f>
        <v>183508.26272</v>
      </c>
      <c r="W69" s="37">
        <v>232</v>
      </c>
      <c r="X69" s="19">
        <f>W69*VLOOKUP($F69,'Emission Factors'!$A$3:$E$44,5,FALSE)*1000</f>
        <v>219453.18016000002</v>
      </c>
      <c r="Y69" s="37">
        <v>94</v>
      </c>
      <c r="Z69" s="19">
        <f>Y69*VLOOKUP($F69,'Emission Factors'!$A$3:$E$44,5,FALSE)*1000</f>
        <v>88916.374720000007</v>
      </c>
      <c r="AA69" s="37">
        <v>186</v>
      </c>
      <c r="AB69" s="19">
        <f>AA69*VLOOKUP($F69,'Emission Factors'!$A$3:$E$44,5,FALSE)*1000</f>
        <v>175940.91167999999</v>
      </c>
      <c r="AC69" s="37">
        <f>AA69</f>
        <v>186</v>
      </c>
      <c r="AD69" s="19">
        <f>AC69*VLOOKUP($F69,'Emission Factors'!$A$3:$E$44,5,FALSE)*1000</f>
        <v>175940.91167999999</v>
      </c>
      <c r="AE69" s="37">
        <f>AC69</f>
        <v>186</v>
      </c>
      <c r="AF69" s="19">
        <f>AE69*VLOOKUP($F69,'Emission Factors'!$A$3:$E$44,5,FALSE)*1000</f>
        <v>175940.91167999999</v>
      </c>
      <c r="AG69" s="19">
        <f>SUM(J69,L69,N69,P69,R69,T69,V69,X69,Z69,AB69,AD69,AF69)</f>
        <v>1401851.7801599996</v>
      </c>
      <c r="AH69" s="32"/>
      <c r="AI69" s="32"/>
      <c r="AJ69" s="32"/>
      <c r="AK69" s="32" t="s">
        <v>215</v>
      </c>
    </row>
    <row r="70" spans="1:37" s="2" customFormat="1" ht="30" x14ac:dyDescent="0.25">
      <c r="A70" s="102"/>
      <c r="B70" s="105"/>
      <c r="C70" s="127">
        <v>8.3000000000000007</v>
      </c>
      <c r="D70" s="127" t="s">
        <v>216</v>
      </c>
      <c r="E70" s="7" t="s">
        <v>217</v>
      </c>
      <c r="F70" s="7" t="s">
        <v>218</v>
      </c>
      <c r="G70" s="15" t="s">
        <v>219</v>
      </c>
      <c r="H70" s="4" t="s">
        <v>220</v>
      </c>
      <c r="I70" s="32">
        <v>170.30999999999997</v>
      </c>
      <c r="J70" s="19">
        <f>VLOOKUP(_xlfn.CONCAT(I71,I72),'Emission Factors'!$C$3:$E$44,3,0)*I70*VLOOKUP(RIGHT($F$71, 7),EmissionTable[], 11,FALSE)</f>
        <v>21327.273849503999</v>
      </c>
      <c r="K70" s="32">
        <v>1483</v>
      </c>
      <c r="L70" s="19">
        <f>VLOOKUP(_xlfn.CONCAT(K71,K72),'Emission Factors'!$C$3:$E$44,3,0)*K70*VLOOKUP(RIGHT($F$71, 7),EmissionTable[], 11,FALSE)</f>
        <v>185710.45222720003</v>
      </c>
      <c r="M70" s="32">
        <v>1526</v>
      </c>
      <c r="N70" s="19">
        <f>VLOOKUP(_xlfn.CONCAT(M71,M72),'Emission Factors'!$C$3:$E$44,3,0)*M70*VLOOKUP(RIGHT($F$71, 7),EmissionTable[], 11,FALSE)</f>
        <v>191095.17875840003</v>
      </c>
      <c r="O70" s="32">
        <v>3094</v>
      </c>
      <c r="P70" s="19">
        <f>VLOOKUP(_xlfn.CONCAT(O71,O72),'Emission Factors'!$C$3:$E$44,3,0)*O70*VLOOKUP(RIGHT($F$71, 7),EmissionTable[], 11,FALSE)</f>
        <v>387449.85784960003</v>
      </c>
      <c r="Q70" s="32">
        <v>2641</v>
      </c>
      <c r="R70" s="19">
        <f>VLOOKUP(_xlfn.CONCAT(Q71,Q72),'Emission Factors'!$C$3:$E$44,3,0)*Q70*VLOOKUP(RIGHT($F$71, 7),EmissionTable[], 11,FALSE)</f>
        <v>330722.38997439999</v>
      </c>
      <c r="S70" s="32">
        <v>554</v>
      </c>
      <c r="T70" s="19">
        <f>VLOOKUP(_xlfn.CONCAT(S71,S72),'Emission Factors'!$C$3:$E$44,3,0)*S70*VLOOKUP(RIGHT($F$71, 7),EmissionTable[], 11,FALSE)</f>
        <v>69375.31391360001</v>
      </c>
      <c r="U70" s="32">
        <v>1508</v>
      </c>
      <c r="V70" s="19">
        <f>VLOOKUP(_xlfn.CONCAT(U71,U72),'Emission Factors'!$C$3:$E$44,3,0)*U70*VLOOKUP(RIGHT($F$71, 7),EmissionTable[], 11,FALSE)</f>
        <v>188841.10718720002</v>
      </c>
      <c r="W70" s="32">
        <v>5754</v>
      </c>
      <c r="X70" s="19">
        <f>VLOOKUP(_xlfn.CONCAT(W71,W72),'Emission Factors'!$C$3:$E$44,3,0)*W70*VLOOKUP(RIGHT($F$71, 7),EmissionTable[], 11,FALSE)</f>
        <v>720551.54559360002</v>
      </c>
      <c r="Y70" s="32">
        <v>3082</v>
      </c>
      <c r="Z70" s="19">
        <f>VLOOKUP(_xlfn.CONCAT(Y71,Y72),'Emission Factors'!$C$3:$E$44,3,0)*Y70*VLOOKUP(RIGHT($F$71, 7),EmissionTable[], 11,FALSE)</f>
        <v>385947.14346880006</v>
      </c>
      <c r="AA70" s="32">
        <v>1882</v>
      </c>
      <c r="AB70" s="19">
        <f>VLOOKUP(_xlfn.CONCAT(AA71,AA72),'Emission Factors'!$C$3:$E$44,3,0)*AA70*VLOOKUP(RIGHT($F$71, 7),EmissionTable[], 11,FALSE)</f>
        <v>235675.70538880004</v>
      </c>
      <c r="AC70" s="32">
        <f>AA70</f>
        <v>1882</v>
      </c>
      <c r="AD70" s="19">
        <f>VLOOKUP(_xlfn.CONCAT(AC71,AC72),'Emission Factors'!$C$3:$E$44,3,0)*AC70*VLOOKUP(RIGHT($F$71, 7),EmissionTable[], 11,FALSE)</f>
        <v>235675.70538880004</v>
      </c>
      <c r="AE70" s="32">
        <f>AA70</f>
        <v>1882</v>
      </c>
      <c r="AF70" s="19">
        <f>VLOOKUP(_xlfn.CONCAT(AE71,AE72),'Emission Factors'!$C$3:$E$44,3,0)*AE70*VLOOKUP(RIGHT($F$71, 7),EmissionTable[], 11,FALSE)</f>
        <v>235675.70538880004</v>
      </c>
      <c r="AG70" s="19">
        <f>SUM(J70,L70,N70,P70,R70,T70,V70,X70,Z70,AB70,AD70,AF70)</f>
        <v>3188047.3789887051</v>
      </c>
      <c r="AH70" s="32"/>
      <c r="AI70" s="32"/>
      <c r="AJ70" s="32"/>
      <c r="AK70" s="32" t="s">
        <v>221</v>
      </c>
    </row>
    <row r="71" spans="1:37" s="2" customFormat="1" ht="15.75" customHeight="1" x14ac:dyDescent="0.25">
      <c r="A71" s="102"/>
      <c r="B71" s="105"/>
      <c r="C71" s="128"/>
      <c r="D71" s="128"/>
      <c r="E71" s="7" t="s">
        <v>222</v>
      </c>
      <c r="F71" s="7" t="s">
        <v>223</v>
      </c>
      <c r="G71" s="15" t="s">
        <v>224</v>
      </c>
      <c r="H71" s="4" t="s">
        <v>225</v>
      </c>
      <c r="I71" s="32" t="s">
        <v>226</v>
      </c>
      <c r="J71" s="19"/>
      <c r="K71" s="32" t="s">
        <v>226</v>
      </c>
      <c r="L71" s="19"/>
      <c r="M71" s="32" t="s">
        <v>226</v>
      </c>
      <c r="N71" s="19"/>
      <c r="O71" s="32" t="s">
        <v>226</v>
      </c>
      <c r="P71" s="19"/>
      <c r="Q71" s="32" t="s">
        <v>226</v>
      </c>
      <c r="R71" s="19"/>
      <c r="S71" s="32" t="s">
        <v>226</v>
      </c>
      <c r="T71" s="19"/>
      <c r="U71" s="32" t="s">
        <v>226</v>
      </c>
      <c r="V71" s="19"/>
      <c r="W71" s="32" t="s">
        <v>226</v>
      </c>
      <c r="X71" s="19"/>
      <c r="Y71" s="32" t="s">
        <v>226</v>
      </c>
      <c r="Z71" s="19"/>
      <c r="AA71" s="32" t="s">
        <v>226</v>
      </c>
      <c r="AB71" s="19"/>
      <c r="AC71" s="32" t="s">
        <v>226</v>
      </c>
      <c r="AD71" s="19"/>
      <c r="AE71" s="32" t="s">
        <v>226</v>
      </c>
      <c r="AF71" s="19"/>
      <c r="AG71" s="19">
        <f>SUM(J71,L71,N71,P71,R71,T71,V71,X71,Z71,AB71,AD71,AF71)</f>
        <v>0</v>
      </c>
      <c r="AH71" s="32"/>
      <c r="AI71" s="32"/>
      <c r="AJ71" s="32"/>
      <c r="AK71" s="32"/>
    </row>
    <row r="72" spans="1:37" s="2" customFormat="1" ht="15.75" customHeight="1" x14ac:dyDescent="0.25">
      <c r="A72" s="102"/>
      <c r="B72" s="105"/>
      <c r="C72" s="129"/>
      <c r="D72" s="129"/>
      <c r="E72" s="7" t="s">
        <v>227</v>
      </c>
      <c r="F72" s="7" t="s">
        <v>228</v>
      </c>
      <c r="G72" s="15" t="s">
        <v>229</v>
      </c>
      <c r="H72" s="4" t="s">
        <v>230</v>
      </c>
      <c r="I72" s="32" t="s">
        <v>231</v>
      </c>
      <c r="J72" s="19"/>
      <c r="K72" s="32" t="s">
        <v>231</v>
      </c>
      <c r="L72" s="19"/>
      <c r="M72" s="32" t="s">
        <v>231</v>
      </c>
      <c r="N72" s="19"/>
      <c r="O72" s="32" t="s">
        <v>231</v>
      </c>
      <c r="P72" s="19"/>
      <c r="Q72" s="32" t="s">
        <v>231</v>
      </c>
      <c r="R72" s="19"/>
      <c r="S72" s="32" t="s">
        <v>231</v>
      </c>
      <c r="T72" s="19"/>
      <c r="U72" s="32" t="s">
        <v>231</v>
      </c>
      <c r="V72" s="19"/>
      <c r="W72" s="32" t="s">
        <v>231</v>
      </c>
      <c r="X72" s="19"/>
      <c r="Y72" s="32" t="s">
        <v>231</v>
      </c>
      <c r="Z72" s="19"/>
      <c r="AA72" s="32" t="s">
        <v>231</v>
      </c>
      <c r="AB72" s="19"/>
      <c r="AC72" s="32" t="s">
        <v>231</v>
      </c>
      <c r="AD72" s="19"/>
      <c r="AE72" s="32" t="s">
        <v>231</v>
      </c>
      <c r="AF72" s="19"/>
      <c r="AG72" s="63">
        <f>SUM(J72,L72,N72,P72,R72,T72,V72,X72,Z72,AB72,AD72,AF72)</f>
        <v>0</v>
      </c>
      <c r="AH72" s="32"/>
      <c r="AI72" s="32"/>
      <c r="AJ72" s="32"/>
      <c r="AK72" s="32" t="s">
        <v>233</v>
      </c>
    </row>
    <row r="73" spans="1:37" s="2" customFormat="1" ht="30" x14ac:dyDescent="0.25">
      <c r="A73" s="102"/>
      <c r="B73" s="105"/>
      <c r="C73" s="127">
        <v>8.3000000000000007</v>
      </c>
      <c r="D73" s="127" t="s">
        <v>234</v>
      </c>
      <c r="E73" s="7" t="s">
        <v>217</v>
      </c>
      <c r="F73" s="7" t="s">
        <v>235</v>
      </c>
      <c r="G73" s="15" t="s">
        <v>219</v>
      </c>
      <c r="H73" s="4" t="s">
        <v>220</v>
      </c>
      <c r="I73" s="32"/>
      <c r="J73" s="19">
        <f>VLOOKUP(_xlfn.CONCAT(I74,I75),'Emission Factors'!$C$3:$E$44,3,0)*I73*VLOOKUP(RIGHT($F$74, 7),EmissionTable[], 11,FALSE)</f>
        <v>0</v>
      </c>
      <c r="K73" s="32"/>
      <c r="L73" s="19">
        <f>VLOOKUP(_xlfn.CONCAT(K74,K75),'Emission Factors'!$C$3:$E$44,3,0)*K73*VLOOKUP(RIGHT($F$74, 7),EmissionTable[], 11,FALSE)</f>
        <v>0</v>
      </c>
      <c r="M73" s="32"/>
      <c r="N73" s="19">
        <f>VLOOKUP(_xlfn.CONCAT(M74,M75),'Emission Factors'!$C$3:$E$44,3,0)*M73*VLOOKUP(RIGHT($F$74, 7),EmissionTable[], 11,FALSE)</f>
        <v>0</v>
      </c>
      <c r="O73" s="32"/>
      <c r="P73" s="19">
        <f>VLOOKUP(_xlfn.CONCAT(O74,O75),'Emission Factors'!$C$3:$E$44,3,0)*O73*VLOOKUP(RIGHT($F$74, 7),EmissionTable[], 11,FALSE)</f>
        <v>0</v>
      </c>
      <c r="Q73" s="32">
        <v>585</v>
      </c>
      <c r="R73" s="19">
        <f>VLOOKUP(_xlfn.CONCAT(Q74,Q75),'Emission Factors'!$C$3:$E$44,3,0)*Q73*VLOOKUP(RIGHT($F$74, 7),EmissionTable[], 11,FALSE)</f>
        <v>64599.924548249997</v>
      </c>
      <c r="S73" s="32">
        <v>254</v>
      </c>
      <c r="T73" s="19">
        <f>VLOOKUP(_xlfn.CONCAT(S74,S75),'Emission Factors'!$C$3:$E$44,3,0)*S73*VLOOKUP(RIGHT($F$74, 7),EmissionTable[], 11,FALSE)</f>
        <v>28048.514248300002</v>
      </c>
      <c r="U73" s="32"/>
      <c r="V73" s="19">
        <f>VLOOKUP(_xlfn.CONCAT(U74,U75),'Emission Factors'!$C$3:$E$44,3,0)*U73*VLOOKUP(RIGHT($F$74, 7),EmissionTable[], 11,FALSE)</f>
        <v>0</v>
      </c>
      <c r="W73" s="32"/>
      <c r="X73" s="19">
        <f>VLOOKUP(_xlfn.CONCAT(W74,W75),'Emission Factors'!$C$3:$E$44,3,0)*W73*VLOOKUP(RIGHT($F$74, 7),EmissionTable[], 11,FALSE)</f>
        <v>0</v>
      </c>
      <c r="Y73" s="32"/>
      <c r="Z73" s="19">
        <f>VLOOKUP(_xlfn.CONCAT(Y74,Y75),'Emission Factors'!$C$3:$E$44,3,0)*Y73*VLOOKUP(RIGHT($F$74, 7),EmissionTable[], 11,FALSE)</f>
        <v>0</v>
      </c>
      <c r="AA73" s="32"/>
      <c r="AB73" s="19">
        <f>VLOOKUP(_xlfn.CONCAT(AA74,AA75),'Emission Factors'!$C$3:$E$44,3,0)*AA73*VLOOKUP(RIGHT($F$74, 7),EmissionTable[], 11,FALSE)</f>
        <v>0</v>
      </c>
      <c r="AC73" s="32"/>
      <c r="AD73" s="19">
        <f>VLOOKUP(_xlfn.CONCAT(AC74,AC75),'Emission Factors'!$C$3:$E$44,3,0)*AC73*VLOOKUP(RIGHT($F$74, 7),EmissionTable[], 11,FALSE)</f>
        <v>0</v>
      </c>
      <c r="AE73" s="32"/>
      <c r="AF73" s="19">
        <f>VLOOKUP(_xlfn.CONCAT(AE74,AE75),'Emission Factors'!$C$3:$E$44,3,0)*AE73*VLOOKUP(RIGHT($F$74, 7),EmissionTable[], 11,FALSE)</f>
        <v>0</v>
      </c>
      <c r="AG73" s="19">
        <f>SUM(J73,L73,N73,P73,R73,T73,V73,X73,Z73,AB73,AD73,AF73)</f>
        <v>92648.438796550006</v>
      </c>
      <c r="AH73" s="32"/>
      <c r="AI73" s="32"/>
      <c r="AJ73" s="32"/>
      <c r="AK73" s="32" t="s">
        <v>236</v>
      </c>
    </row>
    <row r="74" spans="1:37" s="2" customFormat="1" ht="15.75" customHeight="1" x14ac:dyDescent="0.25">
      <c r="A74" s="102"/>
      <c r="B74" s="105"/>
      <c r="C74" s="128"/>
      <c r="D74" s="128"/>
      <c r="E74" s="7" t="s">
        <v>222</v>
      </c>
      <c r="F74" s="7" t="s">
        <v>223</v>
      </c>
      <c r="G74" s="15" t="s">
        <v>224</v>
      </c>
      <c r="H74" s="4" t="s">
        <v>225</v>
      </c>
      <c r="I74" s="32" t="s">
        <v>237</v>
      </c>
      <c r="J74" s="19"/>
      <c r="K74" s="32" t="s">
        <v>237</v>
      </c>
      <c r="L74" s="19"/>
      <c r="M74" s="32" t="s">
        <v>237</v>
      </c>
      <c r="N74" s="19"/>
      <c r="O74" s="32" t="s">
        <v>237</v>
      </c>
      <c r="P74" s="19"/>
      <c r="Q74" s="32" t="s">
        <v>237</v>
      </c>
      <c r="R74" s="19"/>
      <c r="S74" s="32" t="s">
        <v>237</v>
      </c>
      <c r="T74" s="19"/>
      <c r="U74" s="32" t="s">
        <v>237</v>
      </c>
      <c r="V74" s="19"/>
      <c r="W74" s="32" t="s">
        <v>237</v>
      </c>
      <c r="X74" s="19"/>
      <c r="Y74" s="32" t="s">
        <v>237</v>
      </c>
      <c r="Z74" s="19"/>
      <c r="AA74" s="32" t="s">
        <v>237</v>
      </c>
      <c r="AB74" s="19"/>
      <c r="AC74" s="32" t="s">
        <v>237</v>
      </c>
      <c r="AD74" s="19"/>
      <c r="AE74" s="32" t="s">
        <v>237</v>
      </c>
      <c r="AF74" s="19"/>
      <c r="AG74" s="20"/>
      <c r="AH74" s="32"/>
      <c r="AI74" s="32"/>
      <c r="AJ74" s="32"/>
      <c r="AK74" s="32"/>
    </row>
    <row r="75" spans="1:37" s="2" customFormat="1" ht="15.75" customHeight="1" x14ac:dyDescent="0.25">
      <c r="A75" s="102"/>
      <c r="B75" s="105"/>
      <c r="C75" s="129"/>
      <c r="D75" s="129"/>
      <c r="E75" s="7" t="s">
        <v>227</v>
      </c>
      <c r="F75" s="7" t="s">
        <v>228</v>
      </c>
      <c r="G75" s="15" t="s">
        <v>229</v>
      </c>
      <c r="H75" s="4" t="s">
        <v>230</v>
      </c>
      <c r="I75" s="32" t="s">
        <v>231</v>
      </c>
      <c r="J75" s="19"/>
      <c r="K75" s="32" t="s">
        <v>231</v>
      </c>
      <c r="L75" s="19"/>
      <c r="M75" s="32" t="s">
        <v>231</v>
      </c>
      <c r="N75" s="19"/>
      <c r="O75" s="32" t="s">
        <v>231</v>
      </c>
      <c r="P75" s="19"/>
      <c r="Q75" s="32" t="s">
        <v>231</v>
      </c>
      <c r="R75" s="19"/>
      <c r="S75" s="32" t="s">
        <v>231</v>
      </c>
      <c r="T75" s="19"/>
      <c r="U75" s="32" t="s">
        <v>231</v>
      </c>
      <c r="V75" s="19"/>
      <c r="W75" s="32" t="s">
        <v>231</v>
      </c>
      <c r="X75" s="19"/>
      <c r="Y75" s="32" t="s">
        <v>231</v>
      </c>
      <c r="Z75" s="19"/>
      <c r="AA75" s="32" t="s">
        <v>231</v>
      </c>
      <c r="AB75" s="19"/>
      <c r="AC75" s="32" t="s">
        <v>231</v>
      </c>
      <c r="AD75" s="19"/>
      <c r="AE75" s="32" t="s">
        <v>231</v>
      </c>
      <c r="AF75" s="19"/>
      <c r="AG75" s="20"/>
      <c r="AH75" s="32"/>
      <c r="AI75" s="32"/>
      <c r="AJ75" s="32"/>
      <c r="AK75" s="32"/>
    </row>
    <row r="76" spans="1:37" s="2" customFormat="1" ht="45" x14ac:dyDescent="0.25">
      <c r="A76" s="102"/>
      <c r="B76" s="105"/>
      <c r="C76" s="127">
        <v>8.4</v>
      </c>
      <c r="D76" s="127" t="s">
        <v>238</v>
      </c>
      <c r="E76" s="7" t="s">
        <v>239</v>
      </c>
      <c r="F76" s="7" t="s">
        <v>240</v>
      </c>
      <c r="G76" s="15" t="s">
        <v>219</v>
      </c>
      <c r="H76" s="4" t="s">
        <v>220</v>
      </c>
      <c r="I76" s="32"/>
      <c r="J76" s="19">
        <f>VLOOKUP(_xlfn.CONCAT(I77,I78),'Emission Factors'!$C$3:$E$44,3,0)*I76*VLOOKUP(RIGHT($F$77, 7),EmissionTable[], 11,FALSE)</f>
        <v>0</v>
      </c>
      <c r="K76" s="32"/>
      <c r="L76" s="19">
        <f>VLOOKUP(_xlfn.CONCAT(K77,K78),'Emission Factors'!$C$3:$E$44,3,0)*K76*VLOOKUP(RIGHT($F$77, 7),EmissionTable[], 11,FALSE)</f>
        <v>0</v>
      </c>
      <c r="M76" s="32"/>
      <c r="N76" s="19">
        <f>VLOOKUP(_xlfn.CONCAT(M77,M78),'Emission Factors'!$C$3:$E$44,3,0)*M76*VLOOKUP(RIGHT($F$77, 7),EmissionTable[], 11,FALSE)</f>
        <v>0</v>
      </c>
      <c r="O76" s="32"/>
      <c r="P76" s="19">
        <f>VLOOKUP(_xlfn.CONCAT(O77,O78),'Emission Factors'!$C$3:$E$44,3,0)*O76*VLOOKUP(RIGHT($F$77, 7),EmissionTable[], 11,FALSE)</f>
        <v>0</v>
      </c>
      <c r="Q76" s="32">
        <v>446</v>
      </c>
      <c r="R76" s="19">
        <f>VLOOKUP(_xlfn.CONCAT(Q77,Q78),'Emission Factors'!$C$3:$E$44,3,0)*Q76*VLOOKUP(RIGHT($F$77, 7),EmissionTable[], 11,FALSE)</f>
        <v>55850.884486400006</v>
      </c>
      <c r="S76" s="32"/>
      <c r="T76" s="19">
        <f>VLOOKUP(_xlfn.CONCAT(S77,S78),'Emission Factors'!$C$3:$E$44,3,0)*S76*VLOOKUP(RIGHT($F$77, 7),EmissionTable[], 11,FALSE)</f>
        <v>0</v>
      </c>
      <c r="U76" s="32"/>
      <c r="V76" s="19">
        <f>VLOOKUP(_xlfn.CONCAT(U77,U78),'Emission Factors'!$C$3:$E$44,3,0)*U76*VLOOKUP(RIGHT($F$77, 7),EmissionTable[], 11,FALSE)</f>
        <v>0</v>
      </c>
      <c r="W76" s="32">
        <v>363</v>
      </c>
      <c r="X76" s="19">
        <f>VLOOKUP(_xlfn.CONCAT(W77,W78),'Emission Factors'!$C$3:$E$44,3,0)*W76*VLOOKUP(RIGHT($F$77, 7),EmissionTable[], 11,FALSE)</f>
        <v>45457.110019200001</v>
      </c>
      <c r="Y76" s="32">
        <v>451</v>
      </c>
      <c r="Z76" s="19">
        <f>VLOOKUP(_xlfn.CONCAT(Y77,Y78),'Emission Factors'!$C$3:$E$44,3,0)*Y76*VLOOKUP(RIGHT($F$77, 7),EmissionTable[], 11,FALSE)</f>
        <v>56477.015478400011</v>
      </c>
      <c r="AA76" s="32"/>
      <c r="AB76" s="19">
        <f>VLOOKUP(_xlfn.CONCAT(AA77,AA78),'Emission Factors'!$C$3:$E$44,3,0)*AA76*VLOOKUP(RIGHT($F$77, 7),EmissionTable[], 11,FALSE)</f>
        <v>0</v>
      </c>
      <c r="AC76" s="32"/>
      <c r="AD76" s="19">
        <f>VLOOKUP(_xlfn.CONCAT(AC77,AC78),'Emission Factors'!$C$3:$E$44,3,0)*AC76*VLOOKUP(RIGHT($F$77, 7),EmissionTable[], 11,FALSE)</f>
        <v>0</v>
      </c>
      <c r="AE76" s="32"/>
      <c r="AF76" s="19">
        <f>VLOOKUP(_xlfn.CONCAT(AE77,AE78),'Emission Factors'!$C$3:$E$44,3,0)*AE76*VLOOKUP(RIGHT($F$77, 7),EmissionTable[], 11,FALSE)</f>
        <v>0</v>
      </c>
      <c r="AG76" s="19">
        <f>SUM(J76,L76,N76,P76,R76,T76,V76,X76,Z76,AB76,AD76,AF76)</f>
        <v>157785.00998400003</v>
      </c>
      <c r="AH76" s="32"/>
      <c r="AI76" s="32"/>
      <c r="AJ76" s="32"/>
      <c r="AK76" s="32" t="s">
        <v>241</v>
      </c>
    </row>
    <row r="77" spans="1:37" s="2" customFormat="1" ht="15.75" customHeight="1" x14ac:dyDescent="0.25">
      <c r="A77" s="102"/>
      <c r="B77" s="105"/>
      <c r="C77" s="128"/>
      <c r="D77" s="128"/>
      <c r="E77" s="7" t="s">
        <v>242</v>
      </c>
      <c r="F77" s="7" t="s">
        <v>223</v>
      </c>
      <c r="G77" s="15" t="s">
        <v>224</v>
      </c>
      <c r="H77" s="4" t="s">
        <v>225</v>
      </c>
      <c r="I77" s="32" t="s">
        <v>226</v>
      </c>
      <c r="J77" s="19"/>
      <c r="K77" s="32" t="s">
        <v>226</v>
      </c>
      <c r="L77" s="19"/>
      <c r="M77" s="32" t="s">
        <v>226</v>
      </c>
      <c r="N77" s="19"/>
      <c r="O77" s="32" t="s">
        <v>226</v>
      </c>
      <c r="P77" s="19"/>
      <c r="Q77" s="32" t="s">
        <v>226</v>
      </c>
      <c r="R77" s="19"/>
      <c r="S77" s="32" t="s">
        <v>226</v>
      </c>
      <c r="T77" s="19"/>
      <c r="U77" s="32" t="s">
        <v>226</v>
      </c>
      <c r="V77" s="19"/>
      <c r="W77" s="32" t="s">
        <v>226</v>
      </c>
      <c r="X77" s="19"/>
      <c r="Y77" s="32" t="s">
        <v>226</v>
      </c>
      <c r="Z77" s="19"/>
      <c r="AA77" s="32" t="s">
        <v>226</v>
      </c>
      <c r="AB77" s="19"/>
      <c r="AC77" s="32" t="s">
        <v>226</v>
      </c>
      <c r="AD77" s="19"/>
      <c r="AE77" s="32" t="s">
        <v>226</v>
      </c>
      <c r="AF77" s="19"/>
      <c r="AG77" s="20"/>
      <c r="AH77" s="32"/>
      <c r="AI77" s="32"/>
      <c r="AJ77" s="32"/>
      <c r="AK77" s="32"/>
    </row>
    <row r="78" spans="1:37" s="2" customFormat="1" ht="15.75" customHeight="1" x14ac:dyDescent="0.25">
      <c r="A78" s="102"/>
      <c r="B78" s="105"/>
      <c r="C78" s="129"/>
      <c r="D78" s="129"/>
      <c r="E78" s="7" t="s">
        <v>243</v>
      </c>
      <c r="F78" s="7" t="s">
        <v>228</v>
      </c>
      <c r="G78" s="15" t="s">
        <v>229</v>
      </c>
      <c r="H78" s="4" t="s">
        <v>230</v>
      </c>
      <c r="I78" s="32" t="s">
        <v>231</v>
      </c>
      <c r="J78" s="19"/>
      <c r="K78" s="32" t="s">
        <v>231</v>
      </c>
      <c r="L78" s="19"/>
      <c r="M78" s="32" t="s">
        <v>231</v>
      </c>
      <c r="N78" s="19"/>
      <c r="O78" s="32" t="s">
        <v>231</v>
      </c>
      <c r="P78" s="19"/>
      <c r="Q78" s="32" t="s">
        <v>231</v>
      </c>
      <c r="R78" s="19"/>
      <c r="S78" s="32" t="s">
        <v>231</v>
      </c>
      <c r="T78" s="19"/>
      <c r="U78" s="32" t="s">
        <v>231</v>
      </c>
      <c r="V78" s="19"/>
      <c r="W78" s="32" t="s">
        <v>231</v>
      </c>
      <c r="X78" s="19"/>
      <c r="Y78" s="32" t="s">
        <v>231</v>
      </c>
      <c r="Z78" s="19"/>
      <c r="AA78" s="32" t="s">
        <v>231</v>
      </c>
      <c r="AB78" s="19"/>
      <c r="AC78" s="32" t="s">
        <v>231</v>
      </c>
      <c r="AD78" s="19"/>
      <c r="AE78" s="32" t="s">
        <v>231</v>
      </c>
      <c r="AF78" s="19"/>
      <c r="AG78" s="20"/>
      <c r="AH78" s="32"/>
      <c r="AI78" s="32"/>
      <c r="AJ78" s="32"/>
      <c r="AK78" s="32"/>
    </row>
    <row r="79" spans="1:37" s="2" customFormat="1" ht="30" x14ac:dyDescent="0.25">
      <c r="A79" s="102"/>
      <c r="B79" s="105"/>
      <c r="C79" s="29"/>
      <c r="D79" s="27" t="s">
        <v>244</v>
      </c>
      <c r="E79" s="7"/>
      <c r="F79" s="7" t="s">
        <v>245</v>
      </c>
      <c r="G79" s="15" t="s">
        <v>219</v>
      </c>
      <c r="H79" s="4"/>
      <c r="I79" s="31">
        <v>874</v>
      </c>
      <c r="J79" s="19">
        <f>I79*VLOOKUP($F79,'Emission Factors'!$A$3:$E$44,5,FALSE)*VLOOKUP($F79, EmissionTable[], 11, FALSE)</f>
        <v>125748.41829120003</v>
      </c>
      <c r="K79" s="31">
        <v>536</v>
      </c>
      <c r="L79" s="19">
        <f>K79*VLOOKUP($F79,'Emission Factors'!$A$3:$E$44,5,FALSE)*VLOOKUP($F79, EmissionTable[], 11, FALSE)</f>
        <v>77118.023116800017</v>
      </c>
      <c r="M79" s="31">
        <v>388</v>
      </c>
      <c r="N79" s="19">
        <f>M79*VLOOKUP($F79,'Emission Factors'!$A$3:$E$44,5,FALSE)*VLOOKUP($F79, EmissionTable[], 11, FALSE)</f>
        <v>55824.240614400012</v>
      </c>
      <c r="O79" s="31">
        <v>2284</v>
      </c>
      <c r="P79" s="19">
        <f>O79*VLOOKUP($F79,'Emission Factors'!$A$3:$E$44,5,FALSE)*VLOOKUP($F79, EmissionTable[], 11, FALSE)</f>
        <v>328614.85969920002</v>
      </c>
      <c r="Q79" s="31">
        <v>5108</v>
      </c>
      <c r="R79" s="19">
        <f>Q79*VLOOKUP($F79,'Emission Factors'!$A$3:$E$44,5,FALSE)*VLOOKUP($F79, EmissionTable[], 11, FALSE)</f>
        <v>734923.2501504001</v>
      </c>
      <c r="S79" s="31">
        <v>6417</v>
      </c>
      <c r="T79" s="19">
        <f>S79*VLOOKUP($F79,'Emission Factors'!$A$3:$E$44,5,FALSE)*VLOOKUP($F79, EmissionTable[], 11, FALSE)</f>
        <v>923258.12376960006</v>
      </c>
      <c r="U79" s="31">
        <v>3864</v>
      </c>
      <c r="V79" s="19">
        <f>U79*VLOOKUP($F79,'Emission Factors'!$A$3:$E$44,5,FALSE)*VLOOKUP($F79, EmissionTable[], 11, FALSE)</f>
        <v>555940.37560320005</v>
      </c>
      <c r="W79" s="31">
        <v>11015</v>
      </c>
      <c r="X79" s="19">
        <f>W79*VLOOKUP($F79,'Emission Factors'!$A$3:$E$44,5,FALSE)*VLOOKUP($F79, EmissionTable[], 11, FALSE)</f>
        <v>1584804.1504320002</v>
      </c>
      <c r="Y79" s="31">
        <v>7746</v>
      </c>
      <c r="Z79" s="19">
        <f>Y79*VLOOKUP($F79,'Emission Factors'!$A$3:$E$44,5,FALSE)*VLOOKUP($F79, EmissionTable[], 11, FALSE)</f>
        <v>1114470.5355648</v>
      </c>
      <c r="AA79" s="31">
        <v>5910</v>
      </c>
      <c r="AB79" s="19">
        <f>AA79*VLOOKUP($F79,'Emission Factors'!$A$3:$E$44,5,FALSE)*VLOOKUP($F79, EmissionTable[], 11, FALSE)</f>
        <v>850312.53100800002</v>
      </c>
      <c r="AC79" s="31">
        <f>AA79</f>
        <v>5910</v>
      </c>
      <c r="AD79" s="19">
        <f>AC79*VLOOKUP($F79,'Emission Factors'!$A$3:$E$44,5,FALSE)*VLOOKUP($F79, EmissionTable[], 11, FALSE)</f>
        <v>850312.53100800002</v>
      </c>
      <c r="AE79" s="31">
        <f>AC79</f>
        <v>5910</v>
      </c>
      <c r="AF79" s="19">
        <f>AE79*VLOOKUP($F79,'Emission Factors'!$A$3:$E$44,5,FALSE)*VLOOKUP($F79, EmissionTable[], 11, FALSE)</f>
        <v>850312.53100800002</v>
      </c>
      <c r="AG79" s="19">
        <f>SUM(J79,L79,N79,P79,R79,T79,V79,X79,Z79,AB79,AD79,AF79)</f>
        <v>8051639.5702655986</v>
      </c>
      <c r="AH79" s="32"/>
      <c r="AI79" s="32"/>
      <c r="AJ79" s="32"/>
      <c r="AK79" s="31"/>
    </row>
    <row r="80" spans="1:37" s="2" customFormat="1" ht="15.75" x14ac:dyDescent="0.25">
      <c r="A80" s="102"/>
      <c r="B80" s="105"/>
      <c r="C80" s="29"/>
      <c r="D80" s="27" t="s">
        <v>260</v>
      </c>
      <c r="E80" s="7"/>
      <c r="F80" s="7" t="s">
        <v>261</v>
      </c>
      <c r="G80" s="15" t="s">
        <v>219</v>
      </c>
      <c r="H80" s="4"/>
      <c r="I80" s="31">
        <v>324</v>
      </c>
      <c r="J80" s="19">
        <f>I80*VLOOKUP($F80,EmissionTable[],5,FALSE)*VLOOKUP($F80,EmissionTable[], 11, FALSE)</f>
        <v>1408.4280000000001</v>
      </c>
      <c r="K80" s="31">
        <v>593</v>
      </c>
      <c r="L80" s="19">
        <f>K80*VLOOKUP($F80,EmissionTable[],5,FALSE)*VLOOKUP($F80,EmissionTable[], 11, FALSE)</f>
        <v>2577.7710000000002</v>
      </c>
      <c r="M80" s="31">
        <v>68</v>
      </c>
      <c r="N80" s="19">
        <f>M80*VLOOKUP($F80,EmissionTable[],5,FALSE)*VLOOKUP($F80,EmissionTable[], 11, FALSE)</f>
        <v>295.596</v>
      </c>
      <c r="O80" s="31">
        <v>16</v>
      </c>
      <c r="P80" s="19">
        <f>O80*VLOOKUP($F80,EmissionTable[],5,FALSE)*VLOOKUP($F80,EmissionTable[], 11, FALSE)</f>
        <v>69.552000000000007</v>
      </c>
      <c r="Q80" s="31">
        <v>749</v>
      </c>
      <c r="R80" s="19">
        <f>Q80*VLOOKUP($F80,EmissionTable[],5,FALSE)*VLOOKUP($F80,EmissionTable[], 11, FALSE)</f>
        <v>3255.9030000000007</v>
      </c>
      <c r="S80" s="31">
        <v>739</v>
      </c>
      <c r="T80" s="19">
        <f>S80*VLOOKUP($F80,EmissionTable[],5,FALSE)*VLOOKUP($F80,EmissionTable[], 11, FALSE)</f>
        <v>3212.433</v>
      </c>
      <c r="U80" s="31">
        <v>224</v>
      </c>
      <c r="V80" s="19">
        <f>U80*VLOOKUP($F80,EmissionTable[],5,FALSE)*VLOOKUP($F80,EmissionTable[], 11, FALSE)</f>
        <v>973.72800000000018</v>
      </c>
      <c r="W80" s="31"/>
      <c r="X80" s="19">
        <f>W80*VLOOKUP($F80,EmissionTable[],5,FALSE)*VLOOKUP($F80,EmissionTable[], 11, FALSE)</f>
        <v>0</v>
      </c>
      <c r="Y80" s="31"/>
      <c r="Z80" s="19">
        <f>Y80*VLOOKUP($F80,EmissionTable[],5,FALSE)*VLOOKUP($F80,EmissionTable[], 11, FALSE)</f>
        <v>0</v>
      </c>
      <c r="AA80" s="31"/>
      <c r="AB80" s="19">
        <f>AA80*VLOOKUP($F80,EmissionTable[],5,FALSE)*VLOOKUP($F80,EmissionTable[], 11, FALSE)</f>
        <v>0</v>
      </c>
      <c r="AC80" s="31"/>
      <c r="AD80" s="19">
        <f>AC80*VLOOKUP($F80,EmissionTable[],5,FALSE)*VLOOKUP($F80,EmissionTable[], 11, FALSE)</f>
        <v>0</v>
      </c>
      <c r="AE80" s="31"/>
      <c r="AF80" s="19">
        <f>AE80*VLOOKUP($F80,EmissionTable[],5,FALSE)*VLOOKUP($F80,EmissionTable[], 11, FALSE)</f>
        <v>0</v>
      </c>
      <c r="AG80" s="20"/>
      <c r="AH80" s="32"/>
      <c r="AI80" s="32"/>
      <c r="AJ80" s="32"/>
      <c r="AK80" s="31"/>
    </row>
    <row r="81" spans="1:37" s="2" customFormat="1" ht="30" x14ac:dyDescent="0.25">
      <c r="A81" s="102"/>
      <c r="B81" s="105"/>
      <c r="C81" s="29">
        <v>8.8000000000000007</v>
      </c>
      <c r="D81" s="27" t="s">
        <v>246</v>
      </c>
      <c r="E81" s="7" t="s">
        <v>247</v>
      </c>
      <c r="F81" s="7" t="s">
        <v>246</v>
      </c>
      <c r="G81" s="15" t="s">
        <v>219</v>
      </c>
      <c r="H81" s="4" t="s">
        <v>248</v>
      </c>
      <c r="I81" s="31"/>
      <c r="J81" s="36">
        <f>I81*'Emission Factors'!$E$29*1000*'Emission Factors'!$K$4</f>
        <v>0</v>
      </c>
      <c r="K81" s="31"/>
      <c r="L81" s="36">
        <f>K81*'Emission Factors'!$E$29*1000*'Emission Factors'!$K$4</f>
        <v>0</v>
      </c>
      <c r="M81" s="31"/>
      <c r="N81" s="36">
        <f>M81*'Emission Factors'!$E$29*1000*'Emission Factors'!$K$4</f>
        <v>0</v>
      </c>
      <c r="O81" s="31"/>
      <c r="P81" s="36">
        <f>O81*'Emission Factors'!$E$29*1000*'Emission Factors'!$K$4</f>
        <v>0</v>
      </c>
      <c r="Q81" s="31"/>
      <c r="R81" s="36">
        <f>Q81*'Emission Factors'!$E$29*1000*'Emission Factors'!$K$4</f>
        <v>0</v>
      </c>
      <c r="S81" s="31"/>
      <c r="T81" s="36">
        <f>S81*'Emission Factors'!$E$29*1000*'Emission Factors'!$K$4</f>
        <v>0</v>
      </c>
      <c r="U81" s="31"/>
      <c r="V81" s="36">
        <f>U81*'Emission Factors'!$E$29*1000*'Emission Factors'!$K$4</f>
        <v>0</v>
      </c>
      <c r="W81" s="31"/>
      <c r="X81" s="36">
        <f>W81*'Emission Factors'!$E$29*1000*'Emission Factors'!$K$4</f>
        <v>0</v>
      </c>
      <c r="Y81" s="31"/>
      <c r="Z81" s="36">
        <f>Y81*'Emission Factors'!$E$29*1000*'Emission Factors'!$K$4</f>
        <v>0</v>
      </c>
      <c r="AA81" s="31"/>
      <c r="AB81" s="36">
        <f>AA81*'Emission Factors'!$E$29*1000*'Emission Factors'!$K$4</f>
        <v>0</v>
      </c>
      <c r="AC81" s="31"/>
      <c r="AD81" s="36">
        <f>AC81*'Emission Factors'!$E$29*1000*'Emission Factors'!$K$4</f>
        <v>0</v>
      </c>
      <c r="AE81" s="31"/>
      <c r="AF81" s="36">
        <f>AE81*'Emission Factors'!$E$29*1000*'Emission Factors'!$K$4</f>
        <v>0</v>
      </c>
      <c r="AG81" s="20"/>
      <c r="AH81" s="32"/>
      <c r="AI81" s="32"/>
      <c r="AJ81" s="32"/>
      <c r="AK81" s="32"/>
    </row>
    <row r="82" spans="1:37" s="2" customFormat="1" ht="60" x14ac:dyDescent="0.25">
      <c r="A82" s="102"/>
      <c r="B82" s="105"/>
      <c r="C82" s="29">
        <v>8.9</v>
      </c>
      <c r="D82" s="27" t="s">
        <v>262</v>
      </c>
      <c r="E82" s="7" t="s">
        <v>250</v>
      </c>
      <c r="F82" s="30" t="s">
        <v>249</v>
      </c>
      <c r="G82" s="15" t="s">
        <v>82</v>
      </c>
      <c r="H82" s="4" t="s">
        <v>251</v>
      </c>
      <c r="I82" s="32">
        <v>6.8</v>
      </c>
      <c r="J82" s="19">
        <f>I82*VLOOKUP($F82,'Emission Factors'!$A$3:$E$44,5,FALSE)*1000</f>
        <v>2610.4484640000001</v>
      </c>
      <c r="K82" s="32">
        <v>56</v>
      </c>
      <c r="L82" s="19">
        <f>K82*VLOOKUP($F82,'Emission Factors'!$A$3:$E$44,5,FALSE)*1000</f>
        <v>21497.810880000001</v>
      </c>
      <c r="M82" s="32">
        <v>41</v>
      </c>
      <c r="N82" s="19">
        <f>M82*VLOOKUP($F82,'Emission Factors'!$A$3:$E$44,5,FALSE)*1000</f>
        <v>15739.46868</v>
      </c>
      <c r="O82" s="32">
        <v>1136</v>
      </c>
      <c r="P82" s="19">
        <f>O82*VLOOKUP($F82,'Emission Factors'!$A$3:$E$44,5,FALSE)*1000</f>
        <v>436098.44928</v>
      </c>
      <c r="Q82" s="32">
        <v>1060</v>
      </c>
      <c r="R82" s="19">
        <f>Q82*VLOOKUP($F82,'Emission Factors'!$A$3:$E$44,5,FALSE)*1000</f>
        <v>406922.84879999998</v>
      </c>
      <c r="S82" s="32">
        <v>768</v>
      </c>
      <c r="T82" s="19">
        <f>S82*VLOOKUP($F82,'Emission Factors'!$A$3:$E$44,5,FALSE)*1000</f>
        <v>294827.12063999998</v>
      </c>
      <c r="U82" s="32">
        <v>846</v>
      </c>
      <c r="V82" s="19">
        <f>U82*VLOOKUP($F82,'Emission Factors'!$A$3:$E$44,5,FALSE)*1000</f>
        <v>324770.50007999997</v>
      </c>
      <c r="W82" s="32">
        <v>1090</v>
      </c>
      <c r="X82" s="19">
        <f>W82*VLOOKUP($F82,'Emission Factors'!$A$3:$E$44,5,FALSE)*1000</f>
        <v>418439.53320000001</v>
      </c>
      <c r="Y82" s="32">
        <v>1057</v>
      </c>
      <c r="Z82" s="19">
        <f>Y82*VLOOKUP($F82,'Emission Factors'!$A$3:$E$44,5,FALSE)*1000</f>
        <v>405771.18036</v>
      </c>
      <c r="AA82" s="32">
        <v>301</v>
      </c>
      <c r="AB82" s="19">
        <f>AA82*VLOOKUP($F82,'Emission Factors'!$A$3:$E$44,5,FALSE)*1000</f>
        <v>115550.73348000001</v>
      </c>
      <c r="AC82" s="32">
        <f>AA82</f>
        <v>301</v>
      </c>
      <c r="AD82" s="19">
        <f>AC82*VLOOKUP($F82,'Emission Factors'!$A$3:$E$44,5,FALSE)*1000</f>
        <v>115550.73348000001</v>
      </c>
      <c r="AE82" s="32">
        <f>AC82</f>
        <v>301</v>
      </c>
      <c r="AF82" s="19">
        <f>AE82*VLOOKUP($F82,'Emission Factors'!$A$3:$E$44,5,FALSE)*1000</f>
        <v>115550.73348000001</v>
      </c>
      <c r="AG82" s="36">
        <f>SUM(J82,L82,N82,P82,R82,T82,V82,X82,Z82,AB82,AD82,AF82)</f>
        <v>2673329.5608239993</v>
      </c>
      <c r="AH82" s="32"/>
      <c r="AI82" s="32"/>
      <c r="AJ82" s="32"/>
      <c r="AK82" s="32"/>
    </row>
    <row r="83" spans="1:37" s="2" customFormat="1" ht="15.75" x14ac:dyDescent="0.25">
      <c r="A83" s="102"/>
      <c r="B83" s="105"/>
      <c r="C83" s="29"/>
      <c r="D83" s="30" t="s">
        <v>223</v>
      </c>
      <c r="E83" s="7"/>
      <c r="F83" s="2" t="s">
        <v>249</v>
      </c>
      <c r="G83" s="15" t="s">
        <v>82</v>
      </c>
      <c r="H83" s="4" t="s">
        <v>263</v>
      </c>
      <c r="I83" s="32"/>
      <c r="J83" s="19">
        <f>I83*VLOOKUP($F83,'Emission Factors'!$A$3:$E$44,5,FALSE)*1000</f>
        <v>0</v>
      </c>
      <c r="K83" s="32"/>
      <c r="L83" s="19"/>
      <c r="M83" s="32">
        <v>47</v>
      </c>
      <c r="N83" s="19">
        <f>M83*VLOOKUP($F83,'Emission Factors'!$A$3:$E$44,5,FALSE)*1000</f>
        <v>18042.805560000001</v>
      </c>
      <c r="O83" s="32">
        <v>418</v>
      </c>
      <c r="P83" s="19">
        <f>O83*VLOOKUP($F83,'Emission Factors'!$A$3:$E$44,5,FALSE)*1000</f>
        <v>160465.80263999998</v>
      </c>
      <c r="Q83" s="32">
        <v>113</v>
      </c>
      <c r="R83" s="19">
        <f>Q83*VLOOKUP($F83,'Emission Factors'!$A$3:$E$44,5,FALSE)*1000</f>
        <v>43379.51124</v>
      </c>
      <c r="S83" s="32">
        <v>84</v>
      </c>
      <c r="T83" s="19">
        <f>S83*VLOOKUP($F83,'Emission Factors'!$A$3:$E$44,5,FALSE)*1000</f>
        <v>32246.716319999996</v>
      </c>
      <c r="U83" s="32">
        <v>223</v>
      </c>
      <c r="V83" s="19">
        <f>U83*VLOOKUP($F83,'Emission Factors'!$A$3:$E$44,5,FALSE)*1000</f>
        <v>85607.354040000006</v>
      </c>
      <c r="W83" s="32">
        <v>235</v>
      </c>
      <c r="X83" s="19">
        <f>W83*VLOOKUP($F83,'Emission Factors'!$A$3:$E$44,5,FALSE)*1000</f>
        <v>90214.027799999996</v>
      </c>
      <c r="Y83" s="32">
        <v>34</v>
      </c>
      <c r="Z83" s="19">
        <f>Y83*VLOOKUP($F83,'Emission Factors'!$A$3:$E$44,5,FALSE)*1000</f>
        <v>13052.242319999999</v>
      </c>
      <c r="AA83" s="32">
        <v>94</v>
      </c>
      <c r="AB83" s="19">
        <f>AA83*VLOOKUP($F83,'Emission Factors'!$A$3:$E$44,5,FALSE)*1000</f>
        <v>36085.611120000001</v>
      </c>
      <c r="AC83" s="32">
        <f>AA83</f>
        <v>94</v>
      </c>
      <c r="AD83" s="19">
        <f>AC83*VLOOKUP($F83,'Emission Factors'!$A$3:$E$44,5,FALSE)*1000</f>
        <v>36085.611120000001</v>
      </c>
      <c r="AE83" s="32">
        <f>AC83</f>
        <v>94</v>
      </c>
      <c r="AF83" s="19">
        <f>AE83*VLOOKUP($F83,'Emission Factors'!$A$3:$E$44,5,FALSE)*1000</f>
        <v>36085.611120000001</v>
      </c>
      <c r="AG83" s="36">
        <f>SUM(J83,L83,N83,P83,R83,T83,V83,X83,Z83,AB83,AD83,AF83)</f>
        <v>551265.29327999998</v>
      </c>
      <c r="AH83" s="32"/>
      <c r="AI83" s="32"/>
      <c r="AJ83" s="32"/>
      <c r="AK83" s="32"/>
    </row>
    <row r="84" spans="1:37" s="2" customFormat="1" ht="30" x14ac:dyDescent="0.25">
      <c r="A84" s="103"/>
      <c r="B84" s="106"/>
      <c r="C84" s="35">
        <v>8.1</v>
      </c>
      <c r="D84" s="27" t="s">
        <v>56</v>
      </c>
      <c r="E84" s="7" t="s">
        <v>252</v>
      </c>
      <c r="F84" s="7" t="s">
        <v>56</v>
      </c>
      <c r="G84" s="15" t="s">
        <v>15</v>
      </c>
      <c r="H84" s="4" t="s">
        <v>58</v>
      </c>
      <c r="I84" s="32"/>
      <c r="J84" s="19">
        <f>I84</f>
        <v>0</v>
      </c>
      <c r="K84" s="32"/>
      <c r="L84" s="19">
        <f>K84</f>
        <v>0</v>
      </c>
      <c r="M84" s="32"/>
      <c r="N84" s="19">
        <f>M84</f>
        <v>0</v>
      </c>
      <c r="O84" s="32"/>
      <c r="P84" s="19">
        <f>O84</f>
        <v>0</v>
      </c>
      <c r="Q84" s="32"/>
      <c r="R84" s="19">
        <f>Q84</f>
        <v>0</v>
      </c>
      <c r="S84" s="32"/>
      <c r="T84" s="19">
        <f>S84</f>
        <v>0</v>
      </c>
      <c r="U84" s="32"/>
      <c r="V84" s="19">
        <f>U84</f>
        <v>0</v>
      </c>
      <c r="W84" s="32"/>
      <c r="X84" s="19">
        <f>W84</f>
        <v>0</v>
      </c>
      <c r="Y84" s="32"/>
      <c r="Z84" s="19">
        <f>Y84</f>
        <v>0</v>
      </c>
      <c r="AA84" s="32"/>
      <c r="AB84" s="19">
        <f>AA84</f>
        <v>0</v>
      </c>
      <c r="AC84" s="32"/>
      <c r="AD84" s="19">
        <f>AC84</f>
        <v>0</v>
      </c>
      <c r="AE84" s="32"/>
      <c r="AF84" s="19">
        <f>AE84</f>
        <v>0</v>
      </c>
      <c r="AG84" s="19">
        <f>SUM(J84,L84,N84,P84,R84,T84,V84,X84,Z84,AB84,AD84,AF84)</f>
        <v>0</v>
      </c>
      <c r="AH84" s="32"/>
      <c r="AI84" s="32"/>
      <c r="AJ84" s="32"/>
      <c r="AK84" s="32"/>
    </row>
    <row r="85" spans="1:37" x14ac:dyDescent="0.3">
      <c r="AG85"/>
    </row>
    <row r="95" spans="1:37" x14ac:dyDescent="0.3">
      <c r="F95" t="s">
        <v>264</v>
      </c>
      <c r="G95">
        <v>3300</v>
      </c>
    </row>
    <row r="96" spans="1:37" x14ac:dyDescent="0.3">
      <c r="G96">
        <f>20*G95</f>
        <v>66000</v>
      </c>
    </row>
  </sheetData>
  <mergeCells count="89">
    <mergeCell ref="AH1:AH3"/>
    <mergeCell ref="AI1:AI3"/>
    <mergeCell ref="AJ1:AJ3"/>
    <mergeCell ref="AK1:AK3"/>
    <mergeCell ref="I2:J2"/>
    <mergeCell ref="K2:L2"/>
    <mergeCell ref="M2:N2"/>
    <mergeCell ref="O2:P2"/>
    <mergeCell ref="Q2:R2"/>
    <mergeCell ref="S2:T2"/>
    <mergeCell ref="I1:AF1"/>
    <mergeCell ref="U2:V2"/>
    <mergeCell ref="W2:X2"/>
    <mergeCell ref="Y2:Z2"/>
    <mergeCell ref="AA2:AB2"/>
    <mergeCell ref="AE2:AF2"/>
    <mergeCell ref="B4:B11"/>
    <mergeCell ref="C4:C6"/>
    <mergeCell ref="D4:D6"/>
    <mergeCell ref="H4:H8"/>
    <mergeCell ref="C7:C8"/>
    <mergeCell ref="D7:D8"/>
    <mergeCell ref="C9:C10"/>
    <mergeCell ref="A17:A18"/>
    <mergeCell ref="B17:B18"/>
    <mergeCell ref="C17:C18"/>
    <mergeCell ref="D17:D18"/>
    <mergeCell ref="AC2:AD2"/>
    <mergeCell ref="D9:D10"/>
    <mergeCell ref="A12:A16"/>
    <mergeCell ref="B12:B16"/>
    <mergeCell ref="C12:C15"/>
    <mergeCell ref="D12:D15"/>
    <mergeCell ref="A1:B3"/>
    <mergeCell ref="C1:D3"/>
    <mergeCell ref="E1:F3"/>
    <mergeCell ref="G1:G3"/>
    <mergeCell ref="H1:H3"/>
    <mergeCell ref="A4:A11"/>
    <mergeCell ref="A19:A30"/>
    <mergeCell ref="B19:B30"/>
    <mergeCell ref="C19:C23"/>
    <mergeCell ref="D19:D23"/>
    <mergeCell ref="H19:H21"/>
    <mergeCell ref="C26:C29"/>
    <mergeCell ref="D26:D29"/>
    <mergeCell ref="H26:H29"/>
    <mergeCell ref="A31:A36"/>
    <mergeCell ref="B31:B36"/>
    <mergeCell ref="C31:C32"/>
    <mergeCell ref="D31:D32"/>
    <mergeCell ref="H31:H32"/>
    <mergeCell ref="C33:C34"/>
    <mergeCell ref="D33:D34"/>
    <mergeCell ref="C53:C54"/>
    <mergeCell ref="A37:A41"/>
    <mergeCell ref="B37:B41"/>
    <mergeCell ref="C38:C39"/>
    <mergeCell ref="D38:D39"/>
    <mergeCell ref="C48:C52"/>
    <mergeCell ref="D48:D52"/>
    <mergeCell ref="A42:A61"/>
    <mergeCell ref="B42:B61"/>
    <mergeCell ref="C43:C47"/>
    <mergeCell ref="D43:D47"/>
    <mergeCell ref="A63:A84"/>
    <mergeCell ref="B63:B84"/>
    <mergeCell ref="C63:C66"/>
    <mergeCell ref="D63:D66"/>
    <mergeCell ref="C67:C69"/>
    <mergeCell ref="D67:D69"/>
    <mergeCell ref="C76:C78"/>
    <mergeCell ref="D76:D78"/>
    <mergeCell ref="AG1:AG3"/>
    <mergeCell ref="H67:H69"/>
    <mergeCell ref="C70:C72"/>
    <mergeCell ref="D70:D72"/>
    <mergeCell ref="C73:C75"/>
    <mergeCell ref="D73:D75"/>
    <mergeCell ref="D53:D54"/>
    <mergeCell ref="C57:C58"/>
    <mergeCell ref="D57:D58"/>
    <mergeCell ref="C59:C60"/>
    <mergeCell ref="D59:D60"/>
    <mergeCell ref="H38:H39"/>
    <mergeCell ref="H43:H47"/>
    <mergeCell ref="C55:C56"/>
    <mergeCell ref="D55:D56"/>
    <mergeCell ref="H48:H52"/>
  </mergeCells>
  <hyperlinks>
    <hyperlink ref="A4:A11" location="README!O23" display="README!O23" xr:uid="{7A72D8BD-64D5-4E77-B6EE-5D2423EFF6D5}"/>
    <hyperlink ref="A12:A16" location="README!O31" display="README!O31" xr:uid="{54111169-FFE4-471E-8CD0-CAFD3F349D22}"/>
    <hyperlink ref="A17:A18" location="README!O43" display="README!O43" xr:uid="{B30B90DF-422F-44E5-BC15-21015212E601}"/>
    <hyperlink ref="A19:A30" location="README!O51" display="README!O51" xr:uid="{E59CC584-D54B-4897-938E-9DE66A1300D2}"/>
    <hyperlink ref="A31:A36" location="README!O99" display="README!O99" xr:uid="{37B59562-F071-4970-98AC-0630BEF91D57}"/>
    <hyperlink ref="A37:A41" location="README!O112" display="README!O112" xr:uid="{E41B30D0-5EF1-4554-BC09-28B3400DE400}"/>
    <hyperlink ref="A42:A61" location="README!O118" display="README!O118" xr:uid="{C2836AEF-2EA0-4AC8-9C69-0ACE02EC7421}"/>
    <hyperlink ref="I1:T1" location="README!B43" display="Amount" xr:uid="{2636E9F1-2736-4086-80D9-EC53BD44DCCD}"/>
    <hyperlink ref="AH1:AH3" location="README!B63" display="Units (Alternative)" xr:uid="{5F8217B7-BB63-4B6B-9AF7-D658DD1DDB28}"/>
    <hyperlink ref="AI1:AI3" location="README!B70" display="Data Source" xr:uid="{E6E68BC2-BCB5-4E0E-9E75-2DE1D498D793}"/>
    <hyperlink ref="AJ1:AJ3" location="README!B98" display="Data Reliability" xr:uid="{A4683A1F-5D73-4783-AC72-C444F5E2B5E8}"/>
    <hyperlink ref="AK1:AK3" location="README!B124" display="Notes" xr:uid="{23550A97-8567-4B76-BBF8-73AFB446DB7A}"/>
    <hyperlink ref="AG1:AG3" location="README!B63" display="Units (Alternative)" xr:uid="{4166250C-70C9-4FB5-8A72-C17D20659544}"/>
  </hyperlink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CA39A422-7159-4AED-9BD4-A144B5154C36}">
          <x14:formula1>
            <xm:f>Lookup!$C$3:$C$5</xm:f>
          </x14:formula1>
          <xm:sqref>I57 I59 I55 I53 K57 M57 O57 Q57 S57 U57 W57 Y57 AA57 AC57 AE57 K59 M59 O59 Q59 S59 U59 W59 Y59 AA59 AC59 AE59 K55 M55 O55 Q55 S55 U55 W55 Y55 AA55 AC55 AE55 K53 M53 O53 Q53 S53 U53 W53 Y53 AA53 AC53 AE53</xm:sqref>
        </x14:dataValidation>
        <x14:dataValidation type="list" allowBlank="1" showInputMessage="1" showErrorMessage="1" xr:uid="{5F842669-9E15-43C6-B8F6-B2B995ED3851}">
          <x14:formula1>
            <xm:f>Lookup!$G$3:$G$4</xm:f>
          </x14:formula1>
          <xm:sqref>AE71 I77 I71 K71 M71 O71 Q71 S71 U71 W71 Y71 AA71 AC71 I74 K74 M74 O74 Q74 S74 U74 W74 Y74 AA74 AC74 AE74 K77 M77 O77 Q77 S77 U77 W77 Y77 AA77 AC77 AE77</xm:sqref>
        </x14:dataValidation>
        <x14:dataValidation type="list" allowBlank="1" showInputMessage="1" showErrorMessage="1" xr:uid="{A3BE1229-D82F-4393-8BC0-D188DBFF76AA}">
          <x14:formula1>
            <xm:f>Lookup!$H$3:$H$7</xm:f>
          </x14:formula1>
          <xm:sqref>M78 K78 I72 O78 Q78 S78 U78 W78 I78 Y78 AA78 AC78 AE78 I75 K75 M75 O75 Q75 S75 U75 W75 Y75 AA75 AC75 AE75 K72 M72 O72 Q72 S72 U72 W72 Y72 AA72 AC72 AE72</xm:sqref>
        </x14:dataValidation>
        <x14:dataValidation type="list" allowBlank="1" showInputMessage="1" showErrorMessage="1" xr:uid="{996F9098-19CB-460A-99E8-DF20ED4910CB}">
          <x14:formula1>
            <xm:f>Lookup!$D$3:$D$6</xm:f>
          </x14:formula1>
          <xm:sqref>AJ4:AJ8 AJ10:AJ84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AAF13-1A37-48E9-92F4-9E6B7CC01F8C}">
  <sheetPr codeName="Sheet8"/>
  <dimension ref="A1:AJ255"/>
  <sheetViews>
    <sheetView zoomScale="70" zoomScaleNormal="70" workbookViewId="0">
      <selection activeCell="F15" sqref="F15"/>
    </sheetView>
  </sheetViews>
  <sheetFormatPr defaultRowHeight="15" outlineLevelRow="1" x14ac:dyDescent="0.25"/>
  <cols>
    <col min="2" max="2" width="23.7109375" customWidth="1"/>
    <col min="4" max="4" width="26.42578125" customWidth="1"/>
    <col min="5" max="5" width="15" customWidth="1"/>
    <col min="6" max="6" width="27.5703125" customWidth="1"/>
    <col min="8" max="8" width="12.140625" bestFit="1" customWidth="1"/>
    <col min="9" max="9" width="11.85546875" bestFit="1" customWidth="1"/>
    <col min="10" max="10" width="12.28515625" bestFit="1" customWidth="1"/>
    <col min="11" max="11" width="12.85546875" bestFit="1" customWidth="1"/>
    <col min="12" max="12" width="12.140625" bestFit="1" customWidth="1"/>
    <col min="13" max="13" width="12.5703125" bestFit="1" customWidth="1"/>
    <col min="14" max="14" width="12.85546875" bestFit="1" customWidth="1"/>
    <col min="15" max="15" width="12.140625" bestFit="1" customWidth="1"/>
    <col min="16" max="16" width="12.85546875" bestFit="1" customWidth="1"/>
    <col min="17" max="17" width="12.140625" bestFit="1" customWidth="1"/>
    <col min="18" max="18" width="12.5703125" bestFit="1" customWidth="1"/>
    <col min="19" max="19" width="11.85546875" bestFit="1" customWidth="1"/>
    <col min="20" max="20" width="11" bestFit="1" customWidth="1"/>
    <col min="21" max="21" width="10.5703125" bestFit="1" customWidth="1"/>
    <col min="22" max="22" width="10.85546875" bestFit="1" customWidth="1"/>
    <col min="23" max="24" width="11" bestFit="1" customWidth="1"/>
    <col min="25" max="26" width="10.85546875" bestFit="1" customWidth="1"/>
    <col min="27" max="27" width="12.28515625" bestFit="1" customWidth="1"/>
    <col min="28" max="28" width="12.140625" bestFit="1" customWidth="1"/>
    <col min="29" max="29" width="10.5703125" bestFit="1" customWidth="1"/>
    <col min="30" max="30" width="11" bestFit="1" customWidth="1"/>
    <col min="31" max="31" width="10.28515625" bestFit="1" customWidth="1"/>
    <col min="32" max="32" width="18.85546875" customWidth="1"/>
    <col min="33" max="33" width="23.42578125" bestFit="1" customWidth="1"/>
    <col min="34" max="34" width="15.7109375" bestFit="1" customWidth="1"/>
    <col min="35" max="35" width="19.7109375" bestFit="1" customWidth="1"/>
    <col min="36" max="36" width="9" bestFit="1" customWidth="1"/>
  </cols>
  <sheetData>
    <row r="1" spans="1:36" ht="20.100000000000001" customHeight="1" thickBot="1" x14ac:dyDescent="0.35">
      <c r="A1" s="121" t="s">
        <v>14</v>
      </c>
      <c r="B1" s="121"/>
      <c r="C1" s="121" t="s">
        <v>22</v>
      </c>
      <c r="D1" s="121"/>
      <c r="E1" s="121" t="s">
        <v>23</v>
      </c>
      <c r="F1" s="121"/>
      <c r="G1" s="121" t="s">
        <v>24</v>
      </c>
      <c r="H1" s="139" t="s">
        <v>31</v>
      </c>
      <c r="I1" s="139"/>
      <c r="J1" s="139"/>
      <c r="K1" s="139"/>
      <c r="L1" s="139"/>
      <c r="M1" s="139"/>
      <c r="N1" s="139"/>
      <c r="O1" s="139"/>
      <c r="P1" s="139"/>
      <c r="Q1" s="139"/>
      <c r="R1" s="139"/>
      <c r="S1" s="139"/>
      <c r="T1" s="139" t="s">
        <v>265</v>
      </c>
      <c r="U1" s="139"/>
      <c r="V1" s="139"/>
      <c r="W1" s="139"/>
      <c r="X1" s="139"/>
      <c r="Y1" s="139"/>
      <c r="Z1" s="139"/>
      <c r="AA1" s="139"/>
      <c r="AB1" s="139"/>
      <c r="AC1" s="139"/>
      <c r="AD1" s="139"/>
      <c r="AE1" s="139"/>
      <c r="AF1" s="120" t="s">
        <v>266</v>
      </c>
      <c r="AG1" s="120" t="s">
        <v>27</v>
      </c>
      <c r="AH1" s="120" t="s">
        <v>28</v>
      </c>
      <c r="AI1" s="120" t="s">
        <v>29</v>
      </c>
      <c r="AJ1" s="120" t="s">
        <v>30</v>
      </c>
    </row>
    <row r="2" spans="1:36" ht="20.100000000000001" customHeight="1" thickTop="1" x14ac:dyDescent="0.25">
      <c r="A2" s="121"/>
      <c r="B2" s="121"/>
      <c r="C2" s="121"/>
      <c r="D2" s="121"/>
      <c r="E2" s="121"/>
      <c r="F2" s="121"/>
      <c r="G2" s="121"/>
      <c r="H2" s="66" t="str">
        <f>IF('Project Details'!B8="Annual", "Total", 'Project Details'!B9)</f>
        <v>May</v>
      </c>
      <c r="I2" s="66" t="str">
        <f>IF('Project Details'!$B$8="Yearly","", VLOOKUP('Project Details'!$B$9, 'Month Table'!$A$2:$Z$13, 2, FALSE))</f>
        <v>Jun</v>
      </c>
      <c r="J2" s="66" t="str">
        <f>IF('Project Details'!$B$8="Yearly","", VLOOKUP('Project Details'!$B$9, 'Month Table'!$A$2:$Z$13, 3, FALSE))</f>
        <v>Jul</v>
      </c>
      <c r="K2" s="66" t="str">
        <f>IF('Project Details'!$B$8="Yearly","", VLOOKUP('Project Details'!$B$9, 'Month Table'!$A$2:$Z$13, 4, FALSE))</f>
        <v>Aug</v>
      </c>
      <c r="L2" s="66" t="str">
        <f>IF('Project Details'!$B$8="Yearly","", VLOOKUP('Project Details'!$B$9, 'Month Table'!$A$2:$Z$13, 5, FALSE))</f>
        <v>Sep</v>
      </c>
      <c r="M2" s="66" t="str">
        <f>IF('Project Details'!$B$8="Yearly","", VLOOKUP('Project Details'!$B$9, 'Month Table'!$A$2:$Z$13, 6, FALSE))</f>
        <v>Oct</v>
      </c>
      <c r="N2" s="66" t="str">
        <f>IF('Project Details'!$B$8="Yearly","", VLOOKUP('Project Details'!$B$9, 'Month Table'!$A$2:$Z$13, 7, FALSE))</f>
        <v>Nov</v>
      </c>
      <c r="O2" s="66" t="str">
        <f>IF('Project Details'!$B$8="Yearly","", VLOOKUP('Project Details'!$B$9, 'Month Table'!$A$2:$Z$13, 8, FALSE))</f>
        <v>Dec</v>
      </c>
      <c r="P2" s="66" t="str">
        <f>IF('Project Details'!$B$8="Yearly","", VLOOKUP('Project Details'!$B$9, 'Month Table'!$A$2:$Z$13, 9, FALSE))</f>
        <v>Jan</v>
      </c>
      <c r="Q2" s="66" t="str">
        <f>IF('Project Details'!$B$8="Yearly","", VLOOKUP('Project Details'!$B$9, 'Month Table'!$A$2:$Z$13, 10, FALSE))</f>
        <v>Feb</v>
      </c>
      <c r="R2" s="66" t="str">
        <f>IF('Project Details'!$B$8="Yearly","", VLOOKUP('Project Details'!$B$9, 'Month Table'!$A$2:$Z$13, 11, FALSE))</f>
        <v>Mar</v>
      </c>
      <c r="S2" s="66" t="str">
        <f>IF('Project Details'!$B$8="Yearly","", VLOOKUP('Project Details'!$B$9, 'Month Table'!$A$2:$Z$13, 12, FALSE))</f>
        <v>Apr</v>
      </c>
      <c r="T2" s="66" t="str">
        <f>IF('Project Details'!B8="Yearly", "", 'Project Details'!B9)</f>
        <v>May</v>
      </c>
      <c r="U2" s="66" t="str">
        <f>IF('Project Details'!$B$8="Yearly","", VLOOKUP('Project Details'!$B$9, 'Month Table'!$A$2:$Z$13, 2, FALSE))</f>
        <v>Jun</v>
      </c>
      <c r="V2" s="66" t="str">
        <f>IF('Project Details'!$B$8="Yearly","", VLOOKUP('Project Details'!$B$9, 'Month Table'!$A$2:$Z$13, 3, FALSE))</f>
        <v>Jul</v>
      </c>
      <c r="W2" s="66" t="str">
        <f>IF('Project Details'!$B$8="Yearly","", VLOOKUP('Project Details'!$B$9, 'Month Table'!$A$2:$Z$13, 4, FALSE))</f>
        <v>Aug</v>
      </c>
      <c r="X2" s="66" t="str">
        <f>IF('Project Details'!$B$8="Yearly","", VLOOKUP('Project Details'!$B$9, 'Month Table'!$A$2:$Z$13, 5, FALSE))</f>
        <v>Sep</v>
      </c>
      <c r="Y2" s="66" t="str">
        <f>IF('Project Details'!$B$8="Yearly","", VLOOKUP('Project Details'!$B$9, 'Month Table'!$A$2:$Z$13, 6, FALSE))</f>
        <v>Oct</v>
      </c>
      <c r="Z2" s="66" t="str">
        <f>IF('Project Details'!$B$8="Yearly","", VLOOKUP('Project Details'!$B$9, 'Month Table'!$A$2:$Z$13, 7, FALSE))</f>
        <v>Nov</v>
      </c>
      <c r="AA2" s="66" t="str">
        <f>IF('Project Details'!$B$8="Yearly","", VLOOKUP('Project Details'!$B$9, 'Month Table'!$A$2:$Z$13, 8, FALSE))</f>
        <v>Dec</v>
      </c>
      <c r="AB2" s="66" t="str">
        <f>IF('Project Details'!$B$8="Yearly","", VLOOKUP('Project Details'!$B$9, 'Month Table'!$A$2:$Z$13, 9, FALSE))</f>
        <v>Jan</v>
      </c>
      <c r="AC2" s="66" t="str">
        <f>IF('Project Details'!$B$8="Yearly","", VLOOKUP('Project Details'!$B$9, 'Month Table'!$A$2:$Z$13, 10, FALSE))</f>
        <v>Feb</v>
      </c>
      <c r="AD2" s="66" t="str">
        <f>IF('Project Details'!$B$8="Yearly","", VLOOKUP('Project Details'!$B$9, 'Month Table'!$A$2:$Z$13, 11, FALSE))</f>
        <v>Mar</v>
      </c>
      <c r="AE2" s="66" t="str">
        <f>IF('Project Details'!$B$8="Yearly","", VLOOKUP('Project Details'!$B$9, 'Month Table'!$A$2:$Z$13, 12, FALSE))</f>
        <v>Apr</v>
      </c>
      <c r="AF2" s="120"/>
      <c r="AG2" s="120"/>
      <c r="AH2" s="120"/>
      <c r="AI2" s="120"/>
      <c r="AJ2" s="120"/>
    </row>
    <row r="3" spans="1:36" ht="19.5" customHeight="1" x14ac:dyDescent="0.25">
      <c r="A3" s="130" t="str">
        <f>IF(COUNTIF(E4:E11,"M"),"Energy", "Energy (Optional)")</f>
        <v>Energy</v>
      </c>
      <c r="B3" s="131"/>
      <c r="C3" s="131"/>
      <c r="D3" s="131"/>
      <c r="E3" s="131"/>
      <c r="F3" s="131"/>
      <c r="G3" s="132"/>
      <c r="H3" s="137"/>
      <c r="I3" s="138"/>
      <c r="J3" s="138"/>
      <c r="K3" s="138"/>
      <c r="L3" s="138"/>
      <c r="M3" s="138"/>
      <c r="N3" s="138"/>
      <c r="O3" s="138"/>
      <c r="P3" s="138"/>
      <c r="Q3" s="138"/>
      <c r="R3" s="138"/>
      <c r="S3" s="138"/>
      <c r="T3" s="138"/>
      <c r="U3" s="138"/>
      <c r="V3" s="138"/>
      <c r="W3" s="138"/>
      <c r="X3" s="138"/>
      <c r="Y3" s="138"/>
      <c r="Z3" s="138"/>
      <c r="AA3" s="138"/>
      <c r="AB3" s="138"/>
      <c r="AC3" s="138"/>
      <c r="AD3" s="138"/>
      <c r="AE3" s="138"/>
      <c r="AF3" s="19">
        <f>SUM(AF4:AF11)</f>
        <v>5119802.3389192214</v>
      </c>
      <c r="AG3" s="31"/>
      <c r="AH3" s="31"/>
      <c r="AI3" s="31"/>
      <c r="AJ3" s="31"/>
    </row>
    <row r="4" spans="1:36" ht="15" customHeight="1" outlineLevel="1" x14ac:dyDescent="0.25">
      <c r="A4" s="103">
        <v>1</v>
      </c>
      <c r="B4" s="112" t="s">
        <v>16</v>
      </c>
      <c r="C4" s="123"/>
      <c r="D4" s="117" t="s">
        <v>33</v>
      </c>
      <c r="E4" s="82" t="s">
        <v>416</v>
      </c>
      <c r="F4" s="5" t="s">
        <v>35</v>
      </c>
      <c r="G4" s="6" t="s">
        <v>36</v>
      </c>
      <c r="H4" s="67">
        <v>11778.369999999999</v>
      </c>
      <c r="I4" s="67">
        <v>14732.75</v>
      </c>
      <c r="J4" s="67">
        <v>11679.115</v>
      </c>
      <c r="K4" s="67">
        <v>15920</v>
      </c>
      <c r="L4" s="67">
        <v>18039</v>
      </c>
      <c r="M4" s="67">
        <v>1695</v>
      </c>
      <c r="N4" s="67">
        <v>8355</v>
      </c>
      <c r="O4" s="67">
        <v>2340</v>
      </c>
      <c r="P4" s="67">
        <v>0</v>
      </c>
      <c r="Q4" s="67">
        <v>0</v>
      </c>
      <c r="R4" s="67">
        <v>0</v>
      </c>
      <c r="S4" s="67">
        <v>0</v>
      </c>
      <c r="T4" s="68">
        <f>H4*VLOOKUP($F4, 'Emission Factors'!$A$3:$E$44, 5, FALSE)*1000</f>
        <v>31683.815299999998</v>
      </c>
      <c r="U4" s="68">
        <f>I4*VLOOKUP($F4, 'Emission Factors'!$A$3:$E$44, 5, FALSE)*1000</f>
        <v>39631.097500000003</v>
      </c>
      <c r="V4" s="68">
        <f>J4*VLOOKUP($F4, 'Emission Factors'!$A$3:$E$44, 5, FALSE)*1000</f>
        <v>31416.819350000002</v>
      </c>
      <c r="W4" s="68">
        <f>K4*VLOOKUP($F4, 'Emission Factors'!$A$3:$E$44, 5, FALSE)*1000</f>
        <v>42824.800000000003</v>
      </c>
      <c r="X4" s="68">
        <f>L4*VLOOKUP($F4, 'Emission Factors'!$A$3:$E$44, 5, FALSE)*1000</f>
        <v>48524.91</v>
      </c>
      <c r="Y4" s="68">
        <f>M4*VLOOKUP($F4, 'Emission Factors'!$A$3:$E$44, 5, FALSE)*1000</f>
        <v>4559.55</v>
      </c>
      <c r="Z4" s="68">
        <f>N4*VLOOKUP($F4, 'Emission Factors'!$A$3:$E$44, 5, FALSE)*1000</f>
        <v>22474.95</v>
      </c>
      <c r="AA4" s="68">
        <f>O4*VLOOKUP($F4, 'Emission Factors'!$A$3:$E$44, 5, FALSE)*1000</f>
        <v>6294.6</v>
      </c>
      <c r="AB4" s="68">
        <f>P4*VLOOKUP($F4, 'Emission Factors'!$A$3:$E$44, 5, FALSE)*1000</f>
        <v>0</v>
      </c>
      <c r="AC4" s="68">
        <f>Q4*VLOOKUP($F4, 'Emission Factors'!$A$3:$E$44, 5, FALSE)*1000</f>
        <v>0</v>
      </c>
      <c r="AD4" s="68">
        <f>R4*VLOOKUP($F4, 'Emission Factors'!$A$3:$E$44, 5, FALSE)*1000</f>
        <v>0</v>
      </c>
      <c r="AE4" s="68">
        <f>S4*VLOOKUP($F4, 'Emission Factors'!$A$3:$E$44, 5, FALSE)*1000</f>
        <v>0</v>
      </c>
      <c r="AF4" s="19">
        <f>IF($H$2="Total", T4, SUM(T4:AE4))</f>
        <v>227410.54215000002</v>
      </c>
      <c r="AG4" s="31"/>
      <c r="AH4" s="31"/>
      <c r="AI4" s="31"/>
      <c r="AJ4" s="31"/>
    </row>
    <row r="5" spans="1:36" ht="15" customHeight="1" outlineLevel="1" x14ac:dyDescent="0.25">
      <c r="A5" s="102"/>
      <c r="B5" s="112"/>
      <c r="C5" s="123"/>
      <c r="D5" s="108"/>
      <c r="E5" s="82" t="s">
        <v>416</v>
      </c>
      <c r="F5" s="7" t="s">
        <v>39</v>
      </c>
      <c r="G5" s="8" t="s">
        <v>36</v>
      </c>
      <c r="H5" s="67">
        <v>0</v>
      </c>
      <c r="I5" s="67">
        <v>0</v>
      </c>
      <c r="J5" s="67">
        <v>0</v>
      </c>
      <c r="K5" s="67">
        <v>0</v>
      </c>
      <c r="L5" s="67">
        <v>0</v>
      </c>
      <c r="M5" s="67">
        <v>0</v>
      </c>
      <c r="N5" s="67">
        <v>0</v>
      </c>
      <c r="O5" s="67">
        <v>0</v>
      </c>
      <c r="P5" s="67">
        <v>0</v>
      </c>
      <c r="Q5" s="67">
        <v>0</v>
      </c>
      <c r="R5" s="67">
        <v>0</v>
      </c>
      <c r="S5" s="67">
        <v>0</v>
      </c>
      <c r="T5" s="68">
        <f>H5*VLOOKUP($F5, 'Emission Factors'!$A$3:$E$45, 5, FALSE)</f>
        <v>0</v>
      </c>
      <c r="U5" s="68">
        <f>I5*VLOOKUP($F5, 'Emission Factors'!$A$3:$E$45, 5, FALSE)</f>
        <v>0</v>
      </c>
      <c r="V5" s="68">
        <f>J5*VLOOKUP($F5, 'Emission Factors'!$A$3:$E$45, 5, FALSE)</f>
        <v>0</v>
      </c>
      <c r="W5" s="68">
        <f>K5*VLOOKUP($F5, 'Emission Factors'!$A$3:$E$45, 5, FALSE)</f>
        <v>0</v>
      </c>
      <c r="X5" s="68">
        <f>L5*VLOOKUP($F5, 'Emission Factors'!$A$3:$E$45, 5, FALSE)</f>
        <v>0</v>
      </c>
      <c r="Y5" s="68">
        <f>M5*VLOOKUP($F5, 'Emission Factors'!$A$3:$E$45, 5, FALSE)</f>
        <v>0</v>
      </c>
      <c r="Z5" s="68">
        <f>N5*VLOOKUP($F5, 'Emission Factors'!$A$3:$E$45, 5, FALSE)</f>
        <v>0</v>
      </c>
      <c r="AA5" s="68">
        <f>O5*VLOOKUP($F5, 'Emission Factors'!$A$3:$E$45, 5, FALSE)</f>
        <v>0</v>
      </c>
      <c r="AB5" s="68">
        <f>P5*VLOOKUP($F5, 'Emission Factors'!$A$3:$E$45, 5, FALSE)</f>
        <v>0</v>
      </c>
      <c r="AC5" s="68">
        <f>Q5*VLOOKUP($F5, 'Emission Factors'!$A$3:$E$45, 5, FALSE)</f>
        <v>0</v>
      </c>
      <c r="AD5" s="68">
        <f>R5*VLOOKUP($F5, 'Emission Factors'!$A$3:$E$45, 5, FALSE)</f>
        <v>0</v>
      </c>
      <c r="AE5" s="68">
        <f>S5*VLOOKUP($F5, 'Emission Factors'!$A$3:$E$45, 5, FALSE)</f>
        <v>0</v>
      </c>
      <c r="AF5" s="19">
        <f t="shared" ref="AF5:AF11" si="0">IF($H$2="Total", T5, SUM(T5:AE5))</f>
        <v>0</v>
      </c>
      <c r="AG5" s="31"/>
      <c r="AH5" s="31"/>
      <c r="AI5" s="31"/>
      <c r="AJ5" s="31"/>
    </row>
    <row r="6" spans="1:36" ht="15" customHeight="1" outlineLevel="1" x14ac:dyDescent="0.25">
      <c r="A6" s="102"/>
      <c r="B6" s="112"/>
      <c r="C6" s="115"/>
      <c r="D6" s="108"/>
      <c r="E6" s="82" t="s">
        <v>416</v>
      </c>
      <c r="F6" s="7" t="s">
        <v>41</v>
      </c>
      <c r="G6" s="8" t="s">
        <v>36</v>
      </c>
      <c r="H6" s="67">
        <v>0</v>
      </c>
      <c r="I6" s="67">
        <v>0</v>
      </c>
      <c r="J6" s="67">
        <v>0</v>
      </c>
      <c r="K6" s="67">
        <v>0</v>
      </c>
      <c r="L6" s="67">
        <v>0</v>
      </c>
      <c r="M6" s="67">
        <v>0</v>
      </c>
      <c r="N6" s="67">
        <v>0</v>
      </c>
      <c r="O6" s="67">
        <v>0</v>
      </c>
      <c r="P6" s="67">
        <v>0</v>
      </c>
      <c r="Q6" s="67">
        <v>0</v>
      </c>
      <c r="R6" s="67">
        <v>0</v>
      </c>
      <c r="S6" s="67">
        <v>0</v>
      </c>
      <c r="T6" s="68">
        <f>H6*VLOOKUP($F6, 'Emission Factors'!$A$3:$E$44, 5, FALSE)</f>
        <v>0</v>
      </c>
      <c r="U6" s="68">
        <f>I6*VLOOKUP($F6, 'Emission Factors'!$A$3:$E$44, 5, FALSE)</f>
        <v>0</v>
      </c>
      <c r="V6" s="68">
        <f>J6*VLOOKUP($F6, 'Emission Factors'!$A$3:$E$44, 5, FALSE)</f>
        <v>0</v>
      </c>
      <c r="W6" s="68">
        <f>K6*VLOOKUP($F6, 'Emission Factors'!$A$3:$E$44, 5, FALSE)</f>
        <v>0</v>
      </c>
      <c r="X6" s="68">
        <f>L6*VLOOKUP($F6, 'Emission Factors'!$A$3:$E$44, 5, FALSE)</f>
        <v>0</v>
      </c>
      <c r="Y6" s="68">
        <f>M6*VLOOKUP($F6, 'Emission Factors'!$A$3:$E$44, 5, FALSE)</f>
        <v>0</v>
      </c>
      <c r="Z6" s="68">
        <f>N6*VLOOKUP($F6, 'Emission Factors'!$A$3:$E$44, 5, FALSE)</f>
        <v>0</v>
      </c>
      <c r="AA6" s="68">
        <f>O6*VLOOKUP($F6, 'Emission Factors'!$A$3:$E$44, 5, FALSE)</f>
        <v>0</v>
      </c>
      <c r="AB6" s="68">
        <f>P6*VLOOKUP($F6, 'Emission Factors'!$A$3:$E$44, 5, FALSE)</f>
        <v>0</v>
      </c>
      <c r="AC6" s="68">
        <f>Q6*VLOOKUP($F6, 'Emission Factors'!$A$3:$E$44, 5, FALSE)</f>
        <v>0</v>
      </c>
      <c r="AD6" s="68">
        <f>R6*VLOOKUP($F6, 'Emission Factors'!$A$3:$E$44, 5, FALSE)</f>
        <v>0</v>
      </c>
      <c r="AE6" s="68">
        <f>S6*VLOOKUP($F6, 'Emission Factors'!$A$3:$E$44, 5, FALSE)</f>
        <v>0</v>
      </c>
      <c r="AF6" s="19">
        <f t="shared" si="0"/>
        <v>0</v>
      </c>
      <c r="AG6" s="31"/>
      <c r="AH6" s="31"/>
      <c r="AI6" s="31"/>
      <c r="AJ6" s="31"/>
    </row>
    <row r="7" spans="1:36" ht="15" customHeight="1" outlineLevel="1" x14ac:dyDescent="0.25">
      <c r="A7" s="102"/>
      <c r="B7" s="112"/>
      <c r="C7" s="114"/>
      <c r="D7" s="108" t="s">
        <v>42</v>
      </c>
      <c r="E7" s="82" t="s">
        <v>416</v>
      </c>
      <c r="F7" s="7" t="s">
        <v>44</v>
      </c>
      <c r="G7" s="8" t="s">
        <v>45</v>
      </c>
      <c r="H7" s="67">
        <v>0</v>
      </c>
      <c r="I7" s="67">
        <v>0</v>
      </c>
      <c r="J7" s="67">
        <v>0</v>
      </c>
      <c r="K7" s="67">
        <v>0</v>
      </c>
      <c r="L7" s="67">
        <v>0</v>
      </c>
      <c r="M7" s="67">
        <v>0</v>
      </c>
      <c r="N7" s="67">
        <v>0</v>
      </c>
      <c r="O7" s="67">
        <v>0</v>
      </c>
      <c r="P7" s="67">
        <v>0</v>
      </c>
      <c r="Q7" s="67">
        <v>0</v>
      </c>
      <c r="R7" s="67">
        <v>0</v>
      </c>
      <c r="S7" s="67">
        <v>0</v>
      </c>
      <c r="T7" s="68">
        <f>H7*VLOOKUP($F7, 'Emission Factors'!$A$3:$E$44, 5, FALSE)*1000</f>
        <v>0</v>
      </c>
      <c r="U7" s="68">
        <f>I7*VLOOKUP($F7, 'Emission Factors'!$A$3:$E$44, 5, FALSE)*1000</f>
        <v>0</v>
      </c>
      <c r="V7" s="68">
        <f>J7*VLOOKUP($F7, 'Emission Factors'!$A$3:$E$44, 5, FALSE)*1000</f>
        <v>0</v>
      </c>
      <c r="W7" s="68">
        <f>K7*VLOOKUP($F7, 'Emission Factors'!$A$3:$E$44, 5, FALSE)*1000</f>
        <v>0</v>
      </c>
      <c r="X7" s="68">
        <f>L7*VLOOKUP($F7, 'Emission Factors'!$A$3:$E$44, 5, FALSE)*1000</f>
        <v>0</v>
      </c>
      <c r="Y7" s="68">
        <f>M7*VLOOKUP($F7, 'Emission Factors'!$A$3:$E$44, 5, FALSE)*1000</f>
        <v>0</v>
      </c>
      <c r="Z7" s="68">
        <f>N7*VLOOKUP($F7, 'Emission Factors'!$A$3:$E$44, 5, FALSE)*1000</f>
        <v>0</v>
      </c>
      <c r="AA7" s="68">
        <f>O7*VLOOKUP($F7, 'Emission Factors'!$A$3:$E$44, 5, FALSE)*1000</f>
        <v>0</v>
      </c>
      <c r="AB7" s="68">
        <f>P7*VLOOKUP($F7, 'Emission Factors'!$A$3:$E$44, 5, FALSE)*1000</f>
        <v>0</v>
      </c>
      <c r="AC7" s="68">
        <f>Q7*VLOOKUP($F7, 'Emission Factors'!$A$3:$E$44, 5, FALSE)*1000</f>
        <v>0</v>
      </c>
      <c r="AD7" s="68">
        <f>R7*VLOOKUP($F7, 'Emission Factors'!$A$3:$E$44, 5, FALSE)*1000</f>
        <v>0</v>
      </c>
      <c r="AE7" s="68">
        <f>S7*VLOOKUP($F7, 'Emission Factors'!$A$3:$E$44, 5, FALSE)*1000</f>
        <v>0</v>
      </c>
      <c r="AF7" s="19">
        <f t="shared" si="0"/>
        <v>0</v>
      </c>
      <c r="AG7" s="31"/>
      <c r="AH7" s="31"/>
      <c r="AI7" s="31"/>
      <c r="AJ7" s="31"/>
    </row>
    <row r="8" spans="1:36" ht="15" customHeight="1" outlineLevel="1" x14ac:dyDescent="0.25">
      <c r="A8" s="102"/>
      <c r="B8" s="112"/>
      <c r="C8" s="115"/>
      <c r="D8" s="108"/>
      <c r="E8" s="82" t="s">
        <v>416</v>
      </c>
      <c r="F8" s="7" t="s">
        <v>47</v>
      </c>
      <c r="G8" s="8" t="s">
        <v>48</v>
      </c>
      <c r="H8" s="67">
        <v>0</v>
      </c>
      <c r="I8" s="67">
        <v>0</v>
      </c>
      <c r="J8" s="67">
        <v>0</v>
      </c>
      <c r="K8" s="67">
        <v>0</v>
      </c>
      <c r="L8" s="67">
        <v>0</v>
      </c>
      <c r="M8" s="67">
        <v>0</v>
      </c>
      <c r="N8" s="67">
        <v>0</v>
      </c>
      <c r="O8" s="67">
        <v>0</v>
      </c>
      <c r="P8" s="67">
        <v>0</v>
      </c>
      <c r="Q8" s="67">
        <v>0</v>
      </c>
      <c r="R8" s="67">
        <v>0</v>
      </c>
      <c r="S8" s="67">
        <v>0</v>
      </c>
      <c r="T8" s="68">
        <f>H8*VLOOKUP($F8, 'Emission Factors'!$A$3:$E$44, 5, FALSE)</f>
        <v>0</v>
      </c>
      <c r="U8" s="68">
        <f>I8*VLOOKUP($F8, 'Emission Factors'!$A$3:$E$44, 5, FALSE)</f>
        <v>0</v>
      </c>
      <c r="V8" s="68">
        <f>J8*VLOOKUP($F8, 'Emission Factors'!$A$3:$E$44, 5, FALSE)</f>
        <v>0</v>
      </c>
      <c r="W8" s="68">
        <f>K8*VLOOKUP($F8, 'Emission Factors'!$A$3:$E$44, 5, FALSE)</f>
        <v>0</v>
      </c>
      <c r="X8" s="68">
        <f>L8*VLOOKUP($F8, 'Emission Factors'!$A$3:$E$44, 5, FALSE)</f>
        <v>0</v>
      </c>
      <c r="Y8" s="68">
        <f>M8*VLOOKUP($F8, 'Emission Factors'!$A$3:$E$44, 5, FALSE)</f>
        <v>0</v>
      </c>
      <c r="Z8" s="68">
        <f>N8*VLOOKUP($F8, 'Emission Factors'!$A$3:$E$44, 5, FALSE)</f>
        <v>0</v>
      </c>
      <c r="AA8" s="68">
        <f>O8*VLOOKUP($F8, 'Emission Factors'!$A$3:$E$44, 5, FALSE)</f>
        <v>0</v>
      </c>
      <c r="AB8" s="68">
        <f>P8*VLOOKUP($F8, 'Emission Factors'!$A$3:$E$44, 5, FALSE)</f>
        <v>0</v>
      </c>
      <c r="AC8" s="68">
        <f>Q8*VLOOKUP($F8, 'Emission Factors'!$A$3:$E$44, 5, FALSE)</f>
        <v>0</v>
      </c>
      <c r="AD8" s="68">
        <f>R8*VLOOKUP($F8, 'Emission Factors'!$A$3:$E$44, 5, FALSE)</f>
        <v>0</v>
      </c>
      <c r="AE8" s="68">
        <f>S8*VLOOKUP($F8, 'Emission Factors'!$A$3:$E$44, 5, FALSE)</f>
        <v>0</v>
      </c>
      <c r="AF8" s="19">
        <f t="shared" si="0"/>
        <v>0</v>
      </c>
      <c r="AG8" s="31"/>
      <c r="AH8" s="31"/>
      <c r="AI8" s="31"/>
      <c r="AJ8" s="31"/>
    </row>
    <row r="9" spans="1:36" ht="15" customHeight="1" outlineLevel="1" x14ac:dyDescent="0.25">
      <c r="A9" s="102"/>
      <c r="B9" s="112"/>
      <c r="C9" s="114"/>
      <c r="D9" s="116" t="s">
        <v>49</v>
      </c>
      <c r="E9" s="82" t="s">
        <v>416</v>
      </c>
      <c r="F9" s="7" t="s">
        <v>51</v>
      </c>
      <c r="G9" s="8" t="s">
        <v>48</v>
      </c>
      <c r="H9" s="67">
        <v>3636164.83</v>
      </c>
      <c r="I9" s="67">
        <v>3585256.54</v>
      </c>
      <c r="J9" s="67">
        <v>3610335.67</v>
      </c>
      <c r="K9" s="67">
        <v>3620605.7</v>
      </c>
      <c r="L9" s="67">
        <v>3625138.4699999997</v>
      </c>
      <c r="M9" s="67">
        <v>3632326.54</v>
      </c>
      <c r="N9" s="67">
        <v>3643236.08</v>
      </c>
      <c r="O9" s="67">
        <v>3618743.75</v>
      </c>
      <c r="P9" s="67">
        <v>3630340.31</v>
      </c>
      <c r="Q9" s="67">
        <v>3605976.51</v>
      </c>
      <c r="R9" s="67">
        <v>3604067.44</v>
      </c>
      <c r="S9" s="67">
        <v>3598315.24</v>
      </c>
      <c r="T9" s="68">
        <f>H9*VLOOKUP($D9, 'Emission Factors'!$A$3:$E$44, 5, FALSE)</f>
        <v>400341.747783</v>
      </c>
      <c r="U9" s="68">
        <f>I9*VLOOKUP($D9, 'Emission Factors'!$A$3:$E$44, 5, FALSE)</f>
        <v>394736.745054</v>
      </c>
      <c r="V9" s="68">
        <f>J9*VLOOKUP($D9, 'Emission Factors'!$A$3:$E$44, 5, FALSE)</f>
        <v>397497.95726699999</v>
      </c>
      <c r="W9" s="68">
        <f>K9*VLOOKUP($D9, 'Emission Factors'!$A$3:$E$44, 5, FALSE)</f>
        <v>398628.68757000001</v>
      </c>
      <c r="X9" s="68">
        <f>L9*VLOOKUP($D9, 'Emission Factors'!$A$3:$E$44, 5, FALSE)</f>
        <v>399127.74554699997</v>
      </c>
      <c r="Y9" s="68">
        <f>M9*VLOOKUP($D9, 'Emission Factors'!$A$3:$E$44, 5, FALSE)</f>
        <v>399919.15205400001</v>
      </c>
      <c r="Z9" s="68">
        <f>N9*VLOOKUP($D9, 'Emission Factors'!$A$3:$E$44, 5, FALSE)</f>
        <v>401120.29240800004</v>
      </c>
      <c r="AA9" s="68">
        <f>O9*VLOOKUP($D9, 'Emission Factors'!$A$3:$E$44, 5, FALSE)</f>
        <v>398423.68687500001</v>
      </c>
      <c r="AB9" s="68">
        <f>P9*VLOOKUP($D9, 'Emission Factors'!$A$3:$E$44, 5, FALSE)</f>
        <v>399700.468131</v>
      </c>
      <c r="AC9" s="68">
        <f>Q9*VLOOKUP($D9, 'Emission Factors'!$A$3:$E$44, 5, FALSE)</f>
        <v>397018.01375099999</v>
      </c>
      <c r="AD9" s="68">
        <f>R9*VLOOKUP($D9, 'Emission Factors'!$A$3:$E$44, 5, FALSE)</f>
        <v>396807.825144</v>
      </c>
      <c r="AE9" s="68">
        <f>S9*VLOOKUP($D9, 'Emission Factors'!$A$3:$E$44, 5, FALSE)</f>
        <v>396174.50792400003</v>
      </c>
      <c r="AF9" s="19">
        <f t="shared" si="0"/>
        <v>4779496.829508001</v>
      </c>
      <c r="AG9" s="31"/>
      <c r="AH9" s="31"/>
      <c r="AI9" s="31"/>
      <c r="AJ9" s="31"/>
    </row>
    <row r="10" spans="1:36" ht="15" customHeight="1" outlineLevel="1" x14ac:dyDescent="0.25">
      <c r="A10" s="102"/>
      <c r="B10" s="112"/>
      <c r="C10" s="115"/>
      <c r="D10" s="117"/>
      <c r="E10" s="82" t="s">
        <v>416</v>
      </c>
      <c r="F10" s="7" t="s">
        <v>54</v>
      </c>
      <c r="G10" s="8" t="s">
        <v>48</v>
      </c>
      <c r="H10" s="67">
        <v>91532.719552821596</v>
      </c>
      <c r="I10" s="67">
        <v>89582.254996672709</v>
      </c>
      <c r="J10" s="67">
        <v>92817.845170926099</v>
      </c>
      <c r="K10" s="67">
        <v>95026.188072866964</v>
      </c>
      <c r="L10" s="67">
        <v>86039.938794469999</v>
      </c>
      <c r="M10" s="67">
        <v>78954.880129613332</v>
      </c>
      <c r="N10" s="67">
        <v>78835.912086504497</v>
      </c>
      <c r="O10" s="67">
        <v>82561.584262357588</v>
      </c>
      <c r="P10" s="67">
        <v>73692.667204340018</v>
      </c>
      <c r="Q10" s="67">
        <v>85447.2416967303</v>
      </c>
      <c r="R10" s="67">
        <v>85447.2416967303</v>
      </c>
      <c r="S10" s="67">
        <v>85447.2416967303</v>
      </c>
      <c r="T10" s="68">
        <f>H10*VLOOKUP($D9, 'Emission Factors'!$A$3:$E$45, 5, FALSE)</f>
        <v>10077.752422765658</v>
      </c>
      <c r="U10" s="68">
        <f>I10*VLOOKUP($D9, 'Emission Factors'!$A$3:$E$45, 5, FALSE)</f>
        <v>9863.0062751336663</v>
      </c>
      <c r="V10" s="68">
        <f>J10*VLOOKUP($D9, 'Emission Factors'!$A$3:$E$45, 5, FALSE)</f>
        <v>10219.244753318964</v>
      </c>
      <c r="W10" s="68">
        <f>K10*VLOOKUP($D9, 'Emission Factors'!$A$3:$E$45, 5, FALSE)</f>
        <v>10462.383306822652</v>
      </c>
      <c r="X10" s="68">
        <f>L10*VLOOKUP($D9, 'Emission Factors'!$A$3:$E$45, 5, FALSE)</f>
        <v>9472.9972612711481</v>
      </c>
      <c r="Y10" s="68">
        <f>M10*VLOOKUP($D9, 'Emission Factors'!$A$3:$E$45, 5, FALSE)</f>
        <v>8692.9323022704284</v>
      </c>
      <c r="Z10" s="68">
        <f>N10*VLOOKUP($D9, 'Emission Factors'!$A$3:$E$45, 5, FALSE)</f>
        <v>8679.8339207241461</v>
      </c>
      <c r="AA10" s="68">
        <f>O10*VLOOKUP($D9, 'Emission Factors'!$A$3:$E$45, 5, FALSE)</f>
        <v>9090.0304272855701</v>
      </c>
      <c r="AB10" s="68">
        <f>P10*VLOOKUP($D9, 'Emission Factors'!$A$3:$E$45, 5, FALSE)</f>
        <v>8113.5626591978362</v>
      </c>
      <c r="AC10" s="68">
        <f>Q10*VLOOKUP($D9, 'Emission Factors'!$A$3:$E$45, 5, FALSE)</f>
        <v>9407.7413108100063</v>
      </c>
      <c r="AD10" s="68">
        <f>R10*VLOOKUP($D9, 'Emission Factors'!$A$3:$E$45, 5, FALSE)</f>
        <v>9407.7413108100063</v>
      </c>
      <c r="AE10" s="68">
        <f>S10*VLOOKUP($D9, 'Emission Factors'!$A$3:$E$45, 5, FALSE)</f>
        <v>9407.7413108100063</v>
      </c>
      <c r="AF10" s="19">
        <f t="shared" si="0"/>
        <v>112894.96726122008</v>
      </c>
      <c r="AG10" s="31"/>
      <c r="AH10" s="31"/>
      <c r="AI10" s="31"/>
      <c r="AJ10" s="31"/>
    </row>
    <row r="11" spans="1:36" ht="15.75" customHeight="1" outlineLevel="1" x14ac:dyDescent="0.25">
      <c r="A11" s="103"/>
      <c r="B11" s="113"/>
      <c r="C11" s="29"/>
      <c r="D11" s="27" t="s">
        <v>56</v>
      </c>
      <c r="E11" s="82" t="s">
        <v>416</v>
      </c>
      <c r="F11" s="7" t="s">
        <v>56</v>
      </c>
      <c r="G11" s="8" t="s">
        <v>15</v>
      </c>
      <c r="H11" s="67"/>
      <c r="I11" s="67"/>
      <c r="J11" s="67"/>
      <c r="K11" s="67"/>
      <c r="L11" s="67"/>
      <c r="M11" s="67"/>
      <c r="N11" s="67"/>
      <c r="O11" s="67"/>
      <c r="P11" s="67"/>
      <c r="Q11" s="67"/>
      <c r="R11" s="67"/>
      <c r="S11" s="67"/>
      <c r="T11" s="68">
        <f>H11</f>
        <v>0</v>
      </c>
      <c r="U11" s="68">
        <f t="shared" ref="U11:AE11" si="1">I11</f>
        <v>0</v>
      </c>
      <c r="V11" s="68">
        <f t="shared" si="1"/>
        <v>0</v>
      </c>
      <c r="W11" s="68">
        <f t="shared" si="1"/>
        <v>0</v>
      </c>
      <c r="X11" s="68">
        <f t="shared" si="1"/>
        <v>0</v>
      </c>
      <c r="Y11" s="68">
        <f t="shared" si="1"/>
        <v>0</v>
      </c>
      <c r="Z11" s="68">
        <f t="shared" si="1"/>
        <v>0</v>
      </c>
      <c r="AA11" s="68">
        <f t="shared" si="1"/>
        <v>0</v>
      </c>
      <c r="AB11" s="68">
        <f t="shared" si="1"/>
        <v>0</v>
      </c>
      <c r="AC11" s="68">
        <f t="shared" si="1"/>
        <v>0</v>
      </c>
      <c r="AD11" s="68">
        <f t="shared" si="1"/>
        <v>0</v>
      </c>
      <c r="AE11" s="68">
        <f t="shared" si="1"/>
        <v>0</v>
      </c>
      <c r="AF11" s="19">
        <f t="shared" si="0"/>
        <v>0</v>
      </c>
      <c r="AG11" s="31"/>
      <c r="AH11" s="31"/>
      <c r="AI11" s="31"/>
      <c r="AJ11" s="31"/>
    </row>
    <row r="12" spans="1:36" ht="19.5" customHeight="1" x14ac:dyDescent="0.25">
      <c r="A12" s="130" t="str">
        <f>IF(COUNTIF(E13:E17,"M"), "Transport", "Transport (Optional)")</f>
        <v>Transport (Optional)</v>
      </c>
      <c r="B12" s="131"/>
      <c r="C12" s="131"/>
      <c r="D12" s="131"/>
      <c r="E12" s="131"/>
      <c r="F12" s="131"/>
      <c r="G12" s="132"/>
      <c r="H12" s="137"/>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9">
        <f>SUM(AF13:AF17)</f>
        <v>9873311.8284045793</v>
      </c>
      <c r="AG12" s="31"/>
      <c r="AH12" s="31"/>
      <c r="AI12" s="31"/>
      <c r="AJ12" s="31"/>
    </row>
    <row r="13" spans="1:36" outlineLevel="1" x14ac:dyDescent="0.25">
      <c r="A13" s="118">
        <v>2</v>
      </c>
      <c r="B13" s="119" t="s">
        <v>59</v>
      </c>
      <c r="C13" s="107"/>
      <c r="D13" s="108" t="s">
        <v>17</v>
      </c>
      <c r="E13" s="82" t="str">
        <f>'Index Formatting'!$I$5</f>
        <v>O</v>
      </c>
      <c r="F13" s="7" t="s">
        <v>35</v>
      </c>
      <c r="G13" s="15" t="s">
        <v>36</v>
      </c>
      <c r="H13" s="67">
        <v>286139.72466666665</v>
      </c>
      <c r="I13" s="67">
        <v>313801.45466666663</v>
      </c>
      <c r="J13" s="67">
        <v>288195.14466666669</v>
      </c>
      <c r="K13" s="67">
        <v>326622.03933333338</v>
      </c>
      <c r="L13" s="67">
        <v>330321.55933333334</v>
      </c>
      <c r="M13" s="67">
        <v>289462.58733333333</v>
      </c>
      <c r="N13" s="67">
        <v>270891.72333333333</v>
      </c>
      <c r="O13" s="67">
        <v>265482.64133333333</v>
      </c>
      <c r="P13" s="67">
        <v>339655.04333333339</v>
      </c>
      <c r="Q13" s="67">
        <v>288044.772</v>
      </c>
      <c r="R13" s="67">
        <v>297730.30200000003</v>
      </c>
      <c r="S13" s="67">
        <v>295509.51199999999</v>
      </c>
      <c r="T13" s="68">
        <f>H13*VLOOKUP($F13, 'Emission Factors'!$A$3:$E$44, 5, FALSE)*1000</f>
        <v>769715.85935333325</v>
      </c>
      <c r="U13" s="68">
        <f>I13*VLOOKUP($F13, 'Emission Factors'!$A$3:$E$44, 5, FALSE)*1000</f>
        <v>844125.91305333329</v>
      </c>
      <c r="V13" s="68">
        <f>J13*VLOOKUP($F13, 'Emission Factors'!$A$3:$E$44, 5, FALSE)*1000</f>
        <v>775244.93915333343</v>
      </c>
      <c r="W13" s="68">
        <f>K13*VLOOKUP($F13, 'Emission Factors'!$A$3:$E$44, 5, FALSE)*1000</f>
        <v>878613.28580666683</v>
      </c>
      <c r="X13" s="68">
        <f>L13*VLOOKUP($F13, 'Emission Factors'!$A$3:$E$44, 5, FALSE)*1000</f>
        <v>888564.99460666673</v>
      </c>
      <c r="Y13" s="68">
        <f>M13*VLOOKUP($F13, 'Emission Factors'!$A$3:$E$44, 5, FALSE)*1000</f>
        <v>778654.3599266666</v>
      </c>
      <c r="Z13" s="68">
        <f>N13*VLOOKUP($F13, 'Emission Factors'!$A$3:$E$44, 5, FALSE)*1000</f>
        <v>728698.73576666671</v>
      </c>
      <c r="AA13" s="68">
        <f>O13*VLOOKUP($F13, 'Emission Factors'!$A$3:$E$44, 5, FALSE)*1000</f>
        <v>714148.30518666666</v>
      </c>
      <c r="AB13" s="68">
        <f>P13*VLOOKUP($F13, 'Emission Factors'!$A$3:$E$44, 5, FALSE)*1000</f>
        <v>913672.06656666694</v>
      </c>
      <c r="AC13" s="68">
        <f>Q13*VLOOKUP($F13, 'Emission Factors'!$A$3:$E$44, 5, FALSE)*1000</f>
        <v>774840.43668000004</v>
      </c>
      <c r="AD13" s="68">
        <f>R13*VLOOKUP($F13, 'Emission Factors'!$A$3:$E$44, 5, FALSE)*1000</f>
        <v>800894.5123800002</v>
      </c>
      <c r="AE13" s="68">
        <f>S13*VLOOKUP($F13, 'Emission Factors'!$A$3:$E$44, 5, FALSE)*1000</f>
        <v>794920.58727999998</v>
      </c>
      <c r="AF13" s="19">
        <f>IF($H$2="Total", T13, SUM(T13:AE13))</f>
        <v>9662093.9957599994</v>
      </c>
      <c r="AG13" s="31"/>
      <c r="AH13" s="31"/>
      <c r="AI13" s="31"/>
      <c r="AJ13" s="31"/>
    </row>
    <row r="14" spans="1:36" outlineLevel="1" x14ac:dyDescent="0.25">
      <c r="A14" s="118"/>
      <c r="B14" s="119"/>
      <c r="C14" s="107"/>
      <c r="D14" s="108"/>
      <c r="E14" s="82" t="str">
        <f>'Index Formatting'!$I$5</f>
        <v>O</v>
      </c>
      <c r="F14" s="7" t="s">
        <v>39</v>
      </c>
      <c r="G14" s="15" t="s">
        <v>36</v>
      </c>
      <c r="H14" s="67">
        <v>619.28997474747473</v>
      </c>
      <c r="I14" s="67">
        <v>0</v>
      </c>
      <c r="J14" s="67">
        <v>0</v>
      </c>
      <c r="K14" s="67">
        <v>0</v>
      </c>
      <c r="L14" s="67">
        <v>0</v>
      </c>
      <c r="M14" s="67">
        <v>0</v>
      </c>
      <c r="N14" s="67">
        <v>0</v>
      </c>
      <c r="O14" s="67">
        <v>0</v>
      </c>
      <c r="P14" s="67">
        <v>0</v>
      </c>
      <c r="Q14" s="67">
        <v>0</v>
      </c>
      <c r="R14" s="67">
        <v>0</v>
      </c>
      <c r="S14" s="67">
        <v>0</v>
      </c>
      <c r="T14" s="69">
        <f>H14*VLOOKUP($F14, 'Emission Factors'!$A$3:$E$44, 5, FALSE)</f>
        <v>7.7411246843434339E-2</v>
      </c>
      <c r="U14" s="69">
        <f>I14*VLOOKUP($F14, 'Emission Factors'!$A$3:$E$44, 5, FALSE)</f>
        <v>0</v>
      </c>
      <c r="V14" s="69">
        <f>J14*VLOOKUP($F14, 'Emission Factors'!$A$3:$E$44, 5, FALSE)</f>
        <v>0</v>
      </c>
      <c r="W14" s="69">
        <f>K14*VLOOKUP($F14, 'Emission Factors'!$A$3:$E$44, 5, FALSE)</f>
        <v>0</v>
      </c>
      <c r="X14" s="69">
        <f>L14*VLOOKUP($F14, 'Emission Factors'!$A$3:$E$44, 5, FALSE)</f>
        <v>0</v>
      </c>
      <c r="Y14" s="69">
        <f>M14*VLOOKUP($F14, 'Emission Factors'!$A$3:$E$44, 5, FALSE)</f>
        <v>0</v>
      </c>
      <c r="Z14" s="69">
        <f>N14*VLOOKUP($F14, 'Emission Factors'!$A$3:$E$44, 5, FALSE)</f>
        <v>0</v>
      </c>
      <c r="AA14" s="69">
        <f>O14*VLOOKUP($F14, 'Emission Factors'!$A$3:$E$44, 5, FALSE)</f>
        <v>0</v>
      </c>
      <c r="AB14" s="69">
        <f>P14*VLOOKUP($F14, 'Emission Factors'!$A$3:$E$44, 5, FALSE)</f>
        <v>0</v>
      </c>
      <c r="AC14" s="69">
        <f>Q14*VLOOKUP($F14, 'Emission Factors'!$A$3:$E$44, 5, FALSE)</f>
        <v>0</v>
      </c>
      <c r="AD14" s="69">
        <f>R14*VLOOKUP($F14, 'Emission Factors'!$A$3:$E$44, 5, FALSE)</f>
        <v>0</v>
      </c>
      <c r="AE14" s="69">
        <f>S14*VLOOKUP($F14, 'Emission Factors'!$A$3:$E$44, 5, FALSE)</f>
        <v>0</v>
      </c>
      <c r="AF14" s="19">
        <f t="shared" ref="AF14:AF17" si="2">IF($H$2="Total", T14, SUM(T14:AE14))</f>
        <v>7.7411246843434339E-2</v>
      </c>
      <c r="AG14" s="31"/>
      <c r="AH14" s="31"/>
      <c r="AI14" s="31"/>
      <c r="AJ14" s="31"/>
    </row>
    <row r="15" spans="1:36" outlineLevel="1" x14ac:dyDescent="0.25">
      <c r="A15" s="118"/>
      <c r="B15" s="119"/>
      <c r="C15" s="107"/>
      <c r="D15" s="108"/>
      <c r="E15" s="82" t="str">
        <f>'Index Formatting'!$I$5</f>
        <v>O</v>
      </c>
      <c r="F15" s="7" t="s">
        <v>41</v>
      </c>
      <c r="G15" s="15" t="s">
        <v>36</v>
      </c>
      <c r="H15" s="67">
        <v>9084.1180000000004</v>
      </c>
      <c r="I15" s="67">
        <v>6197.17</v>
      </c>
      <c r="J15" s="67">
        <v>6720.4510000000009</v>
      </c>
      <c r="K15" s="67">
        <v>6615.0499999999993</v>
      </c>
      <c r="L15" s="67">
        <v>6873.77</v>
      </c>
      <c r="M15" s="67">
        <v>7101.75</v>
      </c>
      <c r="N15" s="67">
        <v>7152.73</v>
      </c>
      <c r="O15" s="67">
        <v>5889.6900000000005</v>
      </c>
      <c r="P15" s="67">
        <v>9057.18</v>
      </c>
      <c r="Q15" s="67">
        <v>7226.4698888888897</v>
      </c>
      <c r="R15" s="67">
        <v>7189.0498888888897</v>
      </c>
      <c r="S15" s="67">
        <v>7103.89988888889</v>
      </c>
      <c r="T15" s="68">
        <f>H15*VLOOKUP($F15, 'Emission Factors'!$A$3:$E$44, 5, FALSE)</f>
        <v>22256.089100000001</v>
      </c>
      <c r="U15" s="68">
        <f>I15*VLOOKUP($F15, 'Emission Factors'!$A$3:$E$44, 5, FALSE)</f>
        <v>15183.066500000001</v>
      </c>
      <c r="V15" s="68">
        <f>J15*VLOOKUP($F15, 'Emission Factors'!$A$3:$E$44, 5, FALSE)</f>
        <v>16465.104950000004</v>
      </c>
      <c r="W15" s="68">
        <f>K15*VLOOKUP($F15, 'Emission Factors'!$A$3:$E$44, 5, FALSE)</f>
        <v>16206.872499999999</v>
      </c>
      <c r="X15" s="68">
        <f>L15*VLOOKUP($F15, 'Emission Factors'!$A$3:$E$44, 5, FALSE)</f>
        <v>16840.736500000003</v>
      </c>
      <c r="Y15" s="68">
        <f>M15*VLOOKUP($F15, 'Emission Factors'!$A$3:$E$44, 5, FALSE)</f>
        <v>17399.287500000002</v>
      </c>
      <c r="Z15" s="68">
        <f>N15*VLOOKUP($F15, 'Emission Factors'!$A$3:$E$44, 5, FALSE)</f>
        <v>17524.1885</v>
      </c>
      <c r="AA15" s="68">
        <f>O15*VLOOKUP($F15, 'Emission Factors'!$A$3:$E$44, 5, FALSE)</f>
        <v>14429.740500000002</v>
      </c>
      <c r="AB15" s="68">
        <f>P15*VLOOKUP($F15, 'Emission Factors'!$A$3:$E$44, 5, FALSE)</f>
        <v>22190.091000000004</v>
      </c>
      <c r="AC15" s="68">
        <f>Q15*VLOOKUP($F15, 'Emission Factors'!$A$3:$E$44, 5, FALSE)</f>
        <v>17704.851227777781</v>
      </c>
      <c r="AD15" s="68">
        <f>R15*VLOOKUP($F15, 'Emission Factors'!$A$3:$E$44, 5, FALSE)</f>
        <v>17613.172227777781</v>
      </c>
      <c r="AE15" s="68">
        <f>S15*VLOOKUP($F15, 'Emission Factors'!$A$3:$E$44, 5, FALSE)</f>
        <v>17404.55472777778</v>
      </c>
      <c r="AF15" s="19">
        <f t="shared" si="2"/>
        <v>211217.75523333336</v>
      </c>
      <c r="AG15" s="31"/>
      <c r="AH15" s="31"/>
      <c r="AI15" s="31"/>
      <c r="AJ15" s="31"/>
    </row>
    <row r="16" spans="1:36" outlineLevel="1" x14ac:dyDescent="0.25">
      <c r="A16" s="118"/>
      <c r="B16" s="119"/>
      <c r="C16" s="107"/>
      <c r="D16" s="108"/>
      <c r="E16" s="82" t="str">
        <f>'Index Formatting'!$I$5</f>
        <v>O</v>
      </c>
      <c r="F16" s="7" t="s">
        <v>67</v>
      </c>
      <c r="G16" s="15" t="s">
        <v>68</v>
      </c>
      <c r="H16" s="67"/>
      <c r="I16" s="67"/>
      <c r="J16" s="67"/>
      <c r="K16" s="67"/>
      <c r="L16" s="67"/>
      <c r="M16" s="67"/>
      <c r="N16" s="67"/>
      <c r="O16" s="67"/>
      <c r="P16" s="67"/>
      <c r="Q16" s="67"/>
      <c r="R16" s="67"/>
      <c r="S16" s="67"/>
      <c r="T16" s="68">
        <f>H16*VLOOKUP($F16, 'Emission Factors'!$A$3:$E$44, 5, FALSE)*1000</f>
        <v>0</v>
      </c>
      <c r="U16" s="68">
        <f>I16*VLOOKUP($F16, 'Emission Factors'!$A$3:$E$44, 5, FALSE)*1000</f>
        <v>0</v>
      </c>
      <c r="V16" s="68">
        <f>J16*VLOOKUP($F16, 'Emission Factors'!$A$3:$E$44, 5, FALSE)*1000</f>
        <v>0</v>
      </c>
      <c r="W16" s="68">
        <f>K16*VLOOKUP($F16, 'Emission Factors'!$A$3:$E$44, 5, FALSE)*1000</f>
        <v>0</v>
      </c>
      <c r="X16" s="68">
        <f>L16*VLOOKUP($F16, 'Emission Factors'!$A$3:$E$44, 5, FALSE)*1000</f>
        <v>0</v>
      </c>
      <c r="Y16" s="68">
        <f>M16*VLOOKUP($F16, 'Emission Factors'!$A$3:$E$44, 5, FALSE)*1000</f>
        <v>0</v>
      </c>
      <c r="Z16" s="68">
        <f>N16*VLOOKUP($F16, 'Emission Factors'!$A$3:$E$44, 5, FALSE)*1000</f>
        <v>0</v>
      </c>
      <c r="AA16" s="68">
        <f>O16*VLOOKUP($F16, 'Emission Factors'!$A$3:$E$44, 5, FALSE)*1000</f>
        <v>0</v>
      </c>
      <c r="AB16" s="68">
        <f>P16*VLOOKUP($F16, 'Emission Factors'!$A$3:$E$44, 5, FALSE)*1000</f>
        <v>0</v>
      </c>
      <c r="AC16" s="68">
        <f>Q16*VLOOKUP($F16, 'Emission Factors'!$A$3:$E$44, 5, FALSE)*1000</f>
        <v>0</v>
      </c>
      <c r="AD16" s="68">
        <f>R16*VLOOKUP($F16, 'Emission Factors'!$A$3:$E$44, 5, FALSE)*1000</f>
        <v>0</v>
      </c>
      <c r="AE16" s="68">
        <f>S16*VLOOKUP($F16, 'Emission Factors'!$A$3:$E$44, 5, FALSE)*1000</f>
        <v>0</v>
      </c>
      <c r="AF16" s="19">
        <f t="shared" si="2"/>
        <v>0</v>
      </c>
      <c r="AG16" s="31"/>
      <c r="AH16" s="31"/>
      <c r="AI16" s="31"/>
      <c r="AJ16" s="31"/>
    </row>
    <row r="17" spans="1:36" ht="15.75" outlineLevel="1" x14ac:dyDescent="0.25">
      <c r="A17" s="118"/>
      <c r="B17" s="119"/>
      <c r="C17" s="29"/>
      <c r="D17" s="27" t="s">
        <v>56</v>
      </c>
      <c r="E17" s="82" t="str">
        <f>'Index Formatting'!$I$5</f>
        <v>O</v>
      </c>
      <c r="F17" s="7" t="s">
        <v>56</v>
      </c>
      <c r="G17" s="15" t="s">
        <v>15</v>
      </c>
      <c r="H17" s="67"/>
      <c r="I17" s="67"/>
      <c r="J17" s="67"/>
      <c r="K17" s="67"/>
      <c r="L17" s="67"/>
      <c r="M17" s="67"/>
      <c r="N17" s="67"/>
      <c r="O17" s="67"/>
      <c r="P17" s="67"/>
      <c r="Q17" s="67"/>
      <c r="R17" s="67"/>
      <c r="S17" s="67"/>
      <c r="T17" s="68">
        <f>H17</f>
        <v>0</v>
      </c>
      <c r="U17" s="68">
        <f t="shared" ref="U17:AE17" si="3">I17</f>
        <v>0</v>
      </c>
      <c r="V17" s="68">
        <f t="shared" si="3"/>
        <v>0</v>
      </c>
      <c r="W17" s="68">
        <f t="shared" si="3"/>
        <v>0</v>
      </c>
      <c r="X17" s="68">
        <f t="shared" si="3"/>
        <v>0</v>
      </c>
      <c r="Y17" s="68">
        <f t="shared" si="3"/>
        <v>0</v>
      </c>
      <c r="Z17" s="68">
        <f t="shared" si="3"/>
        <v>0</v>
      </c>
      <c r="AA17" s="68">
        <f t="shared" si="3"/>
        <v>0</v>
      </c>
      <c r="AB17" s="68">
        <f t="shared" si="3"/>
        <v>0</v>
      </c>
      <c r="AC17" s="68">
        <f t="shared" si="3"/>
        <v>0</v>
      </c>
      <c r="AD17" s="68">
        <f t="shared" si="3"/>
        <v>0</v>
      </c>
      <c r="AE17" s="68">
        <f t="shared" si="3"/>
        <v>0</v>
      </c>
      <c r="AF17" s="19">
        <f t="shared" si="2"/>
        <v>0</v>
      </c>
      <c r="AG17" s="31"/>
      <c r="AH17" s="31"/>
      <c r="AI17" s="31"/>
      <c r="AJ17" s="31"/>
    </row>
    <row r="18" spans="1:36" ht="19.5" customHeight="1" x14ac:dyDescent="0.25">
      <c r="A18" s="130" t="str">
        <f>IF(COUNTIF(E19:E20,"M"),"Water", "Water (Optional)")</f>
        <v>Water (Optional)</v>
      </c>
      <c r="B18" s="131"/>
      <c r="C18" s="131"/>
      <c r="D18" s="131"/>
      <c r="E18" s="131"/>
      <c r="F18" s="131"/>
      <c r="G18" s="132"/>
      <c r="H18" s="137"/>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9">
        <f>SUM(AF19:AF20)</f>
        <v>0</v>
      </c>
      <c r="AG18" s="31"/>
      <c r="AH18" s="31"/>
      <c r="AI18" s="31"/>
      <c r="AJ18" s="31"/>
    </row>
    <row r="19" spans="1:36" outlineLevel="1" x14ac:dyDescent="0.25">
      <c r="A19" s="118">
        <v>3</v>
      </c>
      <c r="B19" s="119" t="s">
        <v>71</v>
      </c>
      <c r="C19" s="107"/>
      <c r="D19" s="108" t="s">
        <v>71</v>
      </c>
      <c r="E19" s="7" t="str">
        <f>'Index Formatting'!I6</f>
        <v>O</v>
      </c>
      <c r="F19" s="7" t="s">
        <v>73</v>
      </c>
      <c r="G19" s="15" t="s">
        <v>36</v>
      </c>
      <c r="H19" s="67"/>
      <c r="I19" s="67"/>
      <c r="J19" s="67"/>
      <c r="K19" s="67"/>
      <c r="L19" s="67"/>
      <c r="M19" s="67"/>
      <c r="N19" s="67"/>
      <c r="O19" s="67"/>
      <c r="P19" s="67"/>
      <c r="Q19" s="67"/>
      <c r="R19" s="67"/>
      <c r="S19" s="67"/>
      <c r="T19" s="68"/>
      <c r="U19" s="68"/>
      <c r="V19" s="68"/>
      <c r="W19" s="68"/>
      <c r="X19" s="68"/>
      <c r="Y19" s="68"/>
      <c r="Z19" s="68"/>
      <c r="AA19" s="68"/>
      <c r="AB19" s="68"/>
      <c r="AC19" s="68"/>
      <c r="AD19" s="68"/>
      <c r="AE19" s="68"/>
      <c r="AF19" s="19">
        <f>IF($H$2="Total", T19, SUM(T19:AE19))</f>
        <v>0</v>
      </c>
      <c r="AG19" s="31"/>
      <c r="AH19" s="31"/>
      <c r="AI19" s="31"/>
      <c r="AJ19" s="31"/>
    </row>
    <row r="20" spans="1:36" outlineLevel="1" x14ac:dyDescent="0.25">
      <c r="A20" s="118"/>
      <c r="B20" s="119"/>
      <c r="C20" s="107"/>
      <c r="D20" s="108"/>
      <c r="E20" s="7" t="str">
        <f>'Index Formatting'!I7</f>
        <v>O</v>
      </c>
      <c r="F20" s="7" t="s">
        <v>76</v>
      </c>
      <c r="G20" s="15" t="s">
        <v>36</v>
      </c>
      <c r="H20" s="67"/>
      <c r="I20" s="67"/>
      <c r="J20" s="67"/>
      <c r="K20" s="67"/>
      <c r="L20" s="67"/>
      <c r="M20" s="67"/>
      <c r="N20" s="67"/>
      <c r="O20" s="67"/>
      <c r="P20" s="67"/>
      <c r="Q20" s="67"/>
      <c r="R20" s="67"/>
      <c r="S20" s="67"/>
      <c r="T20" s="68"/>
      <c r="U20" s="68"/>
      <c r="V20" s="68"/>
      <c r="W20" s="68"/>
      <c r="X20" s="68"/>
      <c r="Y20" s="68"/>
      <c r="Z20" s="68"/>
      <c r="AA20" s="68"/>
      <c r="AB20" s="68"/>
      <c r="AC20" s="68"/>
      <c r="AD20" s="68"/>
      <c r="AE20" s="68"/>
      <c r="AF20" s="19">
        <f>IF($H$2="Total", T20, SUM(T20:AE20))</f>
        <v>0</v>
      </c>
      <c r="AG20" s="31"/>
      <c r="AH20" s="31"/>
      <c r="AI20" s="31"/>
      <c r="AJ20" s="31"/>
    </row>
    <row r="21" spans="1:36" ht="19.5" x14ac:dyDescent="0.25">
      <c r="A21" s="130" t="str">
        <f>IF(COUNTIF(E22:E33,"M"),"Waste", "Waste (Optional)")</f>
        <v>Waste</v>
      </c>
      <c r="B21" s="131"/>
      <c r="C21" s="131"/>
      <c r="D21" s="131"/>
      <c r="E21" s="131"/>
      <c r="F21" s="131"/>
      <c r="G21" s="132"/>
      <c r="H21" s="137"/>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9">
        <f>SUM(AF22:AF33)</f>
        <v>0</v>
      </c>
      <c r="AG21" s="31"/>
      <c r="AH21" s="31"/>
      <c r="AI21" s="31"/>
      <c r="AJ21" s="31"/>
    </row>
    <row r="22" spans="1:36" outlineLevel="1" x14ac:dyDescent="0.25">
      <c r="A22" s="118">
        <v>4</v>
      </c>
      <c r="B22" s="119" t="s">
        <v>78</v>
      </c>
      <c r="C22" s="107"/>
      <c r="D22" s="108" t="s">
        <v>79</v>
      </c>
      <c r="E22" s="7" t="s">
        <v>416</v>
      </c>
      <c r="F22" s="7" t="s">
        <v>81</v>
      </c>
      <c r="G22" s="15" t="s">
        <v>82</v>
      </c>
      <c r="H22" s="67"/>
      <c r="I22" s="67"/>
      <c r="J22" s="67"/>
      <c r="K22" s="67"/>
      <c r="L22" s="67"/>
      <c r="M22" s="67"/>
      <c r="N22" s="67"/>
      <c r="O22" s="67"/>
      <c r="P22" s="67"/>
      <c r="Q22" s="67"/>
      <c r="R22" s="67"/>
      <c r="S22" s="67"/>
      <c r="T22" s="68"/>
      <c r="U22" s="68"/>
      <c r="V22" s="68"/>
      <c r="W22" s="68"/>
      <c r="X22" s="68"/>
      <c r="Y22" s="68"/>
      <c r="Z22" s="68"/>
      <c r="AA22" s="68"/>
      <c r="AB22" s="68"/>
      <c r="AC22" s="68"/>
      <c r="AD22" s="68"/>
      <c r="AE22" s="68"/>
      <c r="AF22" s="19">
        <f>IF($H$2="Total", T22, SUM(T22:AE22))</f>
        <v>0</v>
      </c>
      <c r="AG22" s="31"/>
      <c r="AH22" s="31"/>
      <c r="AI22" s="31"/>
      <c r="AJ22" s="31"/>
    </row>
    <row r="23" spans="1:36" outlineLevel="1" x14ac:dyDescent="0.25">
      <c r="A23" s="118"/>
      <c r="B23" s="119"/>
      <c r="C23" s="107"/>
      <c r="D23" s="108"/>
      <c r="E23" s="7" t="s">
        <v>416</v>
      </c>
      <c r="F23" s="7" t="s">
        <v>20</v>
      </c>
      <c r="G23" s="15" t="s">
        <v>82</v>
      </c>
      <c r="H23" s="67"/>
      <c r="I23" s="67"/>
      <c r="J23" s="67"/>
      <c r="K23" s="67"/>
      <c r="L23" s="67"/>
      <c r="M23" s="67"/>
      <c r="N23" s="67"/>
      <c r="O23" s="67"/>
      <c r="P23" s="67"/>
      <c r="Q23" s="67"/>
      <c r="R23" s="67"/>
      <c r="S23" s="67"/>
      <c r="T23" s="68"/>
      <c r="U23" s="68"/>
      <c r="V23" s="68"/>
      <c r="W23" s="68"/>
      <c r="X23" s="68"/>
      <c r="Y23" s="68"/>
      <c r="Z23" s="68"/>
      <c r="AA23" s="68"/>
      <c r="AB23" s="68"/>
      <c r="AC23" s="68"/>
      <c r="AD23" s="68"/>
      <c r="AE23" s="68"/>
      <c r="AF23" s="19">
        <f t="shared" ref="AF23:AF55" si="4">IF($H$2="Total", T23, SUM(T23:AE23))</f>
        <v>0</v>
      </c>
      <c r="AG23" s="31"/>
      <c r="AH23" s="31"/>
      <c r="AI23" s="31"/>
      <c r="AJ23" s="31"/>
    </row>
    <row r="24" spans="1:36" outlineLevel="1" x14ac:dyDescent="0.25">
      <c r="A24" s="118"/>
      <c r="B24" s="119"/>
      <c r="C24" s="107"/>
      <c r="D24" s="108"/>
      <c r="E24" s="7" t="s">
        <v>416</v>
      </c>
      <c r="F24" s="7" t="s">
        <v>86</v>
      </c>
      <c r="G24" s="15" t="s">
        <v>82</v>
      </c>
      <c r="H24" s="67"/>
      <c r="I24" s="67"/>
      <c r="J24" s="67"/>
      <c r="K24" s="67"/>
      <c r="L24" s="67"/>
      <c r="M24" s="67"/>
      <c r="N24" s="67"/>
      <c r="O24" s="67"/>
      <c r="P24" s="67"/>
      <c r="Q24" s="67"/>
      <c r="R24" s="67"/>
      <c r="S24" s="67"/>
      <c r="T24" s="68"/>
      <c r="U24" s="68"/>
      <c r="V24" s="68"/>
      <c r="W24" s="68"/>
      <c r="X24" s="68"/>
      <c r="Y24" s="68"/>
      <c r="Z24" s="68"/>
      <c r="AA24" s="68"/>
      <c r="AB24" s="68"/>
      <c r="AC24" s="68"/>
      <c r="AD24" s="68"/>
      <c r="AE24" s="68"/>
      <c r="AF24" s="19">
        <f t="shared" si="4"/>
        <v>0</v>
      </c>
      <c r="AG24" s="31"/>
      <c r="AH24" s="31"/>
      <c r="AI24" s="31"/>
      <c r="AJ24" s="31"/>
    </row>
    <row r="25" spans="1:36" outlineLevel="1" x14ac:dyDescent="0.25">
      <c r="A25" s="118"/>
      <c r="B25" s="119"/>
      <c r="C25" s="107"/>
      <c r="D25" s="108"/>
      <c r="E25" s="7" t="s">
        <v>416</v>
      </c>
      <c r="F25" s="7" t="s">
        <v>88</v>
      </c>
      <c r="G25" s="15" t="s">
        <v>82</v>
      </c>
      <c r="H25" s="67"/>
      <c r="I25" s="67"/>
      <c r="J25" s="67"/>
      <c r="K25" s="67"/>
      <c r="L25" s="67"/>
      <c r="M25" s="67"/>
      <c r="N25" s="67"/>
      <c r="O25" s="67"/>
      <c r="P25" s="67"/>
      <c r="Q25" s="67"/>
      <c r="R25" s="67"/>
      <c r="S25" s="67"/>
      <c r="T25" s="68"/>
      <c r="U25" s="68"/>
      <c r="V25" s="68"/>
      <c r="W25" s="68"/>
      <c r="X25" s="68"/>
      <c r="Y25" s="68"/>
      <c r="Z25" s="68"/>
      <c r="AA25" s="68"/>
      <c r="AB25" s="68"/>
      <c r="AC25" s="68"/>
      <c r="AD25" s="68"/>
      <c r="AE25" s="68"/>
      <c r="AF25" s="19">
        <f t="shared" si="4"/>
        <v>0</v>
      </c>
      <c r="AG25" s="31"/>
      <c r="AH25" s="31"/>
      <c r="AI25" s="31"/>
      <c r="AJ25" s="31"/>
    </row>
    <row r="26" spans="1:36" outlineLevel="1" x14ac:dyDescent="0.25">
      <c r="A26" s="118"/>
      <c r="B26" s="119"/>
      <c r="C26" s="107"/>
      <c r="D26" s="108"/>
      <c r="E26" s="7" t="s">
        <v>416</v>
      </c>
      <c r="F26" s="7" t="s">
        <v>91</v>
      </c>
      <c r="G26" s="15" t="s">
        <v>82</v>
      </c>
      <c r="H26" s="67"/>
      <c r="I26" s="67"/>
      <c r="J26" s="67"/>
      <c r="K26" s="67"/>
      <c r="L26" s="67"/>
      <c r="M26" s="67"/>
      <c r="N26" s="67"/>
      <c r="O26" s="67"/>
      <c r="P26" s="67"/>
      <c r="Q26" s="67"/>
      <c r="R26" s="67"/>
      <c r="S26" s="67"/>
      <c r="T26" s="68"/>
      <c r="U26" s="68"/>
      <c r="V26" s="68"/>
      <c r="W26" s="68"/>
      <c r="X26" s="68"/>
      <c r="Y26" s="68"/>
      <c r="Z26" s="68"/>
      <c r="AA26" s="68"/>
      <c r="AB26" s="68"/>
      <c r="AC26" s="68"/>
      <c r="AD26" s="68"/>
      <c r="AE26" s="68"/>
      <c r="AF26" s="19">
        <f t="shared" si="4"/>
        <v>0</v>
      </c>
      <c r="AG26" s="31"/>
      <c r="AH26" s="31"/>
      <c r="AI26" s="31"/>
      <c r="AJ26" s="31"/>
    </row>
    <row r="27" spans="1:36" ht="15.75" outlineLevel="1" x14ac:dyDescent="0.25">
      <c r="A27" s="118"/>
      <c r="B27" s="119"/>
      <c r="C27" s="29"/>
      <c r="D27" s="27" t="s">
        <v>93</v>
      </c>
      <c r="E27" s="7" t="s">
        <v>416</v>
      </c>
      <c r="F27" s="7" t="s">
        <v>93</v>
      </c>
      <c r="G27" s="15" t="s">
        <v>82</v>
      </c>
      <c r="H27" s="67"/>
      <c r="I27" s="67"/>
      <c r="J27" s="67"/>
      <c r="K27" s="67"/>
      <c r="L27" s="67"/>
      <c r="M27" s="67"/>
      <c r="N27" s="67"/>
      <c r="O27" s="67"/>
      <c r="P27" s="67"/>
      <c r="Q27" s="67"/>
      <c r="R27" s="67"/>
      <c r="S27" s="67"/>
      <c r="T27" s="68"/>
      <c r="U27" s="68"/>
      <c r="V27" s="68"/>
      <c r="W27" s="68"/>
      <c r="X27" s="68"/>
      <c r="Y27" s="68"/>
      <c r="Z27" s="68"/>
      <c r="AA27" s="68"/>
      <c r="AB27" s="68"/>
      <c r="AC27" s="68"/>
      <c r="AD27" s="68"/>
      <c r="AE27" s="68"/>
      <c r="AF27" s="19">
        <f t="shared" si="4"/>
        <v>0</v>
      </c>
      <c r="AG27" s="31"/>
      <c r="AH27" s="31"/>
      <c r="AI27" s="31"/>
      <c r="AJ27" s="31"/>
    </row>
    <row r="28" spans="1:36" ht="15.75" outlineLevel="1" x14ac:dyDescent="0.25">
      <c r="A28" s="118"/>
      <c r="B28" s="119"/>
      <c r="C28" s="29"/>
      <c r="D28" s="27" t="s">
        <v>96</v>
      </c>
      <c r="E28" s="7" t="s">
        <v>416</v>
      </c>
      <c r="F28" s="7" t="s">
        <v>96</v>
      </c>
      <c r="G28" s="15" t="s">
        <v>82</v>
      </c>
      <c r="H28" s="67"/>
      <c r="I28" s="67"/>
      <c r="J28" s="67"/>
      <c r="K28" s="67"/>
      <c r="L28" s="67"/>
      <c r="M28" s="67"/>
      <c r="N28" s="67"/>
      <c r="O28" s="67"/>
      <c r="P28" s="67"/>
      <c r="Q28" s="67"/>
      <c r="R28" s="67"/>
      <c r="S28" s="67"/>
      <c r="T28" s="68"/>
      <c r="U28" s="68"/>
      <c r="V28" s="68"/>
      <c r="W28" s="68"/>
      <c r="X28" s="68"/>
      <c r="Y28" s="68"/>
      <c r="Z28" s="68"/>
      <c r="AA28" s="68"/>
      <c r="AB28" s="68"/>
      <c r="AC28" s="68"/>
      <c r="AD28" s="68"/>
      <c r="AE28" s="68"/>
      <c r="AF28" s="19">
        <f t="shared" si="4"/>
        <v>0</v>
      </c>
      <c r="AG28" s="31"/>
      <c r="AH28" s="31"/>
      <c r="AI28" s="31"/>
      <c r="AJ28" s="31"/>
    </row>
    <row r="29" spans="1:36" outlineLevel="1" x14ac:dyDescent="0.25">
      <c r="A29" s="118"/>
      <c r="B29" s="119"/>
      <c r="C29" s="107"/>
      <c r="D29" s="108" t="s">
        <v>99</v>
      </c>
      <c r="E29" s="7" t="s">
        <v>416</v>
      </c>
      <c r="F29" s="7" t="s">
        <v>19</v>
      </c>
      <c r="G29" s="15" t="s">
        <v>82</v>
      </c>
      <c r="H29" s="67"/>
      <c r="I29" s="67"/>
      <c r="J29" s="67"/>
      <c r="K29" s="67"/>
      <c r="L29" s="67"/>
      <c r="M29" s="67"/>
      <c r="N29" s="67"/>
      <c r="O29" s="67"/>
      <c r="P29" s="67"/>
      <c r="Q29" s="67"/>
      <c r="R29" s="67"/>
      <c r="S29" s="67"/>
      <c r="T29" s="68"/>
      <c r="U29" s="68"/>
      <c r="V29" s="68"/>
      <c r="W29" s="68"/>
      <c r="X29" s="68"/>
      <c r="Y29" s="68"/>
      <c r="Z29" s="68"/>
      <c r="AA29" s="68"/>
      <c r="AB29" s="68"/>
      <c r="AC29" s="68"/>
      <c r="AD29" s="68"/>
      <c r="AE29" s="68"/>
      <c r="AF29" s="19">
        <f t="shared" si="4"/>
        <v>0</v>
      </c>
      <c r="AG29" s="31"/>
      <c r="AH29" s="31"/>
      <c r="AI29" s="31"/>
      <c r="AJ29" s="31"/>
    </row>
    <row r="30" spans="1:36" outlineLevel="1" x14ac:dyDescent="0.25">
      <c r="A30" s="118"/>
      <c r="B30" s="119"/>
      <c r="C30" s="107"/>
      <c r="D30" s="108"/>
      <c r="E30" s="7" t="s">
        <v>416</v>
      </c>
      <c r="F30" s="7" t="s">
        <v>18</v>
      </c>
      <c r="G30" s="15" t="s">
        <v>82</v>
      </c>
      <c r="H30" s="67"/>
      <c r="I30" s="67"/>
      <c r="J30" s="67"/>
      <c r="K30" s="67"/>
      <c r="L30" s="67"/>
      <c r="M30" s="67"/>
      <c r="N30" s="67"/>
      <c r="O30" s="67"/>
      <c r="P30" s="67"/>
      <c r="Q30" s="67"/>
      <c r="R30" s="67"/>
      <c r="S30" s="67"/>
      <c r="T30" s="68"/>
      <c r="U30" s="68"/>
      <c r="V30" s="68"/>
      <c r="W30" s="68"/>
      <c r="X30" s="68"/>
      <c r="Y30" s="68"/>
      <c r="Z30" s="68"/>
      <c r="AA30" s="68"/>
      <c r="AB30" s="68"/>
      <c r="AC30" s="68"/>
      <c r="AD30" s="68"/>
      <c r="AE30" s="68"/>
      <c r="AF30" s="19">
        <f t="shared" si="4"/>
        <v>0</v>
      </c>
      <c r="AG30" s="31"/>
      <c r="AH30" s="31"/>
      <c r="AI30" s="31"/>
      <c r="AJ30" s="31"/>
    </row>
    <row r="31" spans="1:36" outlineLevel="1" x14ac:dyDescent="0.25">
      <c r="A31" s="118"/>
      <c r="B31" s="119"/>
      <c r="C31" s="107"/>
      <c r="D31" s="108"/>
      <c r="E31" s="7" t="s">
        <v>416</v>
      </c>
      <c r="F31" s="7" t="s">
        <v>81</v>
      </c>
      <c r="G31" s="15" t="s">
        <v>82</v>
      </c>
      <c r="H31" s="67"/>
      <c r="I31" s="67"/>
      <c r="J31" s="67"/>
      <c r="K31" s="67"/>
      <c r="L31" s="67"/>
      <c r="M31" s="67"/>
      <c r="N31" s="67"/>
      <c r="O31" s="67"/>
      <c r="P31" s="67"/>
      <c r="Q31" s="67"/>
      <c r="R31" s="67"/>
      <c r="S31" s="67"/>
      <c r="T31" s="68"/>
      <c r="U31" s="68"/>
      <c r="V31" s="68"/>
      <c r="W31" s="68"/>
      <c r="X31" s="68"/>
      <c r="Y31" s="68"/>
      <c r="Z31" s="68"/>
      <c r="AA31" s="68"/>
      <c r="AB31" s="68"/>
      <c r="AC31" s="68"/>
      <c r="AD31" s="68"/>
      <c r="AE31" s="68"/>
      <c r="AF31" s="19">
        <f t="shared" si="4"/>
        <v>0</v>
      </c>
      <c r="AG31" s="31"/>
      <c r="AH31" s="31"/>
      <c r="AI31" s="31"/>
      <c r="AJ31" s="31"/>
    </row>
    <row r="32" spans="1:36" outlineLevel="1" x14ac:dyDescent="0.25">
      <c r="A32" s="118"/>
      <c r="B32" s="119"/>
      <c r="C32" s="107"/>
      <c r="D32" s="108"/>
      <c r="E32" s="7" t="s">
        <v>416</v>
      </c>
      <c r="F32" s="7" t="s">
        <v>20</v>
      </c>
      <c r="G32" s="15" t="s">
        <v>82</v>
      </c>
      <c r="H32" s="67"/>
      <c r="I32" s="67"/>
      <c r="J32" s="67"/>
      <c r="K32" s="67"/>
      <c r="L32" s="67"/>
      <c r="M32" s="67"/>
      <c r="N32" s="67"/>
      <c r="O32" s="67"/>
      <c r="P32" s="67"/>
      <c r="Q32" s="67"/>
      <c r="R32" s="67"/>
      <c r="S32" s="67"/>
      <c r="T32" s="68"/>
      <c r="U32" s="68"/>
      <c r="V32" s="68"/>
      <c r="W32" s="68"/>
      <c r="X32" s="68"/>
      <c r="Y32" s="68"/>
      <c r="Z32" s="68"/>
      <c r="AA32" s="68"/>
      <c r="AB32" s="68"/>
      <c r="AC32" s="68"/>
      <c r="AD32" s="68"/>
      <c r="AE32" s="68"/>
      <c r="AF32" s="19">
        <f t="shared" si="4"/>
        <v>0</v>
      </c>
      <c r="AG32" s="31"/>
      <c r="AH32" s="31"/>
      <c r="AI32" s="31"/>
      <c r="AJ32" s="31"/>
    </row>
    <row r="33" spans="1:36" ht="15.75" outlineLevel="1" x14ac:dyDescent="0.25">
      <c r="A33" s="118"/>
      <c r="B33" s="119"/>
      <c r="C33" s="29"/>
      <c r="D33" s="27" t="s">
        <v>56</v>
      </c>
      <c r="E33" s="7" t="s">
        <v>416</v>
      </c>
      <c r="F33" s="7" t="s">
        <v>56</v>
      </c>
      <c r="G33" s="15" t="s">
        <v>15</v>
      </c>
      <c r="H33" s="67"/>
      <c r="I33" s="67"/>
      <c r="J33" s="67"/>
      <c r="K33" s="67"/>
      <c r="L33" s="67"/>
      <c r="M33" s="67"/>
      <c r="N33" s="67"/>
      <c r="O33" s="67"/>
      <c r="P33" s="67"/>
      <c r="Q33" s="67"/>
      <c r="R33" s="67"/>
      <c r="S33" s="67"/>
      <c r="T33" s="68"/>
      <c r="U33" s="68"/>
      <c r="V33" s="68"/>
      <c r="W33" s="68"/>
      <c r="X33" s="68"/>
      <c r="Y33" s="68"/>
      <c r="Z33" s="68"/>
      <c r="AA33" s="68"/>
      <c r="AB33" s="68"/>
      <c r="AC33" s="68"/>
      <c r="AD33" s="68"/>
      <c r="AE33" s="68"/>
      <c r="AF33" s="19">
        <f t="shared" si="4"/>
        <v>0</v>
      </c>
      <c r="AG33" s="31"/>
      <c r="AH33" s="31"/>
      <c r="AI33" s="31"/>
      <c r="AJ33" s="31"/>
    </row>
    <row r="34" spans="1:36" ht="19.5" customHeight="1" x14ac:dyDescent="0.25">
      <c r="A34" s="130" t="str">
        <f>IF(COUNTIF(E35:E55,"M"),"Pavement", "Pavement (Optional)")</f>
        <v>Pavement</v>
      </c>
      <c r="B34" s="131"/>
      <c r="C34" s="131"/>
      <c r="D34" s="131"/>
      <c r="E34" s="131"/>
      <c r="F34" s="131"/>
      <c r="G34" s="132"/>
      <c r="H34" s="137"/>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9">
        <f>SUM(AF35:AF55)</f>
        <v>16598928.746694453</v>
      </c>
      <c r="AG34" s="31"/>
      <c r="AH34" s="31"/>
      <c r="AI34" s="31"/>
      <c r="AJ34" s="31"/>
    </row>
    <row r="35" spans="1:36" ht="15" customHeight="1" outlineLevel="1" x14ac:dyDescent="0.25">
      <c r="A35" s="101">
        <v>5</v>
      </c>
      <c r="B35" s="104" t="s">
        <v>21</v>
      </c>
      <c r="C35" s="107"/>
      <c r="D35" s="114" t="s">
        <v>189</v>
      </c>
      <c r="E35" s="82" t="str">
        <f>'Index Formatting'!I12</f>
        <v>M</v>
      </c>
      <c r="F35" s="7" t="s">
        <v>191</v>
      </c>
      <c r="G35" s="15" t="s">
        <v>82</v>
      </c>
      <c r="H35" s="67">
        <v>2680</v>
      </c>
      <c r="I35" s="67">
        <v>1343</v>
      </c>
      <c r="J35" s="67">
        <v>491</v>
      </c>
      <c r="K35" s="67">
        <v>7065</v>
      </c>
      <c r="L35" s="67">
        <v>31489</v>
      </c>
      <c r="M35" s="67">
        <v>34152</v>
      </c>
      <c r="N35" s="67">
        <v>25165</v>
      </c>
      <c r="O35" s="67">
        <v>45779</v>
      </c>
      <c r="P35" s="67">
        <v>34027</v>
      </c>
      <c r="Q35" s="67">
        <v>26831</v>
      </c>
      <c r="R35" s="67">
        <v>10451.1</v>
      </c>
      <c r="S35" s="67">
        <v>5225.55</v>
      </c>
      <c r="T35" s="68">
        <f>H35*VLOOKUP($F35,'Emission Factors'!$A$3:$E$44,5,FALSE)*1000</f>
        <v>8231.4431199999999</v>
      </c>
      <c r="U35" s="68">
        <f>I35*VLOOKUP($F35,'Emission Factors'!$A$3:$E$44,5,FALSE)*1000</f>
        <v>4124.9358620000003</v>
      </c>
      <c r="V35" s="68">
        <f>J35*VLOOKUP($F35,'Emission Factors'!$A$3:$E$44,5,FALSE)*1000</f>
        <v>1508.0740939999998</v>
      </c>
      <c r="W35" s="68">
        <f>K35*VLOOKUP($F35,'Emission Factors'!$A$3:$E$44,5,FALSE)*1000</f>
        <v>21699.681210000002</v>
      </c>
      <c r="X35" s="68">
        <f>L35*VLOOKUP($F35,'Emission Factors'!$A$3:$E$44,5,FALSE)*1000</f>
        <v>96716.385225999999</v>
      </c>
      <c r="Y35" s="68">
        <f>M35*VLOOKUP($F35,'Emission Factors'!$A$3:$E$44,5,FALSE)*1000</f>
        <v>104895.61396800001</v>
      </c>
      <c r="Z35" s="68">
        <f>N35*VLOOKUP($F35,'Emission Factors'!$A$3:$E$44,5,FALSE)*1000</f>
        <v>77292.636610000001</v>
      </c>
      <c r="AA35" s="68">
        <f>O35*VLOOKUP($F35,'Emission Factors'!$A$3:$E$44,5,FALSE)*1000</f>
        <v>140607.17708600001</v>
      </c>
      <c r="AB35" s="68">
        <f>P35*VLOOKUP($F35,'Emission Factors'!$A$3:$E$44,5,FALSE)*1000</f>
        <v>104511.684718</v>
      </c>
      <c r="AC35" s="68">
        <f>Q35*VLOOKUP($F35,'Emission Factors'!$A$3:$E$44,5,FALSE)*1000</f>
        <v>82409.645654000007</v>
      </c>
      <c r="AD35" s="68">
        <f>R35*VLOOKUP($F35,'Emission Factors'!$A$3:$E$44,5,FALSE)*1000</f>
        <v>32099.863877400003</v>
      </c>
      <c r="AE35" s="68">
        <f>S35*VLOOKUP($F35,'Emission Factors'!$A$3:$E$44,5,FALSE)*1000</f>
        <v>16049.931938700001</v>
      </c>
      <c r="AF35" s="19">
        <f t="shared" si="4"/>
        <v>690147.07336410007</v>
      </c>
      <c r="AG35" s="31"/>
      <c r="AH35" s="31"/>
      <c r="AI35" s="31"/>
      <c r="AJ35" s="31"/>
    </row>
    <row r="36" spans="1:36" ht="15" customHeight="1" outlineLevel="1" x14ac:dyDescent="0.25">
      <c r="A36" s="102"/>
      <c r="B36" s="105"/>
      <c r="C36" s="107"/>
      <c r="D36" s="123"/>
      <c r="E36" s="82" t="str">
        <f>E35</f>
        <v>M</v>
      </c>
      <c r="F36" s="7" t="s">
        <v>191</v>
      </c>
      <c r="G36" s="15" t="s">
        <v>82</v>
      </c>
      <c r="H36" s="67">
        <v>132</v>
      </c>
      <c r="I36" s="67">
        <v>751</v>
      </c>
      <c r="J36" s="67">
        <v>801</v>
      </c>
      <c r="K36" s="67">
        <v>19008</v>
      </c>
      <c r="L36" s="67">
        <v>22886</v>
      </c>
      <c r="M36" s="67">
        <v>13656</v>
      </c>
      <c r="N36" s="67">
        <v>16919</v>
      </c>
      <c r="O36" s="67">
        <v>23967</v>
      </c>
      <c r="P36" s="67">
        <v>26991</v>
      </c>
      <c r="Q36" s="67">
        <v>6847</v>
      </c>
      <c r="R36" s="67">
        <v>6597.9</v>
      </c>
      <c r="S36" s="67">
        <v>3298.95</v>
      </c>
      <c r="T36" s="68">
        <f>H36*VLOOKUP($F36,'Emission Factors'!$A$3:$E$44,5,FALSE)*1000</f>
        <v>405.42928799999999</v>
      </c>
      <c r="U36" s="68">
        <v>2306.6469340000003</v>
      </c>
      <c r="V36" s="68">
        <v>2460.2186339999998</v>
      </c>
      <c r="W36" s="68">
        <v>58381.817472000002</v>
      </c>
      <c r="X36" s="68">
        <v>70292.838524000006</v>
      </c>
      <c r="Y36" s="68">
        <v>41943.502704000006</v>
      </c>
      <c r="Z36" s="68">
        <v>51965.591846000003</v>
      </c>
      <c r="AA36" s="68">
        <v>73613.058678000001</v>
      </c>
      <c r="AB36" s="68">
        <v>82901.075094</v>
      </c>
      <c r="AC36" s="68">
        <v>21030.108598000003</v>
      </c>
      <c r="AD36" s="68">
        <v>20265.014388600001</v>
      </c>
      <c r="AE36" s="68">
        <v>10132.5071943</v>
      </c>
      <c r="AF36" s="19">
        <f t="shared" si="4"/>
        <v>435697.80935490009</v>
      </c>
      <c r="AG36" s="31"/>
      <c r="AH36" s="31"/>
      <c r="AI36" s="31"/>
      <c r="AJ36" s="31"/>
    </row>
    <row r="37" spans="1:36" ht="30" customHeight="1" outlineLevel="1" x14ac:dyDescent="0.25">
      <c r="A37" s="102"/>
      <c r="B37" s="105"/>
      <c r="C37" s="107"/>
      <c r="D37" s="123"/>
      <c r="E37" s="82" t="str">
        <f>E35</f>
        <v>M</v>
      </c>
      <c r="F37" s="7" t="s">
        <v>201</v>
      </c>
      <c r="G37" s="15" t="s">
        <v>82</v>
      </c>
      <c r="H37" s="67"/>
      <c r="I37" s="67"/>
      <c r="J37" s="67"/>
      <c r="K37" s="67"/>
      <c r="L37" s="67"/>
      <c r="M37" s="67"/>
      <c r="N37" s="67"/>
      <c r="O37" s="67"/>
      <c r="P37" s="67"/>
      <c r="Q37" s="67"/>
      <c r="R37" s="67"/>
      <c r="S37" s="67"/>
      <c r="T37" s="68">
        <f>H37*VLOOKUP($F37,'Emission Factors'!$A$3:$E$44,5,FALSE)*1000</f>
        <v>0</v>
      </c>
      <c r="U37" s="68">
        <f>I37*VLOOKUP($F37,'Emission Factors'!$A$3:$E$44,5,FALSE)*1000</f>
        <v>0</v>
      </c>
      <c r="V37" s="68">
        <f>J37*VLOOKUP($F37,'Emission Factors'!$A$3:$E$44,5,FALSE)*1000</f>
        <v>0</v>
      </c>
      <c r="W37" s="68">
        <f>K37*VLOOKUP($F37,'Emission Factors'!$A$3:$E$44,5,FALSE)*1000</f>
        <v>0</v>
      </c>
      <c r="X37" s="68">
        <f>L37*VLOOKUP($F37,'Emission Factors'!$A$3:$E$44,5,FALSE)*1000</f>
        <v>0</v>
      </c>
      <c r="Y37" s="68">
        <f>M37*VLOOKUP($F37,'Emission Factors'!$A$3:$E$44,5,FALSE)*1000</f>
        <v>0</v>
      </c>
      <c r="Z37" s="68">
        <f>N37*VLOOKUP($F37,'Emission Factors'!$A$3:$E$44,5,FALSE)*1000</f>
        <v>0</v>
      </c>
      <c r="AA37" s="68">
        <f>O37*VLOOKUP($F37,'Emission Factors'!$A$3:$E$44,5,FALSE)*1000</f>
        <v>0</v>
      </c>
      <c r="AB37" s="68">
        <f>P37*VLOOKUP($F37,'Emission Factors'!$A$3:$E$44,5,FALSE)*1000</f>
        <v>0</v>
      </c>
      <c r="AC37" s="68">
        <f>Q37*VLOOKUP($F37,'Emission Factors'!$A$3:$E$44,5,FALSE)*1000</f>
        <v>0</v>
      </c>
      <c r="AD37" s="68">
        <f>R37*VLOOKUP($F37,'Emission Factors'!$A$3:$E$44,5,FALSE)*1000</f>
        <v>0</v>
      </c>
      <c r="AE37" s="68">
        <f>S37*VLOOKUP($F37,'Emission Factors'!$A$3:$E$44,5,FALSE)*1000</f>
        <v>0</v>
      </c>
      <c r="AF37" s="19">
        <f t="shared" si="4"/>
        <v>0</v>
      </c>
      <c r="AG37" s="31"/>
      <c r="AH37" s="31"/>
      <c r="AI37" s="31"/>
      <c r="AJ37" s="31"/>
    </row>
    <row r="38" spans="1:36" ht="15" customHeight="1" outlineLevel="1" x14ac:dyDescent="0.25">
      <c r="A38" s="102"/>
      <c r="B38" s="105"/>
      <c r="C38" s="107"/>
      <c r="D38" s="115"/>
      <c r="E38" s="82" t="str">
        <f>E35</f>
        <v>M</v>
      </c>
      <c r="F38" s="7" t="s">
        <v>204</v>
      </c>
      <c r="G38" s="15" t="s">
        <v>82</v>
      </c>
      <c r="H38" s="67"/>
      <c r="I38" s="67"/>
      <c r="J38" s="67"/>
      <c r="K38" s="67"/>
      <c r="L38" s="67"/>
      <c r="M38" s="67"/>
      <c r="N38" s="67"/>
      <c r="O38" s="67"/>
      <c r="P38" s="67"/>
      <c r="Q38" s="67"/>
      <c r="R38" s="67"/>
      <c r="S38" s="67"/>
      <c r="T38" s="68">
        <f>H38*VLOOKUP($F38,'Emission Factors'!$A$3:$E$44,5,FALSE)*1000</f>
        <v>0</v>
      </c>
      <c r="U38" s="68">
        <f>I38*VLOOKUP($F38,'Emission Factors'!$A$3:$E$44,5,FALSE)*1000</f>
        <v>0</v>
      </c>
      <c r="V38" s="68">
        <f>J38*VLOOKUP($F38,'Emission Factors'!$A$3:$E$44,5,FALSE)*1000</f>
        <v>0</v>
      </c>
      <c r="W38" s="68">
        <f>K38*VLOOKUP($F38,'Emission Factors'!$A$3:$E$44,5,FALSE)*1000</f>
        <v>0</v>
      </c>
      <c r="X38" s="68">
        <f>L38*VLOOKUP($F38,'Emission Factors'!$A$3:$E$44,5,FALSE)*1000</f>
        <v>0</v>
      </c>
      <c r="Y38" s="68">
        <f>M38*VLOOKUP($F38,'Emission Factors'!$A$3:$E$44,5,FALSE)*1000</f>
        <v>0</v>
      </c>
      <c r="Z38" s="68">
        <f>N38*VLOOKUP($F38,'Emission Factors'!$A$3:$E$44,5,FALSE)*1000</f>
        <v>0</v>
      </c>
      <c r="AA38" s="68">
        <f>O38*VLOOKUP($F38,'Emission Factors'!$A$3:$E$44,5,FALSE)*1000</f>
        <v>0</v>
      </c>
      <c r="AB38" s="68">
        <f>P38*VLOOKUP($F38,'Emission Factors'!$A$3:$E$44,5,FALSE)*1000</f>
        <v>0</v>
      </c>
      <c r="AC38" s="68">
        <f>Q38*VLOOKUP($F38,'Emission Factors'!$A$3:$E$44,5,FALSE)*1000</f>
        <v>0</v>
      </c>
      <c r="AD38" s="68">
        <f>R38*VLOOKUP($F38,'Emission Factors'!$A$3:$E$44,5,FALSE)*1000</f>
        <v>0</v>
      </c>
      <c r="AE38" s="68">
        <f>S38*VLOOKUP($F38,'Emission Factors'!$A$3:$E$44,5,FALSE)*1000</f>
        <v>0</v>
      </c>
      <c r="AF38" s="19">
        <f t="shared" si="4"/>
        <v>0</v>
      </c>
      <c r="AG38" s="31"/>
      <c r="AH38" s="31"/>
      <c r="AI38" s="31"/>
      <c r="AJ38" s="31"/>
    </row>
    <row r="39" spans="1:36" ht="15" customHeight="1" outlineLevel="1" x14ac:dyDescent="0.25">
      <c r="A39" s="102"/>
      <c r="B39" s="105"/>
      <c r="C39" s="107"/>
      <c r="D39" s="108" t="s">
        <v>206</v>
      </c>
      <c r="E39" s="82" t="str">
        <f>'Index Formatting'!I13</f>
        <v>O</v>
      </c>
      <c r="F39" s="7" t="s">
        <v>208</v>
      </c>
      <c r="G39" s="15" t="s">
        <v>82</v>
      </c>
      <c r="H39" s="67"/>
      <c r="I39" s="67"/>
      <c r="J39" s="67"/>
      <c r="K39" s="67"/>
      <c r="L39" s="67"/>
      <c r="M39" s="67">
        <v>92</v>
      </c>
      <c r="N39" s="67">
        <v>136</v>
      </c>
      <c r="O39" s="67">
        <v>162</v>
      </c>
      <c r="P39" s="67">
        <v>131</v>
      </c>
      <c r="Q39" s="67">
        <v>102</v>
      </c>
      <c r="R39" s="67">
        <v>62.3</v>
      </c>
      <c r="S39" s="67">
        <v>31.15</v>
      </c>
      <c r="T39" s="68">
        <f>H39*VLOOKUP($F39,'Emission Factors'!$A$3:$E$44,5,FALSE)*1000</f>
        <v>0</v>
      </c>
      <c r="U39" s="68">
        <f>I39*VLOOKUP($F39,'Emission Factors'!$A$3:$E$44,5,FALSE)*1000</f>
        <v>0</v>
      </c>
      <c r="V39" s="68">
        <f>J39*VLOOKUP($F39,'Emission Factors'!$A$3:$E$44,5,FALSE)*1000</f>
        <v>0</v>
      </c>
      <c r="W39" s="68">
        <f>K39*VLOOKUP($F39,'Emission Factors'!$A$3:$E$44,5,FALSE)*1000</f>
        <v>0</v>
      </c>
      <c r="X39" s="68">
        <f>L39*VLOOKUP($F39,'Emission Factors'!$A$3:$E$44,5,FALSE)*1000</f>
        <v>0</v>
      </c>
      <c r="Y39" s="68">
        <f>M39*VLOOKUP($F39,'Emission Factors'!$A$3:$E$44,5,FALSE)*1000</f>
        <v>34224</v>
      </c>
      <c r="Z39" s="68">
        <f>N39*VLOOKUP($F39,'Emission Factors'!$A$3:$E$44,5,FALSE)*1000</f>
        <v>50592</v>
      </c>
      <c r="AA39" s="68">
        <f>O39*VLOOKUP($F39,'Emission Factors'!$A$3:$E$44,5,FALSE)*1000</f>
        <v>60264</v>
      </c>
      <c r="AB39" s="68">
        <f>P39*VLOOKUP($F39,'Emission Factors'!$A$3:$E$44,5,FALSE)*1000</f>
        <v>48732</v>
      </c>
      <c r="AC39" s="68">
        <f>Q39*VLOOKUP($F39,'Emission Factors'!$A$3:$E$44,5,FALSE)*1000</f>
        <v>37944</v>
      </c>
      <c r="AD39" s="68">
        <f>R39*VLOOKUP($F39,'Emission Factors'!$A$3:$E$44,5,FALSE)*1000</f>
        <v>23175.599999999999</v>
      </c>
      <c r="AE39" s="68">
        <f>S39*VLOOKUP($F39,'Emission Factors'!$A$3:$E$44,5,FALSE)*1000</f>
        <v>11587.8</v>
      </c>
      <c r="AF39" s="19">
        <f t="shared" si="4"/>
        <v>266519.40000000002</v>
      </c>
      <c r="AG39" s="31"/>
      <c r="AH39" s="31"/>
      <c r="AI39" s="31"/>
      <c r="AJ39" s="31"/>
    </row>
    <row r="40" spans="1:36" ht="15" customHeight="1" outlineLevel="1" x14ac:dyDescent="0.25">
      <c r="A40" s="102"/>
      <c r="B40" s="105"/>
      <c r="C40" s="107"/>
      <c r="D40" s="108"/>
      <c r="E40" s="82" t="str">
        <f>E39</f>
        <v>O</v>
      </c>
      <c r="F40" s="7" t="s">
        <v>212</v>
      </c>
      <c r="G40" s="15" t="s">
        <v>82</v>
      </c>
      <c r="H40" s="67"/>
      <c r="I40" s="67"/>
      <c r="J40" s="67"/>
      <c r="K40" s="67"/>
      <c r="L40" s="67"/>
      <c r="M40" s="67"/>
      <c r="N40" s="67"/>
      <c r="O40" s="67"/>
      <c r="P40" s="67"/>
      <c r="Q40" s="67">
        <v>16</v>
      </c>
      <c r="R40" s="67">
        <v>8</v>
      </c>
      <c r="S40" s="67">
        <v>4</v>
      </c>
      <c r="T40" s="68">
        <f>H40*VLOOKUP($F40,'Emission Factors'!$A$3:$E$44,5,FALSE)*1000</f>
        <v>0</v>
      </c>
      <c r="U40" s="68">
        <f>I40*VLOOKUP($F40,'Emission Factors'!$A$3:$E$44,5,FALSE)*1000</f>
        <v>0</v>
      </c>
      <c r="V40" s="68">
        <f>J40*VLOOKUP($F40,'Emission Factors'!$A$3:$E$44,5,FALSE)*1000</f>
        <v>0</v>
      </c>
      <c r="W40" s="68">
        <f>K40*VLOOKUP($F40,'Emission Factors'!$A$3:$E$44,5,FALSE)*1000</f>
        <v>0</v>
      </c>
      <c r="X40" s="68">
        <f>L40*VLOOKUP($F40,'Emission Factors'!$A$3:$E$44,5,FALSE)*1000</f>
        <v>0</v>
      </c>
      <c r="Y40" s="68">
        <f>M40*VLOOKUP($F40,'Emission Factors'!$A$3:$E$44,5,FALSE)*1000</f>
        <v>0</v>
      </c>
      <c r="Z40" s="68">
        <f>N40*VLOOKUP($F40,'Emission Factors'!$A$3:$E$44,5,FALSE)*1000</f>
        <v>0</v>
      </c>
      <c r="AA40" s="68">
        <f>O40*VLOOKUP($F40,'Emission Factors'!$A$3:$E$44,5,FALSE)*1000</f>
        <v>0</v>
      </c>
      <c r="AB40" s="68">
        <f>P40*VLOOKUP($F40,'Emission Factors'!$A$3:$E$44,5,FALSE)*1000</f>
        <v>0</v>
      </c>
      <c r="AC40" s="68">
        <f>Q40*VLOOKUP($F40,'Emission Factors'!$A$3:$E$44,5,FALSE)*1000</f>
        <v>13337.01024</v>
      </c>
      <c r="AD40" s="68">
        <f>R40*VLOOKUP($F40,'Emission Factors'!$A$3:$E$44,5,FALSE)*1000</f>
        <v>6668.5051199999998</v>
      </c>
      <c r="AE40" s="68">
        <f>S40*VLOOKUP($F40,'Emission Factors'!$A$3:$E$44,5,FALSE)*1000</f>
        <v>3334.2525599999999</v>
      </c>
      <c r="AF40" s="19">
        <f t="shared" si="4"/>
        <v>23339.767919999998</v>
      </c>
      <c r="AG40" s="31"/>
      <c r="AH40" s="31"/>
      <c r="AI40" s="31"/>
      <c r="AJ40" s="31"/>
    </row>
    <row r="41" spans="1:36" ht="15" customHeight="1" outlineLevel="1" x14ac:dyDescent="0.25">
      <c r="A41" s="102"/>
      <c r="B41" s="105"/>
      <c r="C41" s="107"/>
      <c r="D41" s="108"/>
      <c r="E41" s="82" t="str">
        <f>E39</f>
        <v>O</v>
      </c>
      <c r="F41" s="7" t="s">
        <v>214</v>
      </c>
      <c r="G41" s="15" t="s">
        <v>82</v>
      </c>
      <c r="H41" s="67">
        <v>11</v>
      </c>
      <c r="I41" s="67">
        <v>22</v>
      </c>
      <c r="J41" s="67"/>
      <c r="K41" s="67">
        <v>44</v>
      </c>
      <c r="L41" s="67">
        <v>209</v>
      </c>
      <c r="M41" s="67">
        <v>146</v>
      </c>
      <c r="N41" s="67">
        <v>194</v>
      </c>
      <c r="O41" s="67">
        <v>232</v>
      </c>
      <c r="P41" s="67">
        <v>94</v>
      </c>
      <c r="Q41" s="67">
        <v>186</v>
      </c>
      <c r="R41" s="67">
        <v>63.222222222222221</v>
      </c>
      <c r="S41" s="67">
        <v>31.611111111111111</v>
      </c>
      <c r="T41" s="68">
        <f>H41*VLOOKUP($F41,'Emission Factors'!$A$3:$E$44,5,FALSE)*1000</f>
        <v>10405.107680000001</v>
      </c>
      <c r="U41" s="68">
        <f>I41*VLOOKUP($F41,'Emission Factors'!$A$3:$E$44,5,FALSE)*1000</f>
        <v>20810.215360000002</v>
      </c>
      <c r="V41" s="68">
        <f>J41*VLOOKUP($F41,'Emission Factors'!$A$3:$E$44,5,FALSE)*1000</f>
        <v>0</v>
      </c>
      <c r="W41" s="68">
        <f>K41*VLOOKUP($F41,'Emission Factors'!$A$3:$E$44,5,FALSE)*1000</f>
        <v>41620.430720000004</v>
      </c>
      <c r="X41" s="68">
        <f>L41*VLOOKUP($F41,'Emission Factors'!$A$3:$E$44,5,FALSE)*1000</f>
        <v>197697.04592</v>
      </c>
      <c r="Y41" s="68">
        <f>M41*VLOOKUP($F41,'Emission Factors'!$A$3:$E$44,5,FALSE)*1000</f>
        <v>138104.15648000001</v>
      </c>
      <c r="Z41" s="68">
        <f>N41*VLOOKUP($F41,'Emission Factors'!$A$3:$E$44,5,FALSE)*1000</f>
        <v>183508.26272</v>
      </c>
      <c r="AA41" s="68">
        <f>O41*VLOOKUP($F41,'Emission Factors'!$A$3:$E$44,5,FALSE)*1000</f>
        <v>219453.18016000002</v>
      </c>
      <c r="AB41" s="68">
        <f>P41*VLOOKUP($F41,'Emission Factors'!$A$3:$E$44,5,FALSE)*1000</f>
        <v>88916.374720000007</v>
      </c>
      <c r="AC41" s="68">
        <f>Q41*VLOOKUP($F41,'Emission Factors'!$A$3:$E$44,5,FALSE)*1000</f>
        <v>175940.91167999999</v>
      </c>
      <c r="AD41" s="68">
        <f>R41*VLOOKUP($F41,'Emission Factors'!$A$3:$E$44,5,FALSE)*1000</f>
        <v>59803.093635555553</v>
      </c>
      <c r="AE41" s="68">
        <f>S41*VLOOKUP($F41,'Emission Factors'!$A$3:$E$44,5,FALSE)*1000</f>
        <v>29901.546817777777</v>
      </c>
      <c r="AF41" s="19">
        <f t="shared" si="4"/>
        <v>1166160.3258933332</v>
      </c>
      <c r="AG41" s="31"/>
      <c r="AH41" s="31"/>
      <c r="AI41" s="31"/>
      <c r="AJ41" s="31"/>
    </row>
    <row r="42" spans="1:36" ht="15" customHeight="1" outlineLevel="1" x14ac:dyDescent="0.25">
      <c r="A42" s="102"/>
      <c r="B42" s="105"/>
      <c r="C42" s="107"/>
      <c r="D42" s="72" t="s">
        <v>216</v>
      </c>
      <c r="E42" s="82" t="str">
        <f>'Index Formatting'!I14</f>
        <v>M</v>
      </c>
      <c r="F42" s="7" t="s">
        <v>915</v>
      </c>
      <c r="G42" s="15" t="s">
        <v>219</v>
      </c>
      <c r="H42" s="67">
        <v>170.30999999999997</v>
      </c>
      <c r="I42" s="67">
        <v>1483</v>
      </c>
      <c r="J42" s="67">
        <v>1526</v>
      </c>
      <c r="K42" s="67">
        <v>6950</v>
      </c>
      <c r="L42" s="67">
        <v>5306</v>
      </c>
      <c r="M42" s="67">
        <v>1801</v>
      </c>
      <c r="N42" s="67">
        <v>4114</v>
      </c>
      <c r="O42" s="67">
        <v>7048</v>
      </c>
      <c r="P42" s="67">
        <v>7127</v>
      </c>
      <c r="Q42" s="67">
        <v>4107</v>
      </c>
      <c r="R42" s="67">
        <v>1981.6154999999999</v>
      </c>
      <c r="S42" s="67">
        <v>990.80774999999994</v>
      </c>
      <c r="T42" s="68">
        <f>H42*VLOOKUP($F42,'Emission Factors 2'!$A$2:$E$344,2,FALSE)</f>
        <v>18806.860085149499</v>
      </c>
      <c r="U42" s="68">
        <f>I42*VLOOKUP($F42,'Emission Factors 2'!$A$2:$E$344,2,FALSE)</f>
        <v>163763.56941035</v>
      </c>
      <c r="V42" s="68">
        <f>J42*VLOOKUP($F42,'Emission Factors 2'!$A$2:$E$344,2,FALSE)</f>
        <v>168511.93993270001</v>
      </c>
      <c r="W42" s="68">
        <f>K42*VLOOKUP($F42,'Emission Factors 2'!$A$2:$E$344,2,FALSE)</f>
        <v>767469.18907750002</v>
      </c>
      <c r="X42" s="68">
        <f>L42*VLOOKUP($F42,'Emission Factors 2'!$A$2:$E$344,2,FALSE)</f>
        <v>585926.83701370005</v>
      </c>
      <c r="Y42" s="68">
        <f>M42*VLOOKUP($F42,'Emission Factors 2'!$A$2:$E$344,2,FALSE)</f>
        <v>198879.42583145</v>
      </c>
      <c r="Z42" s="68">
        <f>N42*VLOOKUP($F42,'Emission Factors 2'!$A$2:$E$344,2,FALSE)</f>
        <v>454297.58904530003</v>
      </c>
      <c r="AA42" s="68">
        <f>O42*VLOOKUP($F42,'Emission Factors 2'!$A$2:$E$344,2,FALSE)</f>
        <v>778291.05677959998</v>
      </c>
      <c r="AB42" s="68">
        <f>P42*VLOOKUP($F42,'Emission Factors 2'!$A$2:$E$344,2,FALSE)</f>
        <v>787014.80727415008</v>
      </c>
      <c r="AC42" s="68">
        <f>Q42*VLOOKUP($F42,'Emission Factors 2'!$A$2:$E$344,2,FALSE)</f>
        <v>453524.59849515004</v>
      </c>
      <c r="AD42" s="68">
        <f>R42*VLOOKUP($F42,'Emission Factors 2'!$A$2:$E$344,2,FALSE)</f>
        <v>218824.29364725246</v>
      </c>
      <c r="AE42" s="68">
        <f>S42*VLOOKUP($F42,'Emission Factors 2'!$A$2:$E$344,2,FALSE)</f>
        <v>109412.14682362623</v>
      </c>
      <c r="AF42" s="19">
        <f t="shared" si="4"/>
        <v>4704722.3134159278</v>
      </c>
      <c r="AG42" s="31"/>
      <c r="AH42" s="31"/>
      <c r="AI42" s="31"/>
      <c r="AJ42" s="31"/>
    </row>
    <row r="43" spans="1:36" ht="15" customHeight="1" outlineLevel="1" x14ac:dyDescent="0.25">
      <c r="A43" s="102"/>
      <c r="B43" s="105"/>
      <c r="C43" s="107"/>
      <c r="D43" s="72" t="s">
        <v>234</v>
      </c>
      <c r="E43" s="83" t="str">
        <f>IF(E42="R", "R", "O")</f>
        <v>O</v>
      </c>
      <c r="F43" s="7" t="s">
        <v>915</v>
      </c>
      <c r="G43" s="15" t="s">
        <v>219</v>
      </c>
      <c r="H43" s="67"/>
      <c r="I43" s="67"/>
      <c r="J43" s="67"/>
      <c r="K43" s="67"/>
      <c r="L43" s="67"/>
      <c r="M43" s="67"/>
      <c r="N43" s="67"/>
      <c r="O43" s="67"/>
      <c r="P43" s="67"/>
      <c r="Q43" s="67"/>
      <c r="R43" s="67"/>
      <c r="S43" s="67"/>
      <c r="T43" s="68">
        <f>H43*VLOOKUP($F43,'Emission Factors 2'!$A$2:$E$344,2,FALSE)</f>
        <v>0</v>
      </c>
      <c r="U43" s="68">
        <f>I43*VLOOKUP($F43,'Emission Factors 2'!$A$2:$E$344,2,FALSE)</f>
        <v>0</v>
      </c>
      <c r="V43" s="68">
        <f>J43*VLOOKUP($F43,'Emission Factors 2'!$A$2:$E$344,2,FALSE)</f>
        <v>0</v>
      </c>
      <c r="W43" s="68">
        <f>K43*VLOOKUP($F43,'Emission Factors 2'!$A$2:$E$344,2,FALSE)</f>
        <v>0</v>
      </c>
      <c r="X43" s="68">
        <f>L43*VLOOKUP($F43,'Emission Factors 2'!$A$2:$E$344,2,FALSE)</f>
        <v>0</v>
      </c>
      <c r="Y43" s="68">
        <f>M43*VLOOKUP($F43,'Emission Factors 2'!$A$2:$E$344,2,FALSE)</f>
        <v>0</v>
      </c>
      <c r="Z43" s="68">
        <f>N43*VLOOKUP($F43,'Emission Factors 2'!$A$2:$E$344,2,FALSE)</f>
        <v>0</v>
      </c>
      <c r="AA43" s="68">
        <f>O43*VLOOKUP($F43,'Emission Factors 2'!$A$2:$E$344,2,FALSE)</f>
        <v>0</v>
      </c>
      <c r="AB43" s="68">
        <f>P43*VLOOKUP($F43,'Emission Factors 2'!$A$2:$E$344,2,FALSE)</f>
        <v>0</v>
      </c>
      <c r="AC43" s="68">
        <f>Q43*VLOOKUP($F43,'Emission Factors 2'!$A$2:$E$344,2,FALSE)</f>
        <v>0</v>
      </c>
      <c r="AD43" s="68">
        <f>R43*VLOOKUP($F43,'Emission Factors 2'!$A$2:$E$344,2,FALSE)</f>
        <v>0</v>
      </c>
      <c r="AE43" s="68">
        <f>S43*VLOOKUP($F43,'Emission Factors 2'!$A$2:$E$344,2,FALSE)</f>
        <v>0</v>
      </c>
      <c r="AF43" s="19">
        <f t="shared" si="4"/>
        <v>0</v>
      </c>
      <c r="AG43" s="31"/>
      <c r="AH43" s="31"/>
      <c r="AI43" s="31"/>
      <c r="AJ43" s="31"/>
    </row>
    <row r="44" spans="1:36" ht="15" customHeight="1" outlineLevel="1" x14ac:dyDescent="0.25">
      <c r="A44" s="102"/>
      <c r="B44" s="105"/>
      <c r="C44" s="107"/>
      <c r="D44" s="72" t="s">
        <v>238</v>
      </c>
      <c r="E44" s="83" t="str">
        <f t="shared" ref="E44:E50" si="5">IF(E43="R", "R", "O")</f>
        <v>O</v>
      </c>
      <c r="F44" s="7" t="s">
        <v>915</v>
      </c>
      <c r="G44" s="15" t="s">
        <v>219</v>
      </c>
      <c r="H44" s="67"/>
      <c r="I44" s="67"/>
      <c r="J44" s="67"/>
      <c r="K44" s="67"/>
      <c r="L44" s="67"/>
      <c r="M44" s="67"/>
      <c r="N44" s="67"/>
      <c r="O44" s="67"/>
      <c r="P44" s="67"/>
      <c r="Q44" s="67"/>
      <c r="R44" s="67"/>
      <c r="S44" s="67"/>
      <c r="T44" s="68">
        <f>H44*VLOOKUP($F44,'Emission Factors 2'!$A$2:$E$344,2,FALSE)</f>
        <v>0</v>
      </c>
      <c r="U44" s="68">
        <f>I44*VLOOKUP($F44,'Emission Factors 2'!$A$2:$E$344,2,FALSE)</f>
        <v>0</v>
      </c>
      <c r="V44" s="68">
        <f>J44*VLOOKUP($F44,'Emission Factors 2'!$A$2:$E$344,2,FALSE)</f>
        <v>0</v>
      </c>
      <c r="W44" s="68">
        <f>K44*VLOOKUP($F44,'Emission Factors 2'!$A$2:$E$344,2,FALSE)</f>
        <v>0</v>
      </c>
      <c r="X44" s="68">
        <f>L44*VLOOKUP($F44,'Emission Factors 2'!$A$2:$E$344,2,FALSE)</f>
        <v>0</v>
      </c>
      <c r="Y44" s="68">
        <f>M44*VLOOKUP($F44,'Emission Factors 2'!$A$2:$E$344,2,FALSE)</f>
        <v>0</v>
      </c>
      <c r="Z44" s="68">
        <f>N44*VLOOKUP($F44,'Emission Factors 2'!$A$2:$E$344,2,FALSE)</f>
        <v>0</v>
      </c>
      <c r="AA44" s="68">
        <f>O44*VLOOKUP($F44,'Emission Factors 2'!$A$2:$E$344,2,FALSE)</f>
        <v>0</v>
      </c>
      <c r="AB44" s="68">
        <f>P44*VLOOKUP($F44,'Emission Factors 2'!$A$2:$E$344,2,FALSE)</f>
        <v>0</v>
      </c>
      <c r="AC44" s="68">
        <f>Q44*VLOOKUP($F44,'Emission Factors 2'!$A$2:$E$344,2,FALSE)</f>
        <v>0</v>
      </c>
      <c r="AD44" s="68">
        <f>R44*VLOOKUP($F44,'Emission Factors 2'!$A$2:$E$344,2,FALSE)</f>
        <v>0</v>
      </c>
      <c r="AE44" s="68">
        <f>S44*VLOOKUP($F44,'Emission Factors 2'!$A$2:$E$344,2,FALSE)</f>
        <v>0</v>
      </c>
      <c r="AF44" s="19">
        <f t="shared" si="4"/>
        <v>0</v>
      </c>
      <c r="AG44" s="31"/>
      <c r="AH44" s="31"/>
      <c r="AI44" s="31"/>
      <c r="AJ44" s="31"/>
    </row>
    <row r="45" spans="1:36" ht="15" customHeight="1" outlineLevel="1" x14ac:dyDescent="0.25">
      <c r="A45" s="102"/>
      <c r="B45" s="105"/>
      <c r="C45" s="107"/>
      <c r="D45" s="72" t="s">
        <v>921</v>
      </c>
      <c r="E45" s="83" t="str">
        <f t="shared" si="5"/>
        <v>O</v>
      </c>
      <c r="F45" s="7" t="s">
        <v>915</v>
      </c>
      <c r="G45" s="15" t="s">
        <v>219</v>
      </c>
      <c r="H45" s="67"/>
      <c r="I45" s="67"/>
      <c r="J45" s="67"/>
      <c r="K45" s="67"/>
      <c r="L45" s="67">
        <v>40</v>
      </c>
      <c r="M45" s="67"/>
      <c r="N45" s="67">
        <v>586</v>
      </c>
      <c r="O45" s="67">
        <v>386</v>
      </c>
      <c r="P45" s="67"/>
      <c r="Q45" s="67">
        <v>135</v>
      </c>
      <c r="R45" s="67"/>
      <c r="S45" s="67"/>
      <c r="T45" s="68">
        <f>H45*VLOOKUP($F45,'Emission Factors 2'!$A$2:$E$344,2,FALSE)</f>
        <v>0</v>
      </c>
      <c r="U45" s="68">
        <f>I45*VLOOKUP($F45,'Emission Factors 2'!$A$2:$E$344,2,FALSE)</f>
        <v>0</v>
      </c>
      <c r="V45" s="68">
        <f>J45*VLOOKUP($F45,'Emission Factors 2'!$A$2:$E$344,2,FALSE)</f>
        <v>0</v>
      </c>
      <c r="W45" s="68">
        <f>K45*VLOOKUP($F45,'Emission Factors 2'!$A$2:$E$344,2,FALSE)</f>
        <v>0</v>
      </c>
      <c r="X45" s="68">
        <f>L45*VLOOKUP($F45,'Emission Factors 2'!$A$2:$E$344,2,FALSE)</f>
        <v>4417.0888580000001</v>
      </c>
      <c r="Y45" s="68">
        <f>M45*VLOOKUP($F45,'Emission Factors 2'!$A$2:$E$344,2,FALSE)</f>
        <v>0</v>
      </c>
      <c r="Z45" s="68">
        <f>N45*VLOOKUP($F45,'Emission Factors 2'!$A$2:$E$344,2,FALSE)</f>
        <v>64710.351769700006</v>
      </c>
      <c r="AA45" s="68">
        <f>O45*VLOOKUP($F45,'Emission Factors 2'!$A$2:$E$344,2,FALSE)</f>
        <v>42624.907479699999</v>
      </c>
      <c r="AB45" s="68">
        <f>P45*VLOOKUP($F45,'Emission Factors 2'!$A$2:$E$344,2,FALSE)</f>
        <v>0</v>
      </c>
      <c r="AC45" s="68">
        <f>Q45*VLOOKUP($F45,'Emission Factors 2'!$A$2:$E$344,2,FALSE)</f>
        <v>14907.67489575</v>
      </c>
      <c r="AD45" s="68">
        <f>R45*VLOOKUP($F45,'Emission Factors 2'!$A$2:$E$344,2,FALSE)</f>
        <v>0</v>
      </c>
      <c r="AE45" s="68">
        <f>S45*VLOOKUP($F45,'Emission Factors 2'!$A$2:$E$344,2,FALSE)</f>
        <v>0</v>
      </c>
      <c r="AF45" s="19">
        <f t="shared" si="4"/>
        <v>126660.02300315</v>
      </c>
      <c r="AG45" s="31"/>
      <c r="AH45" s="31"/>
      <c r="AI45" s="31"/>
      <c r="AJ45" s="31"/>
    </row>
    <row r="46" spans="1:36" ht="15" customHeight="1" outlineLevel="1" x14ac:dyDescent="0.25">
      <c r="A46" s="102"/>
      <c r="B46" s="105"/>
      <c r="C46" s="107"/>
      <c r="D46" s="72" t="s">
        <v>922</v>
      </c>
      <c r="E46" s="83" t="str">
        <f t="shared" si="5"/>
        <v>O</v>
      </c>
      <c r="F46" s="7" t="s">
        <v>915</v>
      </c>
      <c r="G46" s="15" t="s">
        <v>219</v>
      </c>
      <c r="H46" s="67"/>
      <c r="I46" s="67"/>
      <c r="J46" s="67"/>
      <c r="K46" s="67"/>
      <c r="L46" s="67"/>
      <c r="M46" s="67"/>
      <c r="N46" s="67"/>
      <c r="O46" s="67"/>
      <c r="P46" s="67"/>
      <c r="Q46" s="67"/>
      <c r="R46" s="67"/>
      <c r="S46" s="67"/>
      <c r="T46" s="68">
        <f>H46*VLOOKUP($F46,'Emission Factors 2'!$A$2:$E$344,2,FALSE)</f>
        <v>0</v>
      </c>
      <c r="U46" s="68">
        <f>I46*VLOOKUP($F46,'Emission Factors 2'!$A$2:$E$344,2,FALSE)</f>
        <v>0</v>
      </c>
      <c r="V46" s="68">
        <f>J46*VLOOKUP($F46,'Emission Factors 2'!$A$2:$E$344,2,FALSE)</f>
        <v>0</v>
      </c>
      <c r="W46" s="68">
        <f>K46*VLOOKUP($F46,'Emission Factors 2'!$A$2:$E$344,2,FALSE)</f>
        <v>0</v>
      </c>
      <c r="X46" s="68">
        <f>L46*VLOOKUP($F46,'Emission Factors 2'!$A$2:$E$344,2,FALSE)</f>
        <v>0</v>
      </c>
      <c r="Y46" s="68">
        <f>M46*VLOOKUP($F46,'Emission Factors 2'!$A$2:$E$344,2,FALSE)</f>
        <v>0</v>
      </c>
      <c r="Z46" s="68">
        <f>N46*VLOOKUP($F46,'Emission Factors 2'!$A$2:$E$344,2,FALSE)</f>
        <v>0</v>
      </c>
      <c r="AA46" s="68">
        <f>O46*VLOOKUP($F46,'Emission Factors 2'!$A$2:$E$344,2,FALSE)</f>
        <v>0</v>
      </c>
      <c r="AB46" s="68">
        <f>P46*VLOOKUP($F46,'Emission Factors 2'!$A$2:$E$344,2,FALSE)</f>
        <v>0</v>
      </c>
      <c r="AC46" s="68">
        <f>Q46*VLOOKUP($F46,'Emission Factors 2'!$A$2:$E$344,2,FALSE)</f>
        <v>0</v>
      </c>
      <c r="AD46" s="68">
        <f>R46*VLOOKUP($F46,'Emission Factors 2'!$A$2:$E$344,2,FALSE)</f>
        <v>0</v>
      </c>
      <c r="AE46" s="68">
        <f>S46*VLOOKUP($F46,'Emission Factors 2'!$A$2:$E$344,2,FALSE)</f>
        <v>0</v>
      </c>
      <c r="AF46" s="19">
        <f t="shared" si="4"/>
        <v>0</v>
      </c>
      <c r="AG46" s="31"/>
      <c r="AH46" s="31"/>
      <c r="AI46" s="31"/>
      <c r="AJ46" s="31"/>
    </row>
    <row r="47" spans="1:36" ht="15" customHeight="1" outlineLevel="1" x14ac:dyDescent="0.25">
      <c r="A47" s="102"/>
      <c r="B47" s="105"/>
      <c r="C47" s="107"/>
      <c r="D47" s="72" t="s">
        <v>923</v>
      </c>
      <c r="E47" s="83" t="str">
        <f t="shared" si="5"/>
        <v>O</v>
      </c>
      <c r="F47" s="7" t="s">
        <v>915</v>
      </c>
      <c r="G47" s="15" t="s">
        <v>219</v>
      </c>
      <c r="H47" s="67"/>
      <c r="I47" s="67"/>
      <c r="J47" s="67"/>
      <c r="K47" s="67"/>
      <c r="L47" s="67"/>
      <c r="M47" s="67"/>
      <c r="N47" s="67"/>
      <c r="O47" s="67"/>
      <c r="P47" s="67"/>
      <c r="Q47" s="67"/>
      <c r="R47" s="67"/>
      <c r="S47" s="67"/>
      <c r="T47" s="68">
        <f>H47*VLOOKUP($F47,'Emission Factors 2'!$A$2:$E$344,2,FALSE)</f>
        <v>0</v>
      </c>
      <c r="U47" s="68">
        <f>I47*VLOOKUP($F47,'Emission Factors 2'!$A$2:$E$344,2,FALSE)</f>
        <v>0</v>
      </c>
      <c r="V47" s="68">
        <f>J47*VLOOKUP($F47,'Emission Factors 2'!$A$2:$E$344,2,FALSE)</f>
        <v>0</v>
      </c>
      <c r="W47" s="68">
        <f>K47*VLOOKUP($F47,'Emission Factors 2'!$A$2:$E$344,2,FALSE)</f>
        <v>0</v>
      </c>
      <c r="X47" s="68">
        <f>L47*VLOOKUP($F47,'Emission Factors 2'!$A$2:$E$344,2,FALSE)</f>
        <v>0</v>
      </c>
      <c r="Y47" s="68">
        <f>M47*VLOOKUP($F47,'Emission Factors 2'!$A$2:$E$344,2,FALSE)</f>
        <v>0</v>
      </c>
      <c r="Z47" s="68">
        <f>N47*VLOOKUP($F47,'Emission Factors 2'!$A$2:$E$344,2,FALSE)</f>
        <v>0</v>
      </c>
      <c r="AA47" s="68">
        <f>O47*VLOOKUP($F47,'Emission Factors 2'!$A$2:$E$344,2,FALSE)</f>
        <v>0</v>
      </c>
      <c r="AB47" s="68">
        <f>P47*VLOOKUP($F47,'Emission Factors 2'!$A$2:$E$344,2,FALSE)</f>
        <v>0</v>
      </c>
      <c r="AC47" s="68">
        <f>Q47*VLOOKUP($F47,'Emission Factors 2'!$A$2:$E$344,2,FALSE)</f>
        <v>0</v>
      </c>
      <c r="AD47" s="68">
        <f>R47*VLOOKUP($F47,'Emission Factors 2'!$A$2:$E$344,2,FALSE)</f>
        <v>0</v>
      </c>
      <c r="AE47" s="68">
        <f>S47*VLOOKUP($F47,'Emission Factors 2'!$A$2:$E$344,2,FALSE)</f>
        <v>0</v>
      </c>
      <c r="AF47" s="19">
        <f t="shared" si="4"/>
        <v>0</v>
      </c>
      <c r="AG47" s="31"/>
      <c r="AH47" s="31"/>
      <c r="AI47" s="31"/>
      <c r="AJ47" s="31"/>
    </row>
    <row r="48" spans="1:36" ht="15" customHeight="1" outlineLevel="1" x14ac:dyDescent="0.25">
      <c r="A48" s="102"/>
      <c r="B48" s="105"/>
      <c r="C48" s="107"/>
      <c r="D48" s="72" t="s">
        <v>924</v>
      </c>
      <c r="E48" s="83" t="str">
        <f t="shared" si="5"/>
        <v>O</v>
      </c>
      <c r="F48" s="7" t="s">
        <v>915</v>
      </c>
      <c r="G48" s="15" t="s">
        <v>219</v>
      </c>
      <c r="H48" s="67"/>
      <c r="I48" s="67"/>
      <c r="J48" s="67"/>
      <c r="K48" s="67"/>
      <c r="L48" s="67">
        <v>447</v>
      </c>
      <c r="M48" s="67">
        <v>149</v>
      </c>
      <c r="N48" s="67"/>
      <c r="O48" s="67">
        <v>721</v>
      </c>
      <c r="P48" s="67">
        <v>819</v>
      </c>
      <c r="Q48" s="67"/>
      <c r="R48" s="67"/>
      <c r="S48" s="67"/>
      <c r="T48" s="68">
        <f>H48*VLOOKUP($F48,'Emission Factors 2'!$A$2:$E$344,2,FALSE)</f>
        <v>0</v>
      </c>
      <c r="U48" s="68">
        <f>I48*VLOOKUP($F48,'Emission Factors 2'!$A$2:$E$344,2,FALSE)</f>
        <v>0</v>
      </c>
      <c r="V48" s="68">
        <f>J48*VLOOKUP($F48,'Emission Factors 2'!$A$2:$E$344,2,FALSE)</f>
        <v>0</v>
      </c>
      <c r="W48" s="68">
        <f>K48*VLOOKUP($F48,'Emission Factors 2'!$A$2:$E$344,2,FALSE)</f>
        <v>0</v>
      </c>
      <c r="X48" s="68">
        <f>L48*VLOOKUP($F48,'Emission Factors 2'!$A$2:$E$344,2,FALSE)</f>
        <v>49360.967988150005</v>
      </c>
      <c r="Y48" s="68">
        <f>M48*VLOOKUP($F48,'Emission Factors 2'!$A$2:$E$344,2,FALSE)</f>
        <v>16453.655996050002</v>
      </c>
      <c r="Z48" s="68">
        <f>N48*VLOOKUP($F48,'Emission Factors 2'!$A$2:$E$344,2,FALSE)</f>
        <v>0</v>
      </c>
      <c r="AA48" s="68">
        <f>O48*VLOOKUP($F48,'Emission Factors 2'!$A$2:$E$344,2,FALSE)</f>
        <v>79618.026665450001</v>
      </c>
      <c r="AB48" s="68">
        <f>P48*VLOOKUP($F48,'Emission Factors 2'!$A$2:$E$344,2,FALSE)</f>
        <v>90439.894367550005</v>
      </c>
      <c r="AC48" s="68">
        <f>Q48*VLOOKUP($F48,'Emission Factors 2'!$A$2:$E$344,2,FALSE)</f>
        <v>0</v>
      </c>
      <c r="AD48" s="68">
        <f>R48*VLOOKUP($F48,'Emission Factors 2'!$A$2:$E$344,2,FALSE)</f>
        <v>0</v>
      </c>
      <c r="AE48" s="68">
        <f>S48*VLOOKUP($F48,'Emission Factors 2'!$A$2:$E$344,2,FALSE)</f>
        <v>0</v>
      </c>
      <c r="AF48" s="19">
        <f t="shared" si="4"/>
        <v>235872.54501720003</v>
      </c>
      <c r="AG48" s="31"/>
      <c r="AH48" s="31"/>
      <c r="AI48" s="31"/>
      <c r="AJ48" s="31"/>
    </row>
    <row r="49" spans="1:36" ht="15" customHeight="1" outlineLevel="1" x14ac:dyDescent="0.25">
      <c r="A49" s="102"/>
      <c r="B49" s="105"/>
      <c r="C49" s="107"/>
      <c r="D49" s="72" t="s">
        <v>925</v>
      </c>
      <c r="E49" s="83" t="str">
        <f t="shared" si="5"/>
        <v>O</v>
      </c>
      <c r="F49" s="7" t="s">
        <v>915</v>
      </c>
      <c r="G49" s="15" t="s">
        <v>219</v>
      </c>
      <c r="H49" s="67"/>
      <c r="I49" s="67"/>
      <c r="J49" s="67"/>
      <c r="K49" s="67"/>
      <c r="L49" s="67"/>
      <c r="M49" s="67"/>
      <c r="N49" s="67"/>
      <c r="O49" s="67"/>
      <c r="P49" s="67"/>
      <c r="Q49" s="67"/>
      <c r="R49" s="67"/>
      <c r="S49" s="67"/>
      <c r="T49" s="68">
        <f>H49*VLOOKUP($F49,'Emission Factors 2'!$A$2:$E$344,2,FALSE)</f>
        <v>0</v>
      </c>
      <c r="U49" s="68">
        <f>I49*VLOOKUP($F49,'Emission Factors 2'!$A$2:$E$344,2,FALSE)</f>
        <v>0</v>
      </c>
      <c r="V49" s="68">
        <f>J49*VLOOKUP($F49,'Emission Factors 2'!$A$2:$E$344,2,FALSE)</f>
        <v>0</v>
      </c>
      <c r="W49" s="68">
        <f>K49*VLOOKUP($F49,'Emission Factors 2'!$A$2:$E$344,2,FALSE)</f>
        <v>0</v>
      </c>
      <c r="X49" s="68">
        <f>L49*VLOOKUP($F49,'Emission Factors 2'!$A$2:$E$344,2,FALSE)</f>
        <v>0</v>
      </c>
      <c r="Y49" s="68">
        <f>M49*VLOOKUP($F49,'Emission Factors 2'!$A$2:$E$344,2,FALSE)</f>
        <v>0</v>
      </c>
      <c r="Z49" s="68">
        <f>N49*VLOOKUP($F49,'Emission Factors 2'!$A$2:$E$344,2,FALSE)</f>
        <v>0</v>
      </c>
      <c r="AA49" s="68">
        <f>O49*VLOOKUP($F49,'Emission Factors 2'!$A$2:$E$344,2,FALSE)</f>
        <v>0</v>
      </c>
      <c r="AB49" s="68">
        <f>P49*VLOOKUP($F49,'Emission Factors 2'!$A$2:$E$344,2,FALSE)</f>
        <v>0</v>
      </c>
      <c r="AC49" s="68">
        <f>Q49*VLOOKUP($F49,'Emission Factors 2'!$A$2:$E$344,2,FALSE)</f>
        <v>0</v>
      </c>
      <c r="AD49" s="68">
        <f>R49*VLOOKUP($F49,'Emission Factors 2'!$A$2:$E$344,2,FALSE)</f>
        <v>0</v>
      </c>
      <c r="AE49" s="68">
        <f>S49*VLOOKUP($F49,'Emission Factors 2'!$A$2:$E$344,2,FALSE)</f>
        <v>0</v>
      </c>
      <c r="AF49" s="19">
        <f t="shared" si="4"/>
        <v>0</v>
      </c>
      <c r="AG49" s="31"/>
      <c r="AH49" s="31"/>
      <c r="AI49" s="31"/>
      <c r="AJ49" s="31"/>
    </row>
    <row r="50" spans="1:36" ht="15" customHeight="1" outlineLevel="1" x14ac:dyDescent="0.25">
      <c r="A50" s="102"/>
      <c r="B50" s="105"/>
      <c r="C50" s="107"/>
      <c r="D50" s="72" t="s">
        <v>926</v>
      </c>
      <c r="E50" s="83" t="str">
        <f t="shared" si="5"/>
        <v>O</v>
      </c>
      <c r="F50" s="7" t="s">
        <v>915</v>
      </c>
      <c r="G50" s="15" t="s">
        <v>219</v>
      </c>
      <c r="H50" s="67"/>
      <c r="I50" s="67"/>
      <c r="J50" s="67"/>
      <c r="K50" s="67"/>
      <c r="L50" s="67"/>
      <c r="M50" s="67"/>
      <c r="N50" s="67"/>
      <c r="O50" s="67"/>
      <c r="P50" s="67"/>
      <c r="Q50" s="67"/>
      <c r="R50" s="67"/>
      <c r="S50" s="67"/>
      <c r="T50" s="68">
        <f>H50*VLOOKUP($F50,'Emission Factors 2'!$A$2:$E$344,2,FALSE)</f>
        <v>0</v>
      </c>
      <c r="U50" s="68">
        <f>I50*VLOOKUP($F50,'Emission Factors 2'!$A$2:$E$344,2,FALSE)</f>
        <v>0</v>
      </c>
      <c r="V50" s="68">
        <f>J50*VLOOKUP($F50,'Emission Factors 2'!$A$2:$E$344,2,FALSE)</f>
        <v>0</v>
      </c>
      <c r="W50" s="68">
        <f>K50*VLOOKUP($F50,'Emission Factors 2'!$A$2:$E$344,2,FALSE)</f>
        <v>0</v>
      </c>
      <c r="X50" s="68">
        <f>L50*VLOOKUP($F50,'Emission Factors 2'!$A$2:$E$344,2,FALSE)</f>
        <v>0</v>
      </c>
      <c r="Y50" s="68">
        <f>M50*VLOOKUP($F50,'Emission Factors 2'!$A$2:$E$344,2,FALSE)</f>
        <v>0</v>
      </c>
      <c r="Z50" s="68">
        <f>N50*VLOOKUP($F50,'Emission Factors 2'!$A$2:$E$344,2,FALSE)</f>
        <v>0</v>
      </c>
      <c r="AA50" s="68">
        <f>O50*VLOOKUP($F50,'Emission Factors 2'!$A$2:$E$344,2,FALSE)</f>
        <v>0</v>
      </c>
      <c r="AB50" s="68">
        <f>P50*VLOOKUP($F50,'Emission Factors 2'!$A$2:$E$344,2,FALSE)</f>
        <v>0</v>
      </c>
      <c r="AC50" s="68">
        <f>Q50*VLOOKUP($F50,'Emission Factors 2'!$A$2:$E$344,2,FALSE)</f>
        <v>0</v>
      </c>
      <c r="AD50" s="68">
        <f>R50*VLOOKUP($F50,'Emission Factors 2'!$A$2:$E$344,2,FALSE)</f>
        <v>0</v>
      </c>
      <c r="AE50" s="68">
        <f>S50*VLOOKUP($F50,'Emission Factors 2'!$A$2:$E$344,2,FALSE)</f>
        <v>0</v>
      </c>
      <c r="AF50" s="19">
        <f t="shared" si="4"/>
        <v>0</v>
      </c>
      <c r="AG50" s="31"/>
      <c r="AH50" s="31"/>
      <c r="AI50" s="31"/>
      <c r="AJ50" s="31"/>
    </row>
    <row r="51" spans="1:36" ht="30" customHeight="1" outlineLevel="1" x14ac:dyDescent="0.25">
      <c r="A51" s="102"/>
      <c r="B51" s="105"/>
      <c r="C51" s="29"/>
      <c r="D51" s="27" t="s">
        <v>244</v>
      </c>
      <c r="E51" s="83" t="str">
        <f>E53</f>
        <v>O</v>
      </c>
      <c r="F51" s="7" t="s">
        <v>245</v>
      </c>
      <c r="G51" s="15" t="s">
        <v>219</v>
      </c>
      <c r="H51" s="67">
        <v>874</v>
      </c>
      <c r="I51" s="67">
        <v>860</v>
      </c>
      <c r="J51" s="67">
        <v>1115</v>
      </c>
      <c r="K51" s="67">
        <v>2352</v>
      </c>
      <c r="L51" s="67">
        <v>5124</v>
      </c>
      <c r="M51" s="67">
        <v>7166</v>
      </c>
      <c r="N51" s="67">
        <v>3864</v>
      </c>
      <c r="O51" s="67">
        <v>11068</v>
      </c>
      <c r="P51" s="67">
        <v>8486</v>
      </c>
      <c r="Q51" s="67">
        <v>6134</v>
      </c>
      <c r="R51" s="67">
        <v>2352.15</v>
      </c>
      <c r="S51" s="67">
        <v>1176.075</v>
      </c>
      <c r="T51" s="68">
        <f>H51*VLOOKUP($F51,'Emission Factors'!$A$3:$E$44,5,FALSE)*'Emission Factors'!$K$7</f>
        <v>109447.69740160002</v>
      </c>
      <c r="U51" s="68">
        <f>I51*VLOOKUP($F51,'Emission Factors'!$A$3:$E$44,5,FALSE)*'Emission Factors'!$K$7</f>
        <v>107694.53062400001</v>
      </c>
      <c r="V51" s="68">
        <f>J51*VLOOKUP($F51,'Emission Factors'!$A$3:$E$44,5,FALSE)*'Emission Factors'!$K$7</f>
        <v>139627.21121600003</v>
      </c>
      <c r="W51" s="68">
        <f>K51*VLOOKUP($F51,'Emission Factors'!$A$3:$E$44,5,FALSE)*'Emission Factors'!$K$7</f>
        <v>294532.01863680006</v>
      </c>
      <c r="X51" s="68">
        <f>L51*VLOOKUP($F51,'Emission Factors'!$A$3:$E$44,5,FALSE)*'Emission Factors'!$K$7</f>
        <v>641659.04060159996</v>
      </c>
      <c r="Y51" s="68">
        <f>M51*VLOOKUP($F51,'Emission Factors'!$A$3:$E$44,5,FALSE)*'Emission Factors'!$K$7</f>
        <v>897370.93773440016</v>
      </c>
      <c r="Z51" s="68">
        <f>N51*VLOOKUP($F51,'Emission Factors'!$A$3:$E$44,5,FALSE)*'Emission Factors'!$K$7</f>
        <v>483874.03061760007</v>
      </c>
      <c r="AA51" s="68">
        <f>O51*VLOOKUP($F51,'Emission Factors'!$A$3:$E$44,5,FALSE)*'Emission Factors'!$K$7</f>
        <v>1386003.5638912003</v>
      </c>
      <c r="AB51" s="68">
        <f>P51*VLOOKUP($F51,'Emission Factors'!$A$3:$E$44,5,FALSE)*'Emission Factors'!$K$7</f>
        <v>1062669.5196224002</v>
      </c>
      <c r="AC51" s="68">
        <f>Q51*VLOOKUP($F51,'Emission Factors'!$A$3:$E$44,5,FALSE)*'Emission Factors'!$K$7</f>
        <v>768137.50098560005</v>
      </c>
      <c r="AD51" s="68">
        <f>R51*VLOOKUP($F51,'Emission Factors'!$A$3:$E$44,5,FALSE)*'Emission Factors'!$K$7</f>
        <v>294550.80256656004</v>
      </c>
      <c r="AE51" s="68">
        <f>S51*VLOOKUP($F51,'Emission Factors'!$A$3:$E$44,5,FALSE)*'Emission Factors'!$K$7</f>
        <v>147275.40128328002</v>
      </c>
      <c r="AF51" s="19">
        <f t="shared" si="4"/>
        <v>6332842.2551810415</v>
      </c>
      <c r="AG51" s="31"/>
      <c r="AH51" s="31"/>
      <c r="AI51" s="31"/>
      <c r="AJ51" s="31"/>
    </row>
    <row r="52" spans="1:36" ht="30" customHeight="1" outlineLevel="1" x14ac:dyDescent="0.25">
      <c r="A52" s="102"/>
      <c r="B52" s="105"/>
      <c r="C52" s="29"/>
      <c r="D52" s="27" t="s">
        <v>260</v>
      </c>
      <c r="E52" s="83" t="str">
        <f>E53</f>
        <v>O</v>
      </c>
      <c r="F52" s="7" t="s">
        <v>261</v>
      </c>
      <c r="G52" s="15" t="s">
        <v>219</v>
      </c>
      <c r="H52" s="67">
        <v>324</v>
      </c>
      <c r="I52" s="67">
        <v>593</v>
      </c>
      <c r="J52" s="67">
        <v>68</v>
      </c>
      <c r="K52" s="67">
        <v>16</v>
      </c>
      <c r="L52" s="67">
        <v>749</v>
      </c>
      <c r="M52" s="67">
        <v>739</v>
      </c>
      <c r="N52" s="67">
        <v>224</v>
      </c>
      <c r="O52" s="67"/>
      <c r="P52" s="67"/>
      <c r="Q52" s="67"/>
      <c r="R52" s="67"/>
      <c r="S52" s="67"/>
      <c r="T52" s="68">
        <f>H52*VLOOKUP($F52,EmissionTable[],5,FALSE)*VLOOKUP($F52,EmissionTable[], 11, FALSE)</f>
        <v>1408.4280000000001</v>
      </c>
      <c r="U52" s="68">
        <f>I52*VLOOKUP($F52,EmissionTable[],5,FALSE)*VLOOKUP($F52,EmissionTable[], 11, FALSE)</f>
        <v>2577.7710000000002</v>
      </c>
      <c r="V52" s="68">
        <f>J52*VLOOKUP($F52,EmissionTable[],5,FALSE)*VLOOKUP($F52,EmissionTable[], 11, FALSE)</f>
        <v>295.596</v>
      </c>
      <c r="W52" s="68">
        <f>K52*VLOOKUP($F52,EmissionTable[],5,FALSE)*VLOOKUP($F52,EmissionTable[], 11, FALSE)</f>
        <v>69.552000000000007</v>
      </c>
      <c r="X52" s="68">
        <f>L52*VLOOKUP($F52,EmissionTable[],5,FALSE)*VLOOKUP($F52,EmissionTable[], 11, FALSE)</f>
        <v>3255.9030000000007</v>
      </c>
      <c r="Y52" s="68">
        <f>M52*VLOOKUP($F52,EmissionTable[],5,FALSE)*VLOOKUP($F52,EmissionTable[], 11, FALSE)</f>
        <v>3212.433</v>
      </c>
      <c r="Z52" s="68">
        <f>N52*VLOOKUP($F52,EmissionTable[],5,FALSE)*VLOOKUP($F52,EmissionTable[], 11, FALSE)</f>
        <v>973.72800000000018</v>
      </c>
      <c r="AA52" s="68">
        <f>O52*VLOOKUP($F52,EmissionTable[],5,FALSE)*VLOOKUP($F52,EmissionTable[], 11, FALSE)</f>
        <v>0</v>
      </c>
      <c r="AB52" s="68">
        <f>P52*VLOOKUP($F52,EmissionTable[],5,FALSE)*VLOOKUP($F52,EmissionTable[], 11, FALSE)</f>
        <v>0</v>
      </c>
      <c r="AC52" s="68">
        <f>Q52*VLOOKUP($F52,EmissionTable[],5,FALSE)*VLOOKUP($F52,EmissionTable[], 11, FALSE)</f>
        <v>0</v>
      </c>
      <c r="AD52" s="68">
        <f>R52*VLOOKUP($F52,EmissionTable[],5,FALSE)*VLOOKUP($F52,EmissionTable[], 11, FALSE)</f>
        <v>0</v>
      </c>
      <c r="AE52" s="68">
        <f>S52*VLOOKUP($F52,EmissionTable[],5,FALSE)*VLOOKUP($F52,EmissionTable[], 11, FALSE)</f>
        <v>0</v>
      </c>
      <c r="AF52" s="19">
        <f t="shared" si="4"/>
        <v>11793.411000000002</v>
      </c>
      <c r="AG52" s="31"/>
      <c r="AH52" s="31"/>
      <c r="AI52" s="31"/>
      <c r="AJ52" s="31"/>
    </row>
    <row r="53" spans="1:36" ht="15.75" customHeight="1" outlineLevel="1" x14ac:dyDescent="0.25">
      <c r="A53" s="102"/>
      <c r="B53" s="105"/>
      <c r="C53" s="29"/>
      <c r="D53" s="27" t="s">
        <v>246</v>
      </c>
      <c r="E53" s="82" t="str">
        <f>'Index Formatting'!I15</f>
        <v>O</v>
      </c>
      <c r="F53" s="7" t="s">
        <v>278</v>
      </c>
      <c r="G53" s="15" t="s">
        <v>219</v>
      </c>
      <c r="H53" s="67"/>
      <c r="I53" s="67"/>
      <c r="J53" s="67"/>
      <c r="K53" s="67"/>
      <c r="L53" s="67"/>
      <c r="M53" s="67"/>
      <c r="N53" s="67"/>
      <c r="O53" s="67"/>
      <c r="P53" s="67"/>
      <c r="Q53" s="67"/>
      <c r="R53" s="67"/>
      <c r="S53" s="67"/>
      <c r="T53" s="68">
        <f>H53*VLOOKUP($F53,'Emission Factors'!$A$3:$E$44,5,FALSE)</f>
        <v>0</v>
      </c>
      <c r="U53" s="68">
        <f>I53*VLOOKUP($F53,'Emission Factors'!$A$3:$E$44,5,FALSE)</f>
        <v>0</v>
      </c>
      <c r="V53" s="68">
        <f>J53*VLOOKUP($F53,'Emission Factors'!$A$3:$E$44,5,FALSE)</f>
        <v>0</v>
      </c>
      <c r="W53" s="68">
        <f>K53*VLOOKUP($F53,'Emission Factors'!$A$3:$E$44,5,FALSE)</f>
        <v>0</v>
      </c>
      <c r="X53" s="68">
        <f>L53*VLOOKUP($F53,'Emission Factors'!$A$3:$E$44,5,FALSE)</f>
        <v>0</v>
      </c>
      <c r="Y53" s="68">
        <f>M53*VLOOKUP($F53,'Emission Factors'!$A$3:$E$44,5,FALSE)</f>
        <v>0</v>
      </c>
      <c r="Z53" s="68">
        <f>N53*VLOOKUP($F53,'Emission Factors'!$A$3:$E$44,5,FALSE)</f>
        <v>0</v>
      </c>
      <c r="AA53" s="68">
        <f>O53*VLOOKUP($F53,'Emission Factors'!$A$3:$E$44,5,FALSE)</f>
        <v>0</v>
      </c>
      <c r="AB53" s="68">
        <f>P53*VLOOKUP($F53,'Emission Factors'!$A$3:$E$44,5,FALSE)</f>
        <v>0</v>
      </c>
      <c r="AC53" s="68">
        <f>Q53*VLOOKUP($F53,'Emission Factors'!$A$3:$E$44,5,FALSE)</f>
        <v>0</v>
      </c>
      <c r="AD53" s="68">
        <f>R53*VLOOKUP($F53,'Emission Factors'!$A$3:$E$44,5,FALSE)</f>
        <v>0</v>
      </c>
      <c r="AE53" s="68">
        <f>S53*VLOOKUP($F53,'Emission Factors'!$A$3:$E$44,5,FALSE)</f>
        <v>0</v>
      </c>
      <c r="AF53" s="19">
        <f t="shared" si="4"/>
        <v>0</v>
      </c>
      <c r="AG53" s="31"/>
      <c r="AH53" s="31"/>
      <c r="AI53" s="31"/>
      <c r="AJ53" s="31"/>
    </row>
    <row r="54" spans="1:36" ht="15.75" customHeight="1" outlineLevel="1" x14ac:dyDescent="0.25">
      <c r="A54" s="102"/>
      <c r="B54" s="105"/>
      <c r="C54" s="29"/>
      <c r="D54" s="27" t="s">
        <v>262</v>
      </c>
      <c r="E54" s="82" t="str">
        <f>'Index Formatting'!I16</f>
        <v>M</v>
      </c>
      <c r="F54" s="7" t="s">
        <v>249</v>
      </c>
      <c r="G54" s="15" t="s">
        <v>82</v>
      </c>
      <c r="H54" s="67">
        <v>6.8</v>
      </c>
      <c r="I54" s="67">
        <v>27</v>
      </c>
      <c r="J54" s="67">
        <v>21</v>
      </c>
      <c r="K54" s="67">
        <v>1136</v>
      </c>
      <c r="L54" s="67">
        <v>1060</v>
      </c>
      <c r="M54" s="67">
        <v>768</v>
      </c>
      <c r="N54" s="67">
        <v>846</v>
      </c>
      <c r="O54" s="67">
        <v>1090</v>
      </c>
      <c r="P54" s="67">
        <v>1057</v>
      </c>
      <c r="Q54" s="67">
        <v>301</v>
      </c>
      <c r="R54" s="67">
        <v>315.64</v>
      </c>
      <c r="S54" s="67">
        <v>157.82</v>
      </c>
      <c r="T54" s="68">
        <v>2610.4484640000001</v>
      </c>
      <c r="U54" s="68">
        <v>10365.015960000001</v>
      </c>
      <c r="V54" s="68">
        <v>8061.679079999999</v>
      </c>
      <c r="W54" s="68">
        <v>436098.44928</v>
      </c>
      <c r="X54" s="68">
        <v>406922.84879999998</v>
      </c>
      <c r="Y54" s="68">
        <v>294827.12063999998</v>
      </c>
      <c r="Z54" s="68">
        <v>324770.50007999997</v>
      </c>
      <c r="AA54" s="68">
        <v>418439.53320000001</v>
      </c>
      <c r="AB54" s="68">
        <v>405771.18036</v>
      </c>
      <c r="AC54" s="68">
        <v>115550.73348000001</v>
      </c>
      <c r="AD54" s="68">
        <v>121170.87546719999</v>
      </c>
      <c r="AE54" s="68">
        <v>60585.437733599996</v>
      </c>
      <c r="AF54" s="19">
        <f t="shared" si="4"/>
        <v>2605173.8225447992</v>
      </c>
      <c r="AG54" s="31"/>
      <c r="AH54" s="31"/>
      <c r="AI54" s="31"/>
      <c r="AJ54" s="31"/>
    </row>
    <row r="55" spans="1:36" ht="15.75" customHeight="1" outlineLevel="1" x14ac:dyDescent="0.25">
      <c r="A55" s="102"/>
      <c r="B55" s="105"/>
      <c r="C55" s="29"/>
      <c r="D55" s="27" t="s">
        <v>56</v>
      </c>
      <c r="E55" s="83" t="str">
        <f>E35</f>
        <v>M</v>
      </c>
      <c r="F55" s="7" t="s">
        <v>56</v>
      </c>
      <c r="G55" s="15" t="s">
        <v>15</v>
      </c>
      <c r="H55" s="67"/>
      <c r="I55" s="67"/>
      <c r="J55" s="67"/>
      <c r="K55" s="67"/>
      <c r="L55" s="67"/>
      <c r="M55" s="67"/>
      <c r="N55" s="67"/>
      <c r="O55" s="67"/>
      <c r="P55" s="67"/>
      <c r="Q55" s="67"/>
      <c r="R55" s="67"/>
      <c r="S55" s="67"/>
      <c r="T55" s="68">
        <v>0</v>
      </c>
      <c r="U55" s="68">
        <v>0</v>
      </c>
      <c r="V55" s="68">
        <v>0</v>
      </c>
      <c r="W55" s="68">
        <v>0</v>
      </c>
      <c r="X55" s="68">
        <v>0</v>
      </c>
      <c r="Y55" s="68">
        <v>0</v>
      </c>
      <c r="Z55" s="68">
        <v>0</v>
      </c>
      <c r="AA55" s="68">
        <v>0</v>
      </c>
      <c r="AB55" s="68">
        <v>0</v>
      </c>
      <c r="AC55" s="68">
        <v>0</v>
      </c>
      <c r="AD55" s="68">
        <v>0</v>
      </c>
      <c r="AE55" s="68">
        <v>0</v>
      </c>
      <c r="AF55" s="19">
        <f t="shared" si="4"/>
        <v>0</v>
      </c>
      <c r="AG55" s="31"/>
      <c r="AH55" s="31"/>
      <c r="AI55" s="31"/>
      <c r="AJ55" s="31"/>
    </row>
    <row r="56" spans="1:36" ht="21.95" customHeight="1" x14ac:dyDescent="0.25">
      <c r="A56" s="130" t="str">
        <f>IF(A57 = "", "Drainage (Optional)", "Drainage")</f>
        <v>Drainage</v>
      </c>
      <c r="B56" s="131"/>
      <c r="C56" s="131"/>
      <c r="D56" s="131"/>
      <c r="E56" s="131"/>
      <c r="F56" s="131"/>
      <c r="G56" s="132"/>
      <c r="H56" s="137"/>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9">
        <f>SUM(AF5,AF89)</f>
        <v>0</v>
      </c>
      <c r="AG56" s="31"/>
      <c r="AH56" s="31"/>
      <c r="AI56" s="31"/>
      <c r="AJ56" s="31"/>
    </row>
    <row r="57" spans="1:36" ht="21.95" customHeight="1" x14ac:dyDescent="0.25">
      <c r="A57" s="130" t="str">
        <f>IF(COUNTIF(E58:E88,"M"),"Drainage- Second Order", "Drainage- Second Order (Optional)")</f>
        <v>Drainage- Second Order</v>
      </c>
      <c r="B57" s="131"/>
      <c r="C57" s="131"/>
      <c r="D57" s="131"/>
      <c r="E57" s="131"/>
      <c r="F57" s="131"/>
      <c r="G57" s="132"/>
      <c r="H57" s="137"/>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9">
        <f>SUM(AF58:AF88)</f>
        <v>0</v>
      </c>
      <c r="AG57" s="31"/>
      <c r="AH57" s="31"/>
      <c r="AI57" s="31"/>
      <c r="AJ57" s="31"/>
    </row>
    <row r="58" spans="1:36" ht="21.95" customHeight="1" outlineLevel="1" x14ac:dyDescent="0.25">
      <c r="A58" s="134">
        <v>6</v>
      </c>
      <c r="B58" s="104" t="s">
        <v>279</v>
      </c>
      <c r="C58" s="29"/>
      <c r="D58" s="27" t="s">
        <v>281</v>
      </c>
      <c r="E58" s="82" t="str">
        <f>'Index Formatting'!$I$17</f>
        <v>M</v>
      </c>
      <c r="F58" s="7" t="s">
        <v>282</v>
      </c>
      <c r="G58" s="15" t="s">
        <v>109</v>
      </c>
      <c r="H58" s="67"/>
      <c r="I58" s="67"/>
      <c r="J58" s="67"/>
      <c r="K58" s="67"/>
      <c r="L58" s="67"/>
      <c r="M58" s="67"/>
      <c r="N58" s="67"/>
      <c r="O58" s="67"/>
      <c r="P58" s="67"/>
      <c r="Q58" s="67"/>
      <c r="R58" s="67"/>
      <c r="S58" s="67"/>
      <c r="T58" s="68">
        <f>H58*VLOOKUP($F58,'Emission Factors 2'!$A$2:$E$302,2,FALSE)</f>
        <v>0</v>
      </c>
      <c r="U58" s="68">
        <f>I58*VLOOKUP($F58,'Emission Factors 2'!$A$2:$E$302,2,FALSE)</f>
        <v>0</v>
      </c>
      <c r="V58" s="68">
        <f>J58*VLOOKUP($F58,'Emission Factors 2'!$A$2:$E$302,2,FALSE)</f>
        <v>0</v>
      </c>
      <c r="W58" s="68">
        <f>K58*VLOOKUP($F58,'Emission Factors 2'!$A$2:$E$302,2,FALSE)</f>
        <v>0</v>
      </c>
      <c r="X58" s="68">
        <f>L58*VLOOKUP($F58,'Emission Factors 2'!$A$2:$E$302,2,FALSE)</f>
        <v>0</v>
      </c>
      <c r="Y58" s="68">
        <f>M58*VLOOKUP($F58,'Emission Factors 2'!$A$2:$E$302,2,FALSE)</f>
        <v>0</v>
      </c>
      <c r="Z58" s="68">
        <f>N58*VLOOKUP($F58,'Emission Factors 2'!$A$2:$E$302,2,FALSE)</f>
        <v>0</v>
      </c>
      <c r="AA58" s="68">
        <f>O58*VLOOKUP($F58,'Emission Factors 2'!$A$2:$E$302,2,FALSE)</f>
        <v>0</v>
      </c>
      <c r="AB58" s="68">
        <f>P58*VLOOKUP($F58,'Emission Factors 2'!$A$2:$E$302,2,FALSE)</f>
        <v>0</v>
      </c>
      <c r="AC58" s="68">
        <f>Q58*VLOOKUP($F58,'Emission Factors 2'!$A$2:$E$302,2,FALSE)</f>
        <v>0</v>
      </c>
      <c r="AD58" s="68">
        <f>R58*VLOOKUP($F58,'Emission Factors 2'!$A$2:$E$302,2,FALSE)</f>
        <v>0</v>
      </c>
      <c r="AE58" s="68">
        <f>S58*VLOOKUP($F58,'Emission Factors 2'!$A$2:$E$302,2,FALSE)</f>
        <v>0</v>
      </c>
      <c r="AF58" s="19">
        <f t="shared" ref="AF58:AF102" si="6">IF($H$2="Total", T58, SUM(T58:AE58))</f>
        <v>0</v>
      </c>
      <c r="AG58" s="31"/>
      <c r="AH58" s="31"/>
      <c r="AI58" s="31"/>
      <c r="AJ58" s="31"/>
    </row>
    <row r="59" spans="1:36" ht="21.95" customHeight="1" outlineLevel="1" x14ac:dyDescent="0.25">
      <c r="A59" s="135"/>
      <c r="B59" s="105"/>
      <c r="C59" s="29"/>
      <c r="D59" s="27" t="s">
        <v>281</v>
      </c>
      <c r="E59" s="82" t="str">
        <f>'Index Formatting'!$I$17</f>
        <v>M</v>
      </c>
      <c r="F59" s="7" t="s">
        <v>283</v>
      </c>
      <c r="G59" s="15" t="s">
        <v>109</v>
      </c>
      <c r="H59" s="67"/>
      <c r="I59" s="67"/>
      <c r="J59" s="67"/>
      <c r="K59" s="67"/>
      <c r="L59" s="67"/>
      <c r="M59" s="67"/>
      <c r="N59" s="67"/>
      <c r="O59" s="67"/>
      <c r="P59" s="67"/>
      <c r="Q59" s="67"/>
      <c r="R59" s="67"/>
      <c r="S59" s="67"/>
      <c r="T59" s="68">
        <f>H59*VLOOKUP($F59,'Emission Factors 2'!$A$2:$E$302,2,FALSE)</f>
        <v>0</v>
      </c>
      <c r="U59" s="68">
        <f>I59*VLOOKUP($F59,'Emission Factors 2'!$A$2:$E$302,2,FALSE)</f>
        <v>0</v>
      </c>
      <c r="V59" s="68">
        <f>J59*VLOOKUP($F59,'Emission Factors 2'!$A$2:$E$302,2,FALSE)</f>
        <v>0</v>
      </c>
      <c r="W59" s="68">
        <f>K59*VLOOKUP($F59,'Emission Factors 2'!$A$2:$E$302,2,FALSE)</f>
        <v>0</v>
      </c>
      <c r="X59" s="68">
        <f>L59*VLOOKUP($F59,'Emission Factors 2'!$A$2:$E$302,2,FALSE)</f>
        <v>0</v>
      </c>
      <c r="Y59" s="68">
        <f>M59*VLOOKUP($F59,'Emission Factors 2'!$A$2:$E$302,2,FALSE)</f>
        <v>0</v>
      </c>
      <c r="Z59" s="68">
        <f>N59*VLOOKUP($F59,'Emission Factors 2'!$A$2:$E$302,2,FALSE)</f>
        <v>0</v>
      </c>
      <c r="AA59" s="68">
        <f>O59*VLOOKUP($F59,'Emission Factors 2'!$A$2:$E$302,2,FALSE)</f>
        <v>0</v>
      </c>
      <c r="AB59" s="68">
        <f>P59*VLOOKUP($F59,'Emission Factors 2'!$A$2:$E$302,2,FALSE)</f>
        <v>0</v>
      </c>
      <c r="AC59" s="68">
        <f>Q59*VLOOKUP($F59,'Emission Factors 2'!$A$2:$E$302,2,FALSE)</f>
        <v>0</v>
      </c>
      <c r="AD59" s="68">
        <f>R59*VLOOKUP($F59,'Emission Factors 2'!$A$2:$E$302,2,FALSE)</f>
        <v>0</v>
      </c>
      <c r="AE59" s="68">
        <f>S59*VLOOKUP($F59,'Emission Factors 2'!$A$2:$E$302,2,FALSE)</f>
        <v>0</v>
      </c>
      <c r="AF59" s="19">
        <f t="shared" si="6"/>
        <v>0</v>
      </c>
      <c r="AG59" s="31"/>
      <c r="AH59" s="31"/>
      <c r="AI59" s="31"/>
      <c r="AJ59" s="31"/>
    </row>
    <row r="60" spans="1:36" ht="21.95" customHeight="1" outlineLevel="1" x14ac:dyDescent="0.25">
      <c r="A60" s="135"/>
      <c r="B60" s="105"/>
      <c r="C60" s="29"/>
      <c r="D60" s="27" t="s">
        <v>281</v>
      </c>
      <c r="E60" s="82" t="str">
        <f>'Index Formatting'!$I$17</f>
        <v>M</v>
      </c>
      <c r="F60" s="7" t="s">
        <v>284</v>
      </c>
      <c r="G60" s="15" t="s">
        <v>109</v>
      </c>
      <c r="H60" s="67"/>
      <c r="I60" s="67"/>
      <c r="J60" s="67"/>
      <c r="K60" s="67"/>
      <c r="L60" s="67"/>
      <c r="M60" s="67"/>
      <c r="N60" s="67"/>
      <c r="O60" s="67"/>
      <c r="P60" s="67"/>
      <c r="Q60" s="67"/>
      <c r="R60" s="67"/>
      <c r="S60" s="67"/>
      <c r="T60" s="68">
        <f>H60*VLOOKUP($F60,'Emission Factors 2'!$A$2:$E$302,2,FALSE)</f>
        <v>0</v>
      </c>
      <c r="U60" s="68">
        <f>I60*VLOOKUP($F60,'Emission Factors 2'!$A$2:$E$302,2,FALSE)</f>
        <v>0</v>
      </c>
      <c r="V60" s="68">
        <f>J60*VLOOKUP($F60,'Emission Factors 2'!$A$2:$E$302,2,FALSE)</f>
        <v>0</v>
      </c>
      <c r="W60" s="68">
        <f>K60*VLOOKUP($F60,'Emission Factors 2'!$A$2:$E$302,2,FALSE)</f>
        <v>0</v>
      </c>
      <c r="X60" s="68">
        <f>L60*VLOOKUP($F60,'Emission Factors 2'!$A$2:$E$302,2,FALSE)</f>
        <v>0</v>
      </c>
      <c r="Y60" s="68">
        <f>M60*VLOOKUP($F60,'Emission Factors 2'!$A$2:$E$302,2,FALSE)</f>
        <v>0</v>
      </c>
      <c r="Z60" s="68">
        <f>N60*VLOOKUP($F60,'Emission Factors 2'!$A$2:$E$302,2,FALSE)</f>
        <v>0</v>
      </c>
      <c r="AA60" s="68">
        <f>O60*VLOOKUP($F60,'Emission Factors 2'!$A$2:$E$302,2,FALSE)</f>
        <v>0</v>
      </c>
      <c r="AB60" s="68">
        <f>P60*VLOOKUP($F60,'Emission Factors 2'!$A$2:$E$302,2,FALSE)</f>
        <v>0</v>
      </c>
      <c r="AC60" s="68">
        <f>Q60*VLOOKUP($F60,'Emission Factors 2'!$A$2:$E$302,2,FALSE)</f>
        <v>0</v>
      </c>
      <c r="AD60" s="68">
        <f>R60*VLOOKUP($F60,'Emission Factors 2'!$A$2:$E$302,2,FALSE)</f>
        <v>0</v>
      </c>
      <c r="AE60" s="68">
        <f>S60*VLOOKUP($F60,'Emission Factors 2'!$A$2:$E$302,2,FALSE)</f>
        <v>0</v>
      </c>
      <c r="AF60" s="19">
        <f t="shared" si="6"/>
        <v>0</v>
      </c>
      <c r="AG60" s="31"/>
      <c r="AH60" s="31"/>
      <c r="AI60" s="31"/>
      <c r="AJ60" s="31"/>
    </row>
    <row r="61" spans="1:36" ht="21.95" customHeight="1" outlineLevel="1" x14ac:dyDescent="0.25">
      <c r="A61" s="135"/>
      <c r="B61" s="105"/>
      <c r="C61" s="29"/>
      <c r="D61" s="27" t="s">
        <v>281</v>
      </c>
      <c r="E61" s="82" t="str">
        <f>'Index Formatting'!$I$17</f>
        <v>M</v>
      </c>
      <c r="F61" s="7" t="s">
        <v>285</v>
      </c>
      <c r="G61" s="15" t="s">
        <v>109</v>
      </c>
      <c r="H61" s="67"/>
      <c r="I61" s="67"/>
      <c r="J61" s="67"/>
      <c r="K61" s="67"/>
      <c r="L61" s="67"/>
      <c r="M61" s="67"/>
      <c r="N61" s="67"/>
      <c r="O61" s="67"/>
      <c r="P61" s="67"/>
      <c r="Q61" s="67"/>
      <c r="R61" s="67"/>
      <c r="S61" s="67"/>
      <c r="T61" s="68">
        <f>H61*VLOOKUP($F61,'Emission Factors 2'!$A$2:$E$302,2,FALSE)</f>
        <v>0</v>
      </c>
      <c r="U61" s="68">
        <f>I61*VLOOKUP($F61,'Emission Factors 2'!$A$2:$E$302,2,FALSE)</f>
        <v>0</v>
      </c>
      <c r="V61" s="68">
        <f>J61*VLOOKUP($F61,'Emission Factors 2'!$A$2:$E$302,2,FALSE)</f>
        <v>0</v>
      </c>
      <c r="W61" s="68">
        <f>K61*VLOOKUP($F61,'Emission Factors 2'!$A$2:$E$302,2,FALSE)</f>
        <v>0</v>
      </c>
      <c r="X61" s="68">
        <f>L61*VLOOKUP($F61,'Emission Factors 2'!$A$2:$E$302,2,FALSE)</f>
        <v>0</v>
      </c>
      <c r="Y61" s="68">
        <f>M61*VLOOKUP($F61,'Emission Factors 2'!$A$2:$E$302,2,FALSE)</f>
        <v>0</v>
      </c>
      <c r="Z61" s="68">
        <f>N61*VLOOKUP($F61,'Emission Factors 2'!$A$2:$E$302,2,FALSE)</f>
        <v>0</v>
      </c>
      <c r="AA61" s="68">
        <f>O61*VLOOKUP($F61,'Emission Factors 2'!$A$2:$E$302,2,FALSE)</f>
        <v>0</v>
      </c>
      <c r="AB61" s="68">
        <f>P61*VLOOKUP($F61,'Emission Factors 2'!$A$2:$E$302,2,FALSE)</f>
        <v>0</v>
      </c>
      <c r="AC61" s="68">
        <f>Q61*VLOOKUP($F61,'Emission Factors 2'!$A$2:$E$302,2,FALSE)</f>
        <v>0</v>
      </c>
      <c r="AD61" s="68">
        <f>R61*VLOOKUP($F61,'Emission Factors 2'!$A$2:$E$302,2,FALSE)</f>
        <v>0</v>
      </c>
      <c r="AE61" s="68">
        <f>S61*VLOOKUP($F61,'Emission Factors 2'!$A$2:$E$302,2,FALSE)</f>
        <v>0</v>
      </c>
      <c r="AF61" s="19">
        <f t="shared" si="6"/>
        <v>0</v>
      </c>
      <c r="AG61" s="31"/>
      <c r="AH61" s="31"/>
      <c r="AI61" s="31"/>
      <c r="AJ61" s="31"/>
    </row>
    <row r="62" spans="1:36" ht="21.95" customHeight="1" outlineLevel="1" x14ac:dyDescent="0.25">
      <c r="A62" s="135"/>
      <c r="B62" s="105"/>
      <c r="C62" s="29"/>
      <c r="D62" s="27" t="s">
        <v>281</v>
      </c>
      <c r="E62" s="82" t="str">
        <f>'Index Formatting'!$I$17</f>
        <v>M</v>
      </c>
      <c r="F62" s="7" t="s">
        <v>286</v>
      </c>
      <c r="G62" s="15" t="s">
        <v>109</v>
      </c>
      <c r="H62" s="67"/>
      <c r="I62" s="67"/>
      <c r="J62" s="67"/>
      <c r="K62" s="67"/>
      <c r="L62" s="67"/>
      <c r="M62" s="67"/>
      <c r="N62" s="67"/>
      <c r="O62" s="67"/>
      <c r="P62" s="67"/>
      <c r="Q62" s="67"/>
      <c r="R62" s="67"/>
      <c r="S62" s="67"/>
      <c r="T62" s="68">
        <f>H62*VLOOKUP($F62,'Emission Factors 2'!$A$2:$E$302,2,FALSE)</f>
        <v>0</v>
      </c>
      <c r="U62" s="68">
        <f>I62*VLOOKUP($F62,'Emission Factors 2'!$A$2:$E$302,2,FALSE)</f>
        <v>0</v>
      </c>
      <c r="V62" s="68">
        <f>J62*VLOOKUP($F62,'Emission Factors 2'!$A$2:$E$302,2,FALSE)</f>
        <v>0</v>
      </c>
      <c r="W62" s="68">
        <f>K62*VLOOKUP($F62,'Emission Factors 2'!$A$2:$E$302,2,FALSE)</f>
        <v>0</v>
      </c>
      <c r="X62" s="68">
        <f>L62*VLOOKUP($F62,'Emission Factors 2'!$A$2:$E$302,2,FALSE)</f>
        <v>0</v>
      </c>
      <c r="Y62" s="68">
        <f>M62*VLOOKUP($F62,'Emission Factors 2'!$A$2:$E$302,2,FALSE)</f>
        <v>0</v>
      </c>
      <c r="Z62" s="68">
        <f>N62*VLOOKUP($F62,'Emission Factors 2'!$A$2:$E$302,2,FALSE)</f>
        <v>0</v>
      </c>
      <c r="AA62" s="68">
        <f>O62*VLOOKUP($F62,'Emission Factors 2'!$A$2:$E$302,2,FALSE)</f>
        <v>0</v>
      </c>
      <c r="AB62" s="68">
        <f>P62*VLOOKUP($F62,'Emission Factors 2'!$A$2:$E$302,2,FALSE)</f>
        <v>0</v>
      </c>
      <c r="AC62" s="68">
        <f>Q62*VLOOKUP($F62,'Emission Factors 2'!$A$2:$E$302,2,FALSE)</f>
        <v>0</v>
      </c>
      <c r="AD62" s="68">
        <f>R62*VLOOKUP($F62,'Emission Factors 2'!$A$2:$E$302,2,FALSE)</f>
        <v>0</v>
      </c>
      <c r="AE62" s="68">
        <f>S62*VLOOKUP($F62,'Emission Factors 2'!$A$2:$E$302,2,FALSE)</f>
        <v>0</v>
      </c>
      <c r="AF62" s="19">
        <f t="shared" si="6"/>
        <v>0</v>
      </c>
      <c r="AG62" s="31"/>
      <c r="AH62" s="31"/>
      <c r="AI62" s="31"/>
      <c r="AJ62" s="31"/>
    </row>
    <row r="63" spans="1:36" ht="21.95" customHeight="1" outlineLevel="1" x14ac:dyDescent="0.25">
      <c r="A63" s="135"/>
      <c r="B63" s="105"/>
      <c r="C63" s="29"/>
      <c r="D63" s="27" t="s">
        <v>287</v>
      </c>
      <c r="E63" s="82" t="str">
        <f>'Index Formatting'!$I$17</f>
        <v>M</v>
      </c>
      <c r="F63" s="7" t="s">
        <v>288</v>
      </c>
      <c r="G63" s="15" t="s">
        <v>109</v>
      </c>
      <c r="H63" s="67"/>
      <c r="I63" s="67"/>
      <c r="J63" s="67"/>
      <c r="K63" s="67"/>
      <c r="L63" s="67"/>
      <c r="M63" s="67"/>
      <c r="N63" s="67"/>
      <c r="O63" s="67"/>
      <c r="P63" s="67"/>
      <c r="Q63" s="67"/>
      <c r="R63" s="67"/>
      <c r="S63" s="67"/>
      <c r="T63" s="68">
        <f>H63*VLOOKUP($F63,'Emission Factors 2'!$A$2:$E$302,2,FALSE)</f>
        <v>0</v>
      </c>
      <c r="U63" s="68">
        <f>I63*VLOOKUP($F63,'Emission Factors 2'!$A$2:$E$302,2,FALSE)</f>
        <v>0</v>
      </c>
      <c r="V63" s="68">
        <f>J63*VLOOKUP($F63,'Emission Factors 2'!$A$2:$E$302,2,FALSE)</f>
        <v>0</v>
      </c>
      <c r="W63" s="68">
        <f>K63*VLOOKUP($F63,'Emission Factors 2'!$A$2:$E$302,2,FALSE)</f>
        <v>0</v>
      </c>
      <c r="X63" s="68">
        <f>L63*VLOOKUP($F63,'Emission Factors 2'!$A$2:$E$302,2,FALSE)</f>
        <v>0</v>
      </c>
      <c r="Y63" s="68">
        <f>M63*VLOOKUP($F63,'Emission Factors 2'!$A$2:$E$302,2,FALSE)</f>
        <v>0</v>
      </c>
      <c r="Z63" s="68">
        <f>N63*VLOOKUP($F63,'Emission Factors 2'!$A$2:$E$302,2,FALSE)</f>
        <v>0</v>
      </c>
      <c r="AA63" s="68">
        <f>O63*VLOOKUP($F63,'Emission Factors 2'!$A$2:$E$302,2,FALSE)</f>
        <v>0</v>
      </c>
      <c r="AB63" s="68">
        <f>P63*VLOOKUP($F63,'Emission Factors 2'!$A$2:$E$302,2,FALSE)</f>
        <v>0</v>
      </c>
      <c r="AC63" s="68">
        <f>Q63*VLOOKUP($F63,'Emission Factors 2'!$A$2:$E$302,2,FALSE)</f>
        <v>0</v>
      </c>
      <c r="AD63" s="68">
        <f>R63*VLOOKUP($F63,'Emission Factors 2'!$A$2:$E$302,2,FALSE)</f>
        <v>0</v>
      </c>
      <c r="AE63" s="68">
        <f>S63*VLOOKUP($F63,'Emission Factors 2'!$A$2:$E$302,2,FALSE)</f>
        <v>0</v>
      </c>
      <c r="AF63" s="19">
        <f t="shared" si="6"/>
        <v>0</v>
      </c>
      <c r="AG63" s="31"/>
      <c r="AH63" s="31"/>
      <c r="AI63" s="31"/>
      <c r="AJ63" s="31"/>
    </row>
    <row r="64" spans="1:36" ht="21.95" customHeight="1" outlineLevel="1" x14ac:dyDescent="0.25">
      <c r="A64" s="135"/>
      <c r="B64" s="105"/>
      <c r="C64" s="29"/>
      <c r="D64" s="27" t="s">
        <v>287</v>
      </c>
      <c r="E64" s="82" t="str">
        <f>'Index Formatting'!$I$17</f>
        <v>M</v>
      </c>
      <c r="F64" s="7" t="s">
        <v>289</v>
      </c>
      <c r="G64" s="15" t="s">
        <v>109</v>
      </c>
      <c r="H64" s="67"/>
      <c r="I64" s="67"/>
      <c r="J64" s="67"/>
      <c r="K64" s="67"/>
      <c r="L64" s="67"/>
      <c r="M64" s="67"/>
      <c r="N64" s="67"/>
      <c r="O64" s="67"/>
      <c r="P64" s="67"/>
      <c r="Q64" s="67"/>
      <c r="R64" s="67"/>
      <c r="S64" s="67"/>
      <c r="T64" s="68">
        <f>H64*VLOOKUP($F64,'Emission Factors 2'!$A$2:$E$302,2,FALSE)</f>
        <v>0</v>
      </c>
      <c r="U64" s="68">
        <f>I64*VLOOKUP($F64,'Emission Factors 2'!$A$2:$E$302,2,FALSE)</f>
        <v>0</v>
      </c>
      <c r="V64" s="68">
        <f>J64*VLOOKUP($F64,'Emission Factors 2'!$A$2:$E$302,2,FALSE)</f>
        <v>0</v>
      </c>
      <c r="W64" s="68">
        <f>K64*VLOOKUP($F64,'Emission Factors 2'!$A$2:$E$302,2,FALSE)</f>
        <v>0</v>
      </c>
      <c r="X64" s="68">
        <f>L64*VLOOKUP($F64,'Emission Factors 2'!$A$2:$E$302,2,FALSE)</f>
        <v>0</v>
      </c>
      <c r="Y64" s="68">
        <f>M64*VLOOKUP($F64,'Emission Factors 2'!$A$2:$E$302,2,FALSE)</f>
        <v>0</v>
      </c>
      <c r="Z64" s="68">
        <f>N64*VLOOKUP($F64,'Emission Factors 2'!$A$2:$E$302,2,FALSE)</f>
        <v>0</v>
      </c>
      <c r="AA64" s="68">
        <f>O64*VLOOKUP($F64,'Emission Factors 2'!$A$2:$E$302,2,FALSE)</f>
        <v>0</v>
      </c>
      <c r="AB64" s="68">
        <f>P64*VLOOKUP($F64,'Emission Factors 2'!$A$2:$E$302,2,FALSE)</f>
        <v>0</v>
      </c>
      <c r="AC64" s="68">
        <f>Q64*VLOOKUP($F64,'Emission Factors 2'!$A$2:$E$302,2,FALSE)</f>
        <v>0</v>
      </c>
      <c r="AD64" s="68">
        <f>R64*VLOOKUP($F64,'Emission Factors 2'!$A$2:$E$302,2,FALSE)</f>
        <v>0</v>
      </c>
      <c r="AE64" s="68">
        <f>S64*VLOOKUP($F64,'Emission Factors 2'!$A$2:$E$302,2,FALSE)</f>
        <v>0</v>
      </c>
      <c r="AF64" s="19">
        <f t="shared" si="6"/>
        <v>0</v>
      </c>
      <c r="AG64" s="31"/>
      <c r="AH64" s="31"/>
      <c r="AI64" s="31"/>
      <c r="AJ64" s="31"/>
    </row>
    <row r="65" spans="1:36" ht="21.95" customHeight="1" outlineLevel="1" x14ac:dyDescent="0.25">
      <c r="A65" s="135"/>
      <c r="B65" s="105"/>
      <c r="C65" s="29"/>
      <c r="D65" s="27" t="s">
        <v>287</v>
      </c>
      <c r="E65" s="82" t="str">
        <f>'Index Formatting'!$I$17</f>
        <v>M</v>
      </c>
      <c r="F65" s="7" t="s">
        <v>290</v>
      </c>
      <c r="G65" s="15" t="s">
        <v>109</v>
      </c>
      <c r="H65" s="67"/>
      <c r="I65" s="67"/>
      <c r="J65" s="67"/>
      <c r="K65" s="67"/>
      <c r="L65" s="67"/>
      <c r="M65" s="67"/>
      <c r="N65" s="67"/>
      <c r="O65" s="67"/>
      <c r="P65" s="67"/>
      <c r="Q65" s="67"/>
      <c r="R65" s="67"/>
      <c r="S65" s="67"/>
      <c r="T65" s="68">
        <f>H65*VLOOKUP($F65,'Emission Factors 2'!$A$2:$E$302,2,FALSE)</f>
        <v>0</v>
      </c>
      <c r="U65" s="68">
        <f>I65*VLOOKUP($F65,'Emission Factors 2'!$A$2:$E$302,2,FALSE)</f>
        <v>0</v>
      </c>
      <c r="V65" s="68">
        <f>J65*VLOOKUP($F65,'Emission Factors 2'!$A$2:$E$302,2,FALSE)</f>
        <v>0</v>
      </c>
      <c r="W65" s="68">
        <f>K65*VLOOKUP($F65,'Emission Factors 2'!$A$2:$E$302,2,FALSE)</f>
        <v>0</v>
      </c>
      <c r="X65" s="68">
        <f>L65*VLOOKUP($F65,'Emission Factors 2'!$A$2:$E$302,2,FALSE)</f>
        <v>0</v>
      </c>
      <c r="Y65" s="68">
        <f>M65*VLOOKUP($F65,'Emission Factors 2'!$A$2:$E$302,2,FALSE)</f>
        <v>0</v>
      </c>
      <c r="Z65" s="68">
        <f>N65*VLOOKUP($F65,'Emission Factors 2'!$A$2:$E$302,2,FALSE)</f>
        <v>0</v>
      </c>
      <c r="AA65" s="68">
        <f>O65*VLOOKUP($F65,'Emission Factors 2'!$A$2:$E$302,2,FALSE)</f>
        <v>0</v>
      </c>
      <c r="AB65" s="68">
        <f>P65*VLOOKUP($F65,'Emission Factors 2'!$A$2:$E$302,2,FALSE)</f>
        <v>0</v>
      </c>
      <c r="AC65" s="68">
        <f>Q65*VLOOKUP($F65,'Emission Factors 2'!$A$2:$E$302,2,FALSE)</f>
        <v>0</v>
      </c>
      <c r="AD65" s="68">
        <f>R65*VLOOKUP($F65,'Emission Factors 2'!$A$2:$E$302,2,FALSE)</f>
        <v>0</v>
      </c>
      <c r="AE65" s="68">
        <f>S65*VLOOKUP($F65,'Emission Factors 2'!$A$2:$E$302,2,FALSE)</f>
        <v>0</v>
      </c>
      <c r="AF65" s="19">
        <f t="shared" si="6"/>
        <v>0</v>
      </c>
      <c r="AG65" s="31"/>
      <c r="AH65" s="31"/>
      <c r="AI65" s="31"/>
      <c r="AJ65" s="31"/>
    </row>
    <row r="66" spans="1:36" ht="21.95" customHeight="1" outlineLevel="1" x14ac:dyDescent="0.25">
      <c r="A66" s="135"/>
      <c r="B66" s="105"/>
      <c r="C66" s="29"/>
      <c r="D66" s="27" t="s">
        <v>291</v>
      </c>
      <c r="E66" s="82" t="str">
        <f>'Index Formatting'!$I$17</f>
        <v>M</v>
      </c>
      <c r="F66" s="7" t="s">
        <v>292</v>
      </c>
      <c r="G66" s="15" t="s">
        <v>109</v>
      </c>
      <c r="H66" s="67"/>
      <c r="I66" s="67"/>
      <c r="J66" s="67"/>
      <c r="K66" s="67"/>
      <c r="L66" s="67"/>
      <c r="M66" s="67"/>
      <c r="N66" s="67"/>
      <c r="O66" s="67"/>
      <c r="P66" s="67"/>
      <c r="Q66" s="67"/>
      <c r="R66" s="67"/>
      <c r="S66" s="67"/>
      <c r="T66" s="68">
        <f>H66*VLOOKUP($F66,'Emission Factors 2'!$A$2:$E$302,2,FALSE)</f>
        <v>0</v>
      </c>
      <c r="U66" s="68">
        <f>I66*VLOOKUP($F66,'Emission Factors 2'!$A$2:$E$302,2,FALSE)</f>
        <v>0</v>
      </c>
      <c r="V66" s="68">
        <f>J66*VLOOKUP($F66,'Emission Factors 2'!$A$2:$E$302,2,FALSE)</f>
        <v>0</v>
      </c>
      <c r="W66" s="68">
        <f>K66*VLOOKUP($F66,'Emission Factors 2'!$A$2:$E$302,2,FALSE)</f>
        <v>0</v>
      </c>
      <c r="X66" s="68">
        <f>L66*VLOOKUP($F66,'Emission Factors 2'!$A$2:$E$302,2,FALSE)</f>
        <v>0</v>
      </c>
      <c r="Y66" s="68">
        <f>M66*VLOOKUP($F66,'Emission Factors 2'!$A$2:$E$302,2,FALSE)</f>
        <v>0</v>
      </c>
      <c r="Z66" s="68">
        <f>N66*VLOOKUP($F66,'Emission Factors 2'!$A$2:$E$302,2,FALSE)</f>
        <v>0</v>
      </c>
      <c r="AA66" s="68">
        <f>O66*VLOOKUP($F66,'Emission Factors 2'!$A$2:$E$302,2,FALSE)</f>
        <v>0</v>
      </c>
      <c r="AB66" s="68">
        <f>P66*VLOOKUP($F66,'Emission Factors 2'!$A$2:$E$302,2,FALSE)</f>
        <v>0</v>
      </c>
      <c r="AC66" s="68">
        <f>Q66*VLOOKUP($F66,'Emission Factors 2'!$A$2:$E$302,2,FALSE)</f>
        <v>0</v>
      </c>
      <c r="AD66" s="68">
        <f>R66*VLOOKUP($F66,'Emission Factors 2'!$A$2:$E$302,2,FALSE)</f>
        <v>0</v>
      </c>
      <c r="AE66" s="68">
        <f>S66*VLOOKUP($F66,'Emission Factors 2'!$A$2:$E$302,2,FALSE)</f>
        <v>0</v>
      </c>
      <c r="AF66" s="19">
        <f t="shared" si="6"/>
        <v>0</v>
      </c>
      <c r="AG66" s="31"/>
      <c r="AH66" s="31"/>
      <c r="AI66" s="31"/>
      <c r="AJ66" s="31"/>
    </row>
    <row r="67" spans="1:36" ht="21.95" customHeight="1" outlineLevel="1" x14ac:dyDescent="0.25">
      <c r="A67" s="135"/>
      <c r="B67" s="105"/>
      <c r="C67" s="29"/>
      <c r="D67" s="27" t="s">
        <v>293</v>
      </c>
      <c r="E67" s="82" t="str">
        <f>'Index Formatting'!$I$17</f>
        <v>M</v>
      </c>
      <c r="F67" s="7" t="s">
        <v>294</v>
      </c>
      <c r="G67" s="15" t="s">
        <v>295</v>
      </c>
      <c r="H67" s="67"/>
      <c r="I67" s="67"/>
      <c r="J67" s="67"/>
      <c r="K67" s="67"/>
      <c r="L67" s="67"/>
      <c r="M67" s="67"/>
      <c r="N67" s="67"/>
      <c r="O67" s="67"/>
      <c r="P67" s="67"/>
      <c r="Q67" s="67"/>
      <c r="R67" s="67"/>
      <c r="S67" s="67"/>
      <c r="T67" s="68">
        <f>H67*VLOOKUP($F67,'Emission Factors 2'!$A$2:$E$302,2,FALSE)</f>
        <v>0</v>
      </c>
      <c r="U67" s="68">
        <f>I67*VLOOKUP($F67,'Emission Factors 2'!$A$2:$E$302,2,FALSE)</f>
        <v>0</v>
      </c>
      <c r="V67" s="68">
        <f>J67*VLOOKUP($F67,'Emission Factors 2'!$A$2:$E$302,2,FALSE)</f>
        <v>0</v>
      </c>
      <c r="W67" s="68">
        <f>K67*VLOOKUP($F67,'Emission Factors 2'!$A$2:$E$302,2,FALSE)</f>
        <v>0</v>
      </c>
      <c r="X67" s="68">
        <f>L67*VLOOKUP($F67,'Emission Factors 2'!$A$2:$E$302,2,FALSE)</f>
        <v>0</v>
      </c>
      <c r="Y67" s="68">
        <f>M67*VLOOKUP($F67,'Emission Factors 2'!$A$2:$E$302,2,FALSE)</f>
        <v>0</v>
      </c>
      <c r="Z67" s="68">
        <f>N67*VLOOKUP($F67,'Emission Factors 2'!$A$2:$E$302,2,FALSE)</f>
        <v>0</v>
      </c>
      <c r="AA67" s="68">
        <f>O67*VLOOKUP($F67,'Emission Factors 2'!$A$2:$E$302,2,FALSE)</f>
        <v>0</v>
      </c>
      <c r="AB67" s="68">
        <f>P67*VLOOKUP($F67,'Emission Factors 2'!$A$2:$E$302,2,FALSE)</f>
        <v>0</v>
      </c>
      <c r="AC67" s="68">
        <f>Q67*VLOOKUP($F67,'Emission Factors 2'!$A$2:$E$302,2,FALSE)</f>
        <v>0</v>
      </c>
      <c r="AD67" s="68">
        <f>R67*VLOOKUP($F67,'Emission Factors 2'!$A$2:$E$302,2,FALSE)</f>
        <v>0</v>
      </c>
      <c r="AE67" s="68">
        <f>S67*VLOOKUP($F67,'Emission Factors 2'!$A$2:$E$302,2,FALSE)</f>
        <v>0</v>
      </c>
      <c r="AF67" s="19">
        <f t="shared" si="6"/>
        <v>0</v>
      </c>
      <c r="AG67" s="31"/>
      <c r="AH67" s="31"/>
      <c r="AI67" s="31"/>
      <c r="AJ67" s="31"/>
    </row>
    <row r="68" spans="1:36" ht="21.95" customHeight="1" outlineLevel="1" x14ac:dyDescent="0.25">
      <c r="A68" s="135"/>
      <c r="B68" s="105"/>
      <c r="C68" s="29"/>
      <c r="D68" s="27" t="s">
        <v>293</v>
      </c>
      <c r="E68" s="82" t="str">
        <f>'Index Formatting'!$I$17</f>
        <v>M</v>
      </c>
      <c r="F68" s="7" t="s">
        <v>296</v>
      </c>
      <c r="G68" s="15" t="s">
        <v>295</v>
      </c>
      <c r="H68" s="67"/>
      <c r="I68" s="67"/>
      <c r="J68" s="67"/>
      <c r="K68" s="67"/>
      <c r="L68" s="67"/>
      <c r="M68" s="67"/>
      <c r="N68" s="67"/>
      <c r="O68" s="67"/>
      <c r="P68" s="67"/>
      <c r="Q68" s="67"/>
      <c r="R68" s="67"/>
      <c r="S68" s="67"/>
      <c r="T68" s="68">
        <f>H68*VLOOKUP($F68,'Emission Factors 2'!$A$2:$E$302,2,FALSE)</f>
        <v>0</v>
      </c>
      <c r="U68" s="68">
        <f>I68*VLOOKUP($F68,'Emission Factors 2'!$A$2:$E$302,2,FALSE)</f>
        <v>0</v>
      </c>
      <c r="V68" s="68">
        <f>J68*VLOOKUP($F68,'Emission Factors 2'!$A$2:$E$302,2,FALSE)</f>
        <v>0</v>
      </c>
      <c r="W68" s="68">
        <f>K68*VLOOKUP($F68,'Emission Factors 2'!$A$2:$E$302,2,FALSE)</f>
        <v>0</v>
      </c>
      <c r="X68" s="68">
        <f>L68*VLOOKUP($F68,'Emission Factors 2'!$A$2:$E$302,2,FALSE)</f>
        <v>0</v>
      </c>
      <c r="Y68" s="68">
        <f>M68*VLOOKUP($F68,'Emission Factors 2'!$A$2:$E$302,2,FALSE)</f>
        <v>0</v>
      </c>
      <c r="Z68" s="68">
        <f>N68*VLOOKUP($F68,'Emission Factors 2'!$A$2:$E$302,2,FALSE)</f>
        <v>0</v>
      </c>
      <c r="AA68" s="68">
        <f>O68*VLOOKUP($F68,'Emission Factors 2'!$A$2:$E$302,2,FALSE)</f>
        <v>0</v>
      </c>
      <c r="AB68" s="68">
        <f>P68*VLOOKUP($F68,'Emission Factors 2'!$A$2:$E$302,2,FALSE)</f>
        <v>0</v>
      </c>
      <c r="AC68" s="68">
        <f>Q68*VLOOKUP($F68,'Emission Factors 2'!$A$2:$E$302,2,FALSE)</f>
        <v>0</v>
      </c>
      <c r="AD68" s="68">
        <f>R68*VLOOKUP($F68,'Emission Factors 2'!$A$2:$E$302,2,FALSE)</f>
        <v>0</v>
      </c>
      <c r="AE68" s="68">
        <f>S68*VLOOKUP($F68,'Emission Factors 2'!$A$2:$E$302,2,FALSE)</f>
        <v>0</v>
      </c>
      <c r="AF68" s="19">
        <f t="shared" si="6"/>
        <v>0</v>
      </c>
      <c r="AG68" s="31"/>
      <c r="AH68" s="31"/>
      <c r="AI68" s="31"/>
      <c r="AJ68" s="31"/>
    </row>
    <row r="69" spans="1:36" ht="21.95" customHeight="1" outlineLevel="1" x14ac:dyDescent="0.25">
      <c r="A69" s="135"/>
      <c r="B69" s="105"/>
      <c r="C69" s="29"/>
      <c r="D69" s="27" t="s">
        <v>293</v>
      </c>
      <c r="E69" s="82" t="str">
        <f>'Index Formatting'!$I$17</f>
        <v>M</v>
      </c>
      <c r="F69" s="7" t="s">
        <v>297</v>
      </c>
      <c r="G69" s="15" t="s">
        <v>295</v>
      </c>
      <c r="H69" s="67"/>
      <c r="I69" s="67"/>
      <c r="J69" s="67"/>
      <c r="K69" s="67"/>
      <c r="L69" s="67"/>
      <c r="M69" s="67"/>
      <c r="N69" s="67"/>
      <c r="O69" s="67"/>
      <c r="P69" s="67"/>
      <c r="Q69" s="67"/>
      <c r="R69" s="67"/>
      <c r="S69" s="67"/>
      <c r="T69" s="68">
        <f>H69*VLOOKUP($F69,'Emission Factors 2'!$A$2:$E$302,2,FALSE)</f>
        <v>0</v>
      </c>
      <c r="U69" s="68">
        <f>I69*VLOOKUP($F69,'Emission Factors 2'!$A$2:$E$302,2,FALSE)</f>
        <v>0</v>
      </c>
      <c r="V69" s="68">
        <f>J69*VLOOKUP($F69,'Emission Factors 2'!$A$2:$E$302,2,FALSE)</f>
        <v>0</v>
      </c>
      <c r="W69" s="68">
        <f>K69*VLOOKUP($F69,'Emission Factors 2'!$A$2:$E$302,2,FALSE)</f>
        <v>0</v>
      </c>
      <c r="X69" s="68">
        <f>L69*VLOOKUP($F69,'Emission Factors 2'!$A$2:$E$302,2,FALSE)</f>
        <v>0</v>
      </c>
      <c r="Y69" s="68">
        <f>M69*VLOOKUP($F69,'Emission Factors 2'!$A$2:$E$302,2,FALSE)</f>
        <v>0</v>
      </c>
      <c r="Z69" s="68">
        <f>N69*VLOOKUP($F69,'Emission Factors 2'!$A$2:$E$302,2,FALSE)</f>
        <v>0</v>
      </c>
      <c r="AA69" s="68">
        <f>O69*VLOOKUP($F69,'Emission Factors 2'!$A$2:$E$302,2,FALSE)</f>
        <v>0</v>
      </c>
      <c r="AB69" s="68">
        <f>P69*VLOOKUP($F69,'Emission Factors 2'!$A$2:$E$302,2,FALSE)</f>
        <v>0</v>
      </c>
      <c r="AC69" s="68">
        <f>Q69*VLOOKUP($F69,'Emission Factors 2'!$A$2:$E$302,2,FALSE)</f>
        <v>0</v>
      </c>
      <c r="AD69" s="68">
        <f>R69*VLOOKUP($F69,'Emission Factors 2'!$A$2:$E$302,2,FALSE)</f>
        <v>0</v>
      </c>
      <c r="AE69" s="68">
        <f>S69*VLOOKUP($F69,'Emission Factors 2'!$A$2:$E$302,2,FALSE)</f>
        <v>0</v>
      </c>
      <c r="AF69" s="19">
        <f t="shared" si="6"/>
        <v>0</v>
      </c>
      <c r="AG69" s="31"/>
      <c r="AH69" s="31"/>
      <c r="AI69" s="31"/>
      <c r="AJ69" s="31"/>
    </row>
    <row r="70" spans="1:36" ht="21.95" customHeight="1" outlineLevel="1" x14ac:dyDescent="0.25">
      <c r="A70" s="135"/>
      <c r="B70" s="105"/>
      <c r="C70" s="29"/>
      <c r="D70" s="27" t="s">
        <v>293</v>
      </c>
      <c r="E70" s="82" t="str">
        <f>'Index Formatting'!$I$17</f>
        <v>M</v>
      </c>
      <c r="F70" s="7" t="s">
        <v>298</v>
      </c>
      <c r="G70" s="15" t="s">
        <v>295</v>
      </c>
      <c r="H70" s="67"/>
      <c r="I70" s="67"/>
      <c r="J70" s="67"/>
      <c r="K70" s="67"/>
      <c r="L70" s="67"/>
      <c r="M70" s="67"/>
      <c r="N70" s="67"/>
      <c r="O70" s="67"/>
      <c r="P70" s="67"/>
      <c r="Q70" s="67"/>
      <c r="R70" s="67"/>
      <c r="S70" s="67"/>
      <c r="T70" s="68">
        <f>H70*VLOOKUP($F70,'Emission Factors 2'!$A$2:$E$302,2,FALSE)</f>
        <v>0</v>
      </c>
      <c r="U70" s="68">
        <f>I70*VLOOKUP($F70,'Emission Factors 2'!$A$2:$E$302,2,FALSE)</f>
        <v>0</v>
      </c>
      <c r="V70" s="68">
        <f>J70*VLOOKUP($F70,'Emission Factors 2'!$A$2:$E$302,2,FALSE)</f>
        <v>0</v>
      </c>
      <c r="W70" s="68">
        <f>K70*VLOOKUP($F70,'Emission Factors 2'!$A$2:$E$302,2,FALSE)</f>
        <v>0</v>
      </c>
      <c r="X70" s="68">
        <f>L70*VLOOKUP($F70,'Emission Factors 2'!$A$2:$E$302,2,FALSE)</f>
        <v>0</v>
      </c>
      <c r="Y70" s="68">
        <f>M70*VLOOKUP($F70,'Emission Factors 2'!$A$2:$E$302,2,FALSE)</f>
        <v>0</v>
      </c>
      <c r="Z70" s="68">
        <f>N70*VLOOKUP($F70,'Emission Factors 2'!$A$2:$E$302,2,FALSE)</f>
        <v>0</v>
      </c>
      <c r="AA70" s="68">
        <f>O70*VLOOKUP($F70,'Emission Factors 2'!$A$2:$E$302,2,FALSE)</f>
        <v>0</v>
      </c>
      <c r="AB70" s="68">
        <f>P70*VLOOKUP($F70,'Emission Factors 2'!$A$2:$E$302,2,FALSE)</f>
        <v>0</v>
      </c>
      <c r="AC70" s="68">
        <f>Q70*VLOOKUP($F70,'Emission Factors 2'!$A$2:$E$302,2,FALSE)</f>
        <v>0</v>
      </c>
      <c r="AD70" s="68">
        <f>R70*VLOOKUP($F70,'Emission Factors 2'!$A$2:$E$302,2,FALSE)</f>
        <v>0</v>
      </c>
      <c r="AE70" s="68">
        <f>S70*VLOOKUP($F70,'Emission Factors 2'!$A$2:$E$302,2,FALSE)</f>
        <v>0</v>
      </c>
      <c r="AF70" s="19">
        <f t="shared" si="6"/>
        <v>0</v>
      </c>
      <c r="AG70" s="31"/>
      <c r="AH70" s="31"/>
      <c r="AI70" s="31"/>
      <c r="AJ70" s="31"/>
    </row>
    <row r="71" spans="1:36" ht="21.95" customHeight="1" outlineLevel="1" x14ac:dyDescent="0.25">
      <c r="A71" s="135"/>
      <c r="B71" s="105"/>
      <c r="C71" s="29"/>
      <c r="D71" s="27" t="s">
        <v>293</v>
      </c>
      <c r="E71" s="82" t="str">
        <f>'Index Formatting'!$I$17</f>
        <v>M</v>
      </c>
      <c r="F71" s="7" t="s">
        <v>299</v>
      </c>
      <c r="G71" s="15" t="s">
        <v>295</v>
      </c>
      <c r="H71" s="67"/>
      <c r="I71" s="67"/>
      <c r="J71" s="67"/>
      <c r="K71" s="67"/>
      <c r="L71" s="67"/>
      <c r="M71" s="67"/>
      <c r="N71" s="67"/>
      <c r="O71" s="67"/>
      <c r="P71" s="67"/>
      <c r="Q71" s="67"/>
      <c r="R71" s="67"/>
      <c r="S71" s="67"/>
      <c r="T71" s="68">
        <f>H71*VLOOKUP($F71,'Emission Factors 2'!$A$2:$E$302,2,FALSE)</f>
        <v>0</v>
      </c>
      <c r="U71" s="68">
        <f>I71*VLOOKUP($F71,'Emission Factors 2'!$A$2:$E$302,2,FALSE)</f>
        <v>0</v>
      </c>
      <c r="V71" s="68">
        <f>J71*VLOOKUP($F71,'Emission Factors 2'!$A$2:$E$302,2,FALSE)</f>
        <v>0</v>
      </c>
      <c r="W71" s="68">
        <f>K71*VLOOKUP($F71,'Emission Factors 2'!$A$2:$E$302,2,FALSE)</f>
        <v>0</v>
      </c>
      <c r="X71" s="68">
        <f>L71*VLOOKUP($F71,'Emission Factors 2'!$A$2:$E$302,2,FALSE)</f>
        <v>0</v>
      </c>
      <c r="Y71" s="68">
        <f>M71*VLOOKUP($F71,'Emission Factors 2'!$A$2:$E$302,2,FALSE)</f>
        <v>0</v>
      </c>
      <c r="Z71" s="68">
        <f>N71*VLOOKUP($F71,'Emission Factors 2'!$A$2:$E$302,2,FALSE)</f>
        <v>0</v>
      </c>
      <c r="AA71" s="68">
        <f>O71*VLOOKUP($F71,'Emission Factors 2'!$A$2:$E$302,2,FALSE)</f>
        <v>0</v>
      </c>
      <c r="AB71" s="68">
        <f>P71*VLOOKUP($F71,'Emission Factors 2'!$A$2:$E$302,2,FALSE)</f>
        <v>0</v>
      </c>
      <c r="AC71" s="68">
        <f>Q71*VLOOKUP($F71,'Emission Factors 2'!$A$2:$E$302,2,FALSE)</f>
        <v>0</v>
      </c>
      <c r="AD71" s="68">
        <f>R71*VLOOKUP($F71,'Emission Factors 2'!$A$2:$E$302,2,FALSE)</f>
        <v>0</v>
      </c>
      <c r="AE71" s="68">
        <f>S71*VLOOKUP($F71,'Emission Factors 2'!$A$2:$E$302,2,FALSE)</f>
        <v>0</v>
      </c>
      <c r="AF71" s="19">
        <f t="shared" si="6"/>
        <v>0</v>
      </c>
      <c r="AG71" s="31"/>
      <c r="AH71" s="31"/>
      <c r="AI71" s="31"/>
      <c r="AJ71" s="31"/>
    </row>
    <row r="72" spans="1:36" ht="21.95" customHeight="1" outlineLevel="1" x14ac:dyDescent="0.25">
      <c r="A72" s="135"/>
      <c r="B72" s="105"/>
      <c r="C72" s="29"/>
      <c r="D72" s="27" t="s">
        <v>293</v>
      </c>
      <c r="E72" s="82" t="str">
        <f>'Index Formatting'!$I$17</f>
        <v>M</v>
      </c>
      <c r="F72" s="7" t="s">
        <v>300</v>
      </c>
      <c r="G72" s="15" t="s">
        <v>295</v>
      </c>
      <c r="H72" s="67"/>
      <c r="I72" s="67"/>
      <c r="J72" s="67"/>
      <c r="K72" s="67"/>
      <c r="L72" s="67"/>
      <c r="M72" s="67"/>
      <c r="N72" s="67"/>
      <c r="O72" s="67"/>
      <c r="P72" s="67"/>
      <c r="Q72" s="67"/>
      <c r="R72" s="67"/>
      <c r="S72" s="67"/>
      <c r="T72" s="68">
        <f>H72*VLOOKUP($F72,'Emission Factors 2'!$A$2:$E$302,2,FALSE)</f>
        <v>0</v>
      </c>
      <c r="U72" s="68">
        <f>I72*VLOOKUP($F72,'Emission Factors 2'!$A$2:$E$302,2,FALSE)</f>
        <v>0</v>
      </c>
      <c r="V72" s="68">
        <f>J72*VLOOKUP($F72,'Emission Factors 2'!$A$2:$E$302,2,FALSE)</f>
        <v>0</v>
      </c>
      <c r="W72" s="68">
        <f>K72*VLOOKUP($F72,'Emission Factors 2'!$A$2:$E$302,2,FALSE)</f>
        <v>0</v>
      </c>
      <c r="X72" s="68">
        <f>L72*VLOOKUP($F72,'Emission Factors 2'!$A$2:$E$302,2,FALSE)</f>
        <v>0</v>
      </c>
      <c r="Y72" s="68">
        <f>M72*VLOOKUP($F72,'Emission Factors 2'!$A$2:$E$302,2,FALSE)</f>
        <v>0</v>
      </c>
      <c r="Z72" s="68">
        <f>N72*VLOOKUP($F72,'Emission Factors 2'!$A$2:$E$302,2,FALSE)</f>
        <v>0</v>
      </c>
      <c r="AA72" s="68">
        <f>O72*VLOOKUP($F72,'Emission Factors 2'!$A$2:$E$302,2,FALSE)</f>
        <v>0</v>
      </c>
      <c r="AB72" s="68">
        <f>P72*VLOOKUP($F72,'Emission Factors 2'!$A$2:$E$302,2,FALSE)</f>
        <v>0</v>
      </c>
      <c r="AC72" s="68">
        <f>Q72*VLOOKUP($F72,'Emission Factors 2'!$A$2:$E$302,2,FALSE)</f>
        <v>0</v>
      </c>
      <c r="AD72" s="68">
        <f>R72*VLOOKUP($F72,'Emission Factors 2'!$A$2:$E$302,2,FALSE)</f>
        <v>0</v>
      </c>
      <c r="AE72" s="68">
        <f>S72*VLOOKUP($F72,'Emission Factors 2'!$A$2:$E$302,2,FALSE)</f>
        <v>0</v>
      </c>
      <c r="AF72" s="19">
        <f t="shared" si="6"/>
        <v>0</v>
      </c>
      <c r="AG72" s="31"/>
      <c r="AH72" s="31"/>
      <c r="AI72" s="31"/>
      <c r="AJ72" s="31"/>
    </row>
    <row r="73" spans="1:36" ht="21.95" customHeight="1" outlineLevel="1" x14ac:dyDescent="0.25">
      <c r="A73" s="135"/>
      <c r="B73" s="105"/>
      <c r="C73" s="29"/>
      <c r="D73" s="27" t="s">
        <v>293</v>
      </c>
      <c r="E73" s="82" t="str">
        <f>'Index Formatting'!$I$17</f>
        <v>M</v>
      </c>
      <c r="F73" s="7" t="s">
        <v>301</v>
      </c>
      <c r="G73" s="15" t="s">
        <v>295</v>
      </c>
      <c r="H73" s="67"/>
      <c r="I73" s="67"/>
      <c r="J73" s="67"/>
      <c r="K73" s="67"/>
      <c r="L73" s="67"/>
      <c r="M73" s="67"/>
      <c r="N73" s="67"/>
      <c r="O73" s="67"/>
      <c r="P73" s="67"/>
      <c r="Q73" s="67"/>
      <c r="R73" s="67"/>
      <c r="S73" s="67"/>
      <c r="T73" s="68">
        <f>H73*VLOOKUP($F73,'Emission Factors 2'!$A$2:$E$302,2,FALSE)</f>
        <v>0</v>
      </c>
      <c r="U73" s="68">
        <f>I73*VLOOKUP($F73,'Emission Factors 2'!$A$2:$E$302,2,FALSE)</f>
        <v>0</v>
      </c>
      <c r="V73" s="68">
        <f>J73*VLOOKUP($F73,'Emission Factors 2'!$A$2:$E$302,2,FALSE)</f>
        <v>0</v>
      </c>
      <c r="W73" s="68">
        <f>K73*VLOOKUP($F73,'Emission Factors 2'!$A$2:$E$302,2,FALSE)</f>
        <v>0</v>
      </c>
      <c r="X73" s="68">
        <f>L73*VLOOKUP($F73,'Emission Factors 2'!$A$2:$E$302,2,FALSE)</f>
        <v>0</v>
      </c>
      <c r="Y73" s="68">
        <f>M73*VLOOKUP($F73,'Emission Factors 2'!$A$2:$E$302,2,FALSE)</f>
        <v>0</v>
      </c>
      <c r="Z73" s="68">
        <f>N73*VLOOKUP($F73,'Emission Factors 2'!$A$2:$E$302,2,FALSE)</f>
        <v>0</v>
      </c>
      <c r="AA73" s="68">
        <f>O73*VLOOKUP($F73,'Emission Factors 2'!$A$2:$E$302,2,FALSE)</f>
        <v>0</v>
      </c>
      <c r="AB73" s="68">
        <f>P73*VLOOKUP($F73,'Emission Factors 2'!$A$2:$E$302,2,FALSE)</f>
        <v>0</v>
      </c>
      <c r="AC73" s="68">
        <f>Q73*VLOOKUP($F73,'Emission Factors 2'!$A$2:$E$302,2,FALSE)</f>
        <v>0</v>
      </c>
      <c r="AD73" s="68">
        <f>R73*VLOOKUP($F73,'Emission Factors 2'!$A$2:$E$302,2,FALSE)</f>
        <v>0</v>
      </c>
      <c r="AE73" s="68">
        <f>S73*VLOOKUP($F73,'Emission Factors 2'!$A$2:$E$302,2,FALSE)</f>
        <v>0</v>
      </c>
      <c r="AF73" s="19">
        <f t="shared" si="6"/>
        <v>0</v>
      </c>
      <c r="AG73" s="31"/>
      <c r="AH73" s="31"/>
      <c r="AI73" s="31"/>
      <c r="AJ73" s="31"/>
    </row>
    <row r="74" spans="1:36" ht="21.95" customHeight="1" outlineLevel="1" x14ac:dyDescent="0.25">
      <c r="A74" s="135"/>
      <c r="B74" s="105"/>
      <c r="C74" s="29"/>
      <c r="D74" s="27" t="s">
        <v>302</v>
      </c>
      <c r="E74" s="82" t="str">
        <f>'Index Formatting'!$I$17</f>
        <v>M</v>
      </c>
      <c r="F74" s="7" t="s">
        <v>303</v>
      </c>
      <c r="G74" s="15" t="s">
        <v>295</v>
      </c>
      <c r="H74" s="67"/>
      <c r="I74" s="67"/>
      <c r="J74" s="67"/>
      <c r="K74" s="67"/>
      <c r="L74" s="67"/>
      <c r="M74" s="67"/>
      <c r="N74" s="67"/>
      <c r="O74" s="67"/>
      <c r="P74" s="67"/>
      <c r="Q74" s="67"/>
      <c r="R74" s="67"/>
      <c r="S74" s="67"/>
      <c r="T74" s="68">
        <f>H74*VLOOKUP($F74,'Emission Factors 2'!$A$2:$E$302,2,FALSE)</f>
        <v>0</v>
      </c>
      <c r="U74" s="68">
        <f>I74*VLOOKUP($F74,'Emission Factors 2'!$A$2:$E$302,2,FALSE)</f>
        <v>0</v>
      </c>
      <c r="V74" s="68">
        <f>J74*VLOOKUP($F74,'Emission Factors 2'!$A$2:$E$302,2,FALSE)</f>
        <v>0</v>
      </c>
      <c r="W74" s="68">
        <f>K74*VLOOKUP($F74,'Emission Factors 2'!$A$2:$E$302,2,FALSE)</f>
        <v>0</v>
      </c>
      <c r="X74" s="68">
        <f>L74*VLOOKUP($F74,'Emission Factors 2'!$A$2:$E$302,2,FALSE)</f>
        <v>0</v>
      </c>
      <c r="Y74" s="68">
        <f>M74*VLOOKUP($F74,'Emission Factors 2'!$A$2:$E$302,2,FALSE)</f>
        <v>0</v>
      </c>
      <c r="Z74" s="68">
        <f>N74*VLOOKUP($F74,'Emission Factors 2'!$A$2:$E$302,2,FALSE)</f>
        <v>0</v>
      </c>
      <c r="AA74" s="68">
        <f>O74*VLOOKUP($F74,'Emission Factors 2'!$A$2:$E$302,2,FALSE)</f>
        <v>0</v>
      </c>
      <c r="AB74" s="68">
        <f>P74*VLOOKUP($F74,'Emission Factors 2'!$A$2:$E$302,2,FALSE)</f>
        <v>0</v>
      </c>
      <c r="AC74" s="68">
        <f>Q74*VLOOKUP($F74,'Emission Factors 2'!$A$2:$E$302,2,FALSE)</f>
        <v>0</v>
      </c>
      <c r="AD74" s="68">
        <f>R74*VLOOKUP($F74,'Emission Factors 2'!$A$2:$E$302,2,FALSE)</f>
        <v>0</v>
      </c>
      <c r="AE74" s="68">
        <f>S74*VLOOKUP($F74,'Emission Factors 2'!$A$2:$E$302,2,FALSE)</f>
        <v>0</v>
      </c>
      <c r="AF74" s="19">
        <f t="shared" si="6"/>
        <v>0</v>
      </c>
      <c r="AG74" s="31"/>
      <c r="AH74" s="31"/>
      <c r="AI74" s="31"/>
      <c r="AJ74" s="31"/>
    </row>
    <row r="75" spans="1:36" ht="21.95" customHeight="1" outlineLevel="1" x14ac:dyDescent="0.25">
      <c r="A75" s="135"/>
      <c r="B75" s="105"/>
      <c r="C75" s="29"/>
      <c r="D75" s="27" t="s">
        <v>302</v>
      </c>
      <c r="E75" s="82" t="str">
        <f>'Index Formatting'!$I$17</f>
        <v>M</v>
      </c>
      <c r="F75" s="7" t="s">
        <v>304</v>
      </c>
      <c r="G75" s="15" t="s">
        <v>295</v>
      </c>
      <c r="H75" s="67"/>
      <c r="I75" s="67"/>
      <c r="J75" s="67"/>
      <c r="K75" s="67"/>
      <c r="L75" s="67"/>
      <c r="M75" s="67"/>
      <c r="N75" s="67"/>
      <c r="O75" s="67"/>
      <c r="P75" s="67"/>
      <c r="Q75" s="67"/>
      <c r="R75" s="67"/>
      <c r="S75" s="67"/>
      <c r="T75" s="68">
        <f>H75*VLOOKUP($F75,'Emission Factors 2'!$A$2:$E$302,2,FALSE)</f>
        <v>0</v>
      </c>
      <c r="U75" s="68">
        <f>I75*VLOOKUP($F75,'Emission Factors 2'!$A$2:$E$302,2,FALSE)</f>
        <v>0</v>
      </c>
      <c r="V75" s="68">
        <f>J75*VLOOKUP($F75,'Emission Factors 2'!$A$2:$E$302,2,FALSE)</f>
        <v>0</v>
      </c>
      <c r="W75" s="68">
        <f>K75*VLOOKUP($F75,'Emission Factors 2'!$A$2:$E$302,2,FALSE)</f>
        <v>0</v>
      </c>
      <c r="X75" s="68">
        <f>L75*VLOOKUP($F75,'Emission Factors 2'!$A$2:$E$302,2,FALSE)</f>
        <v>0</v>
      </c>
      <c r="Y75" s="68">
        <f>M75*VLOOKUP($F75,'Emission Factors 2'!$A$2:$E$302,2,FALSE)</f>
        <v>0</v>
      </c>
      <c r="Z75" s="68">
        <f>N75*VLOOKUP($F75,'Emission Factors 2'!$A$2:$E$302,2,FALSE)</f>
        <v>0</v>
      </c>
      <c r="AA75" s="68">
        <f>O75*VLOOKUP($F75,'Emission Factors 2'!$A$2:$E$302,2,FALSE)</f>
        <v>0</v>
      </c>
      <c r="AB75" s="68">
        <f>P75*VLOOKUP($F75,'Emission Factors 2'!$A$2:$E$302,2,FALSE)</f>
        <v>0</v>
      </c>
      <c r="AC75" s="68">
        <f>Q75*VLOOKUP($F75,'Emission Factors 2'!$A$2:$E$302,2,FALSE)</f>
        <v>0</v>
      </c>
      <c r="AD75" s="68">
        <f>R75*VLOOKUP($F75,'Emission Factors 2'!$A$2:$E$302,2,FALSE)</f>
        <v>0</v>
      </c>
      <c r="AE75" s="68">
        <f>S75*VLOOKUP($F75,'Emission Factors 2'!$A$2:$E$302,2,FALSE)</f>
        <v>0</v>
      </c>
      <c r="AF75" s="19">
        <f t="shared" si="6"/>
        <v>0</v>
      </c>
      <c r="AG75" s="31"/>
      <c r="AH75" s="31"/>
      <c r="AI75" s="31"/>
      <c r="AJ75" s="31"/>
    </row>
    <row r="76" spans="1:36" ht="21.95" customHeight="1" outlineLevel="1" x14ac:dyDescent="0.25">
      <c r="A76" s="135"/>
      <c r="B76" s="105"/>
      <c r="C76" s="29"/>
      <c r="D76" s="27" t="s">
        <v>302</v>
      </c>
      <c r="E76" s="82" t="str">
        <f>'Index Formatting'!$I$17</f>
        <v>M</v>
      </c>
      <c r="F76" s="7" t="s">
        <v>305</v>
      </c>
      <c r="G76" s="15" t="s">
        <v>295</v>
      </c>
      <c r="H76" s="67"/>
      <c r="I76" s="67"/>
      <c r="J76" s="67"/>
      <c r="K76" s="67"/>
      <c r="L76" s="67"/>
      <c r="M76" s="67"/>
      <c r="N76" s="67"/>
      <c r="O76" s="67"/>
      <c r="P76" s="67"/>
      <c r="Q76" s="67"/>
      <c r="R76" s="67"/>
      <c r="S76" s="67"/>
      <c r="T76" s="68">
        <f>H76*VLOOKUP($F76,'Emission Factors 2'!$A$2:$E$302,2,FALSE)</f>
        <v>0</v>
      </c>
      <c r="U76" s="68">
        <f>I76*VLOOKUP($F76,'Emission Factors 2'!$A$2:$E$302,2,FALSE)</f>
        <v>0</v>
      </c>
      <c r="V76" s="68">
        <f>J76*VLOOKUP($F76,'Emission Factors 2'!$A$2:$E$302,2,FALSE)</f>
        <v>0</v>
      </c>
      <c r="W76" s="68">
        <f>K76*VLOOKUP($F76,'Emission Factors 2'!$A$2:$E$302,2,FALSE)</f>
        <v>0</v>
      </c>
      <c r="X76" s="68">
        <f>L76*VLOOKUP($F76,'Emission Factors 2'!$A$2:$E$302,2,FALSE)</f>
        <v>0</v>
      </c>
      <c r="Y76" s="68">
        <f>M76*VLOOKUP($F76,'Emission Factors 2'!$A$2:$E$302,2,FALSE)</f>
        <v>0</v>
      </c>
      <c r="Z76" s="68">
        <f>N76*VLOOKUP($F76,'Emission Factors 2'!$A$2:$E$302,2,FALSE)</f>
        <v>0</v>
      </c>
      <c r="AA76" s="68">
        <f>O76*VLOOKUP($F76,'Emission Factors 2'!$A$2:$E$302,2,FALSE)</f>
        <v>0</v>
      </c>
      <c r="AB76" s="68">
        <f>P76*VLOOKUP($F76,'Emission Factors 2'!$A$2:$E$302,2,FALSE)</f>
        <v>0</v>
      </c>
      <c r="AC76" s="68">
        <f>Q76*VLOOKUP($F76,'Emission Factors 2'!$A$2:$E$302,2,FALSE)</f>
        <v>0</v>
      </c>
      <c r="AD76" s="68">
        <f>R76*VLOOKUP($F76,'Emission Factors 2'!$A$2:$E$302,2,FALSE)</f>
        <v>0</v>
      </c>
      <c r="AE76" s="68">
        <f>S76*VLOOKUP($F76,'Emission Factors 2'!$A$2:$E$302,2,FALSE)</f>
        <v>0</v>
      </c>
      <c r="AF76" s="19">
        <f t="shared" si="6"/>
        <v>0</v>
      </c>
      <c r="AG76" s="31"/>
      <c r="AH76" s="31"/>
      <c r="AI76" s="31"/>
      <c r="AJ76" s="31"/>
    </row>
    <row r="77" spans="1:36" ht="21.95" customHeight="1" outlineLevel="1" x14ac:dyDescent="0.25">
      <c r="A77" s="135"/>
      <c r="B77" s="105"/>
      <c r="C77" s="29"/>
      <c r="D77" s="27" t="s">
        <v>302</v>
      </c>
      <c r="E77" s="82" t="str">
        <f>'Index Formatting'!$I$17</f>
        <v>M</v>
      </c>
      <c r="F77" s="7" t="s">
        <v>306</v>
      </c>
      <c r="G77" s="15" t="s">
        <v>295</v>
      </c>
      <c r="H77" s="67"/>
      <c r="I77" s="67"/>
      <c r="J77" s="67"/>
      <c r="K77" s="67"/>
      <c r="L77" s="67"/>
      <c r="M77" s="67"/>
      <c r="N77" s="67"/>
      <c r="O77" s="67"/>
      <c r="P77" s="67"/>
      <c r="Q77" s="67"/>
      <c r="R77" s="67"/>
      <c r="S77" s="67"/>
      <c r="T77" s="68">
        <f>H77*VLOOKUP($F77,'Emission Factors 2'!$A$2:$E$302,2,FALSE)</f>
        <v>0</v>
      </c>
      <c r="U77" s="68">
        <f>I77*VLOOKUP($F77,'Emission Factors 2'!$A$2:$E$302,2,FALSE)</f>
        <v>0</v>
      </c>
      <c r="V77" s="68">
        <f>J77*VLOOKUP($F77,'Emission Factors 2'!$A$2:$E$302,2,FALSE)</f>
        <v>0</v>
      </c>
      <c r="W77" s="68">
        <f>K77*VLOOKUP($F77,'Emission Factors 2'!$A$2:$E$302,2,FALSE)</f>
        <v>0</v>
      </c>
      <c r="X77" s="68">
        <f>L77*VLOOKUP($F77,'Emission Factors 2'!$A$2:$E$302,2,FALSE)</f>
        <v>0</v>
      </c>
      <c r="Y77" s="68">
        <f>M77*VLOOKUP($F77,'Emission Factors 2'!$A$2:$E$302,2,FALSE)</f>
        <v>0</v>
      </c>
      <c r="Z77" s="68">
        <f>N77*VLOOKUP($F77,'Emission Factors 2'!$A$2:$E$302,2,FALSE)</f>
        <v>0</v>
      </c>
      <c r="AA77" s="68">
        <f>O77*VLOOKUP($F77,'Emission Factors 2'!$A$2:$E$302,2,FALSE)</f>
        <v>0</v>
      </c>
      <c r="AB77" s="68">
        <f>P77*VLOOKUP($F77,'Emission Factors 2'!$A$2:$E$302,2,FALSE)</f>
        <v>0</v>
      </c>
      <c r="AC77" s="68">
        <f>Q77*VLOOKUP($F77,'Emission Factors 2'!$A$2:$E$302,2,FALSE)</f>
        <v>0</v>
      </c>
      <c r="AD77" s="68">
        <f>R77*VLOOKUP($F77,'Emission Factors 2'!$A$2:$E$302,2,FALSE)</f>
        <v>0</v>
      </c>
      <c r="AE77" s="68">
        <f>S77*VLOOKUP($F77,'Emission Factors 2'!$A$2:$E$302,2,FALSE)</f>
        <v>0</v>
      </c>
      <c r="AF77" s="19">
        <f t="shared" si="6"/>
        <v>0</v>
      </c>
      <c r="AG77" s="31"/>
      <c r="AH77" s="31"/>
      <c r="AI77" s="31"/>
      <c r="AJ77" s="31"/>
    </row>
    <row r="78" spans="1:36" ht="21.95" customHeight="1" outlineLevel="1" x14ac:dyDescent="0.25">
      <c r="A78" s="135"/>
      <c r="B78" s="105"/>
      <c r="C78" s="29"/>
      <c r="D78" s="27" t="s">
        <v>307</v>
      </c>
      <c r="E78" s="82" t="str">
        <f>'Index Formatting'!$I$17</f>
        <v>M</v>
      </c>
      <c r="F78" s="7" t="s">
        <v>308</v>
      </c>
      <c r="G78" s="15" t="s">
        <v>109</v>
      </c>
      <c r="H78" s="67"/>
      <c r="I78" s="67"/>
      <c r="J78" s="67"/>
      <c r="K78" s="67"/>
      <c r="L78" s="67"/>
      <c r="M78" s="67"/>
      <c r="N78" s="67"/>
      <c r="O78" s="67"/>
      <c r="P78" s="67"/>
      <c r="Q78" s="67"/>
      <c r="R78" s="67"/>
      <c r="S78" s="67"/>
      <c r="T78" s="68">
        <f>H78*VLOOKUP($F78,'Emission Factors 2'!$A$2:$E$302,2,FALSE)</f>
        <v>0</v>
      </c>
      <c r="U78" s="68">
        <f>I78*VLOOKUP($F78,'Emission Factors 2'!$A$2:$E$302,2,FALSE)</f>
        <v>0</v>
      </c>
      <c r="V78" s="68">
        <f>J78*VLOOKUP($F78,'Emission Factors 2'!$A$2:$E$302,2,FALSE)</f>
        <v>0</v>
      </c>
      <c r="W78" s="68">
        <f>K78*VLOOKUP($F78,'Emission Factors 2'!$A$2:$E$302,2,FALSE)</f>
        <v>0</v>
      </c>
      <c r="X78" s="68">
        <f>L78*VLOOKUP($F78,'Emission Factors 2'!$A$2:$E$302,2,FALSE)</f>
        <v>0</v>
      </c>
      <c r="Y78" s="68">
        <f>M78*VLOOKUP($F78,'Emission Factors 2'!$A$2:$E$302,2,FALSE)</f>
        <v>0</v>
      </c>
      <c r="Z78" s="68">
        <f>N78*VLOOKUP($F78,'Emission Factors 2'!$A$2:$E$302,2,FALSE)</f>
        <v>0</v>
      </c>
      <c r="AA78" s="68">
        <f>O78*VLOOKUP($F78,'Emission Factors 2'!$A$2:$E$302,2,FALSE)</f>
        <v>0</v>
      </c>
      <c r="AB78" s="68">
        <f>P78*VLOOKUP($F78,'Emission Factors 2'!$A$2:$E$302,2,FALSE)</f>
        <v>0</v>
      </c>
      <c r="AC78" s="68">
        <f>Q78*VLOOKUP($F78,'Emission Factors 2'!$A$2:$E$302,2,FALSE)</f>
        <v>0</v>
      </c>
      <c r="AD78" s="68">
        <f>R78*VLOOKUP($F78,'Emission Factors 2'!$A$2:$E$302,2,FALSE)</f>
        <v>0</v>
      </c>
      <c r="AE78" s="68">
        <f>S78*VLOOKUP($F78,'Emission Factors 2'!$A$2:$E$302,2,FALSE)</f>
        <v>0</v>
      </c>
      <c r="AF78" s="19">
        <f t="shared" si="6"/>
        <v>0</v>
      </c>
      <c r="AG78" s="31"/>
      <c r="AH78" s="31"/>
      <c r="AI78" s="31"/>
      <c r="AJ78" s="31"/>
    </row>
    <row r="79" spans="1:36" ht="21.95" customHeight="1" outlineLevel="1" x14ac:dyDescent="0.25">
      <c r="A79" s="135"/>
      <c r="B79" s="105"/>
      <c r="C79" s="29"/>
      <c r="D79" s="27" t="s">
        <v>309</v>
      </c>
      <c r="E79" s="82" t="str">
        <f>'Index Formatting'!$I$17</f>
        <v>M</v>
      </c>
      <c r="F79" s="7" t="s">
        <v>310</v>
      </c>
      <c r="G79" s="15" t="s">
        <v>295</v>
      </c>
      <c r="H79" s="67"/>
      <c r="I79" s="67"/>
      <c r="J79" s="67"/>
      <c r="K79" s="67"/>
      <c r="L79" s="67"/>
      <c r="M79" s="67"/>
      <c r="N79" s="67"/>
      <c r="O79" s="67"/>
      <c r="P79" s="67"/>
      <c r="Q79" s="67"/>
      <c r="R79" s="67"/>
      <c r="S79" s="67"/>
      <c r="T79" s="68">
        <f>H79*VLOOKUP($F79,'Emission Factors 2'!$A$2:$E$302,2,FALSE)</f>
        <v>0</v>
      </c>
      <c r="U79" s="68">
        <f>I79*VLOOKUP($F79,'Emission Factors 2'!$A$2:$E$302,2,FALSE)</f>
        <v>0</v>
      </c>
      <c r="V79" s="68">
        <f>J79*VLOOKUP($F79,'Emission Factors 2'!$A$2:$E$302,2,FALSE)</f>
        <v>0</v>
      </c>
      <c r="W79" s="68">
        <f>K79*VLOOKUP($F79,'Emission Factors 2'!$A$2:$E$302,2,FALSE)</f>
        <v>0</v>
      </c>
      <c r="X79" s="68">
        <f>L79*VLOOKUP($F79,'Emission Factors 2'!$A$2:$E$302,2,FALSE)</f>
        <v>0</v>
      </c>
      <c r="Y79" s="68">
        <f>M79*VLOOKUP($F79,'Emission Factors 2'!$A$2:$E$302,2,FALSE)</f>
        <v>0</v>
      </c>
      <c r="Z79" s="68">
        <f>N79*VLOOKUP($F79,'Emission Factors 2'!$A$2:$E$302,2,FALSE)</f>
        <v>0</v>
      </c>
      <c r="AA79" s="68">
        <f>O79*VLOOKUP($F79,'Emission Factors 2'!$A$2:$E$302,2,FALSE)</f>
        <v>0</v>
      </c>
      <c r="AB79" s="68">
        <f>P79*VLOOKUP($F79,'Emission Factors 2'!$A$2:$E$302,2,FALSE)</f>
        <v>0</v>
      </c>
      <c r="AC79" s="68">
        <f>Q79*VLOOKUP($F79,'Emission Factors 2'!$A$2:$E$302,2,FALSE)</f>
        <v>0</v>
      </c>
      <c r="AD79" s="68">
        <f>R79*VLOOKUP($F79,'Emission Factors 2'!$A$2:$E$302,2,FALSE)</f>
        <v>0</v>
      </c>
      <c r="AE79" s="68">
        <f>S79*VLOOKUP($F79,'Emission Factors 2'!$A$2:$E$302,2,FALSE)</f>
        <v>0</v>
      </c>
      <c r="AF79" s="19">
        <f t="shared" si="6"/>
        <v>0</v>
      </c>
      <c r="AG79" s="31"/>
      <c r="AH79" s="31"/>
      <c r="AI79" s="31"/>
      <c r="AJ79" s="31"/>
    </row>
    <row r="80" spans="1:36" ht="21.95" customHeight="1" outlineLevel="1" x14ac:dyDescent="0.25">
      <c r="A80" s="135"/>
      <c r="B80" s="105"/>
      <c r="C80" s="29"/>
      <c r="D80" s="27" t="s">
        <v>309</v>
      </c>
      <c r="E80" s="82" t="str">
        <f>'Index Formatting'!$I$17</f>
        <v>M</v>
      </c>
      <c r="F80" s="7" t="s">
        <v>311</v>
      </c>
      <c r="G80" s="15" t="s">
        <v>295</v>
      </c>
      <c r="H80" s="67"/>
      <c r="I80" s="67"/>
      <c r="J80" s="67"/>
      <c r="K80" s="67"/>
      <c r="L80" s="67"/>
      <c r="M80" s="67"/>
      <c r="N80" s="67"/>
      <c r="O80" s="67"/>
      <c r="P80" s="67"/>
      <c r="Q80" s="67"/>
      <c r="R80" s="67"/>
      <c r="S80" s="67"/>
      <c r="T80" s="68">
        <f>H80*VLOOKUP($F80,'Emission Factors 2'!$A$2:$E$302,2,FALSE)</f>
        <v>0</v>
      </c>
      <c r="U80" s="68">
        <f>I80*VLOOKUP($F80,'Emission Factors 2'!$A$2:$E$302,2,FALSE)</f>
        <v>0</v>
      </c>
      <c r="V80" s="68">
        <f>J80*VLOOKUP($F80,'Emission Factors 2'!$A$2:$E$302,2,FALSE)</f>
        <v>0</v>
      </c>
      <c r="W80" s="68">
        <f>K80*VLOOKUP($F80,'Emission Factors 2'!$A$2:$E$302,2,FALSE)</f>
        <v>0</v>
      </c>
      <c r="X80" s="68">
        <f>L80*VLOOKUP($F80,'Emission Factors 2'!$A$2:$E$302,2,FALSE)</f>
        <v>0</v>
      </c>
      <c r="Y80" s="68">
        <f>M80*VLOOKUP($F80,'Emission Factors 2'!$A$2:$E$302,2,FALSE)</f>
        <v>0</v>
      </c>
      <c r="Z80" s="68">
        <f>N80*VLOOKUP($F80,'Emission Factors 2'!$A$2:$E$302,2,FALSE)</f>
        <v>0</v>
      </c>
      <c r="AA80" s="68">
        <f>O80*VLOOKUP($F80,'Emission Factors 2'!$A$2:$E$302,2,FALSE)</f>
        <v>0</v>
      </c>
      <c r="AB80" s="68">
        <f>P80*VLOOKUP($F80,'Emission Factors 2'!$A$2:$E$302,2,FALSE)</f>
        <v>0</v>
      </c>
      <c r="AC80" s="68">
        <f>Q80*VLOOKUP($F80,'Emission Factors 2'!$A$2:$E$302,2,FALSE)</f>
        <v>0</v>
      </c>
      <c r="AD80" s="68">
        <f>R80*VLOOKUP($F80,'Emission Factors 2'!$A$2:$E$302,2,FALSE)</f>
        <v>0</v>
      </c>
      <c r="AE80" s="68">
        <f>S80*VLOOKUP($F80,'Emission Factors 2'!$A$2:$E$302,2,FALSE)</f>
        <v>0</v>
      </c>
      <c r="AF80" s="19">
        <f t="shared" si="6"/>
        <v>0</v>
      </c>
      <c r="AG80" s="31"/>
      <c r="AH80" s="31"/>
      <c r="AI80" s="31"/>
      <c r="AJ80" s="31"/>
    </row>
    <row r="81" spans="1:36" ht="21.95" customHeight="1" outlineLevel="1" x14ac:dyDescent="0.25">
      <c r="A81" s="135"/>
      <c r="B81" s="105"/>
      <c r="C81" s="29"/>
      <c r="D81" s="27" t="s">
        <v>309</v>
      </c>
      <c r="E81" s="82" t="str">
        <f>'Index Formatting'!$I$17</f>
        <v>M</v>
      </c>
      <c r="F81" s="7" t="s">
        <v>312</v>
      </c>
      <c r="G81" s="15" t="s">
        <v>295</v>
      </c>
      <c r="H81" s="67"/>
      <c r="I81" s="67"/>
      <c r="J81" s="67"/>
      <c r="K81" s="67"/>
      <c r="L81" s="67"/>
      <c r="M81" s="67"/>
      <c r="N81" s="67"/>
      <c r="O81" s="67"/>
      <c r="P81" s="67"/>
      <c r="Q81" s="67"/>
      <c r="R81" s="67"/>
      <c r="S81" s="67"/>
      <c r="T81" s="68">
        <f>H81*VLOOKUP($F81,'Emission Factors 2'!$A$2:$E$302,2,FALSE)</f>
        <v>0</v>
      </c>
      <c r="U81" s="68">
        <f>I81*VLOOKUP($F81,'Emission Factors 2'!$A$2:$E$302,2,FALSE)</f>
        <v>0</v>
      </c>
      <c r="V81" s="68">
        <f>J81*VLOOKUP($F81,'Emission Factors 2'!$A$2:$E$302,2,FALSE)</f>
        <v>0</v>
      </c>
      <c r="W81" s="68">
        <f>K81*VLOOKUP($F81,'Emission Factors 2'!$A$2:$E$302,2,FALSE)</f>
        <v>0</v>
      </c>
      <c r="X81" s="68">
        <f>L81*VLOOKUP($F81,'Emission Factors 2'!$A$2:$E$302,2,FALSE)</f>
        <v>0</v>
      </c>
      <c r="Y81" s="68">
        <f>M81*VLOOKUP($F81,'Emission Factors 2'!$A$2:$E$302,2,FALSE)</f>
        <v>0</v>
      </c>
      <c r="Z81" s="68">
        <f>N81*VLOOKUP($F81,'Emission Factors 2'!$A$2:$E$302,2,FALSE)</f>
        <v>0</v>
      </c>
      <c r="AA81" s="68">
        <f>O81*VLOOKUP($F81,'Emission Factors 2'!$A$2:$E$302,2,FALSE)</f>
        <v>0</v>
      </c>
      <c r="AB81" s="68">
        <f>P81*VLOOKUP($F81,'Emission Factors 2'!$A$2:$E$302,2,FALSE)</f>
        <v>0</v>
      </c>
      <c r="AC81" s="68">
        <f>Q81*VLOOKUP($F81,'Emission Factors 2'!$A$2:$E$302,2,FALSE)</f>
        <v>0</v>
      </c>
      <c r="AD81" s="68">
        <f>R81*VLOOKUP($F81,'Emission Factors 2'!$A$2:$E$302,2,FALSE)</f>
        <v>0</v>
      </c>
      <c r="AE81" s="68">
        <f>S81*VLOOKUP($F81,'Emission Factors 2'!$A$2:$E$302,2,FALSE)</f>
        <v>0</v>
      </c>
      <c r="AF81" s="19">
        <f t="shared" si="6"/>
        <v>0</v>
      </c>
      <c r="AG81" s="31"/>
      <c r="AH81" s="31"/>
      <c r="AI81" s="31"/>
      <c r="AJ81" s="31"/>
    </row>
    <row r="82" spans="1:36" ht="21.95" customHeight="1" outlineLevel="1" x14ac:dyDescent="0.25">
      <c r="A82" s="135"/>
      <c r="B82" s="105"/>
      <c r="C82" s="29"/>
      <c r="D82" s="27" t="s">
        <v>309</v>
      </c>
      <c r="E82" s="82" t="str">
        <f>'Index Formatting'!$I$17</f>
        <v>M</v>
      </c>
      <c r="F82" s="7" t="s">
        <v>313</v>
      </c>
      <c r="G82" s="15" t="s">
        <v>295</v>
      </c>
      <c r="H82" s="67"/>
      <c r="I82" s="67"/>
      <c r="J82" s="67"/>
      <c r="K82" s="67"/>
      <c r="L82" s="67"/>
      <c r="M82" s="67"/>
      <c r="N82" s="67"/>
      <c r="O82" s="67"/>
      <c r="P82" s="67"/>
      <c r="Q82" s="67"/>
      <c r="R82" s="67"/>
      <c r="S82" s="67"/>
      <c r="T82" s="68">
        <f>H82*VLOOKUP($F82,'Emission Factors 2'!$A$2:$E$302,2,FALSE)</f>
        <v>0</v>
      </c>
      <c r="U82" s="68">
        <f>I82*VLOOKUP($F82,'Emission Factors 2'!$A$2:$E$302,2,FALSE)</f>
        <v>0</v>
      </c>
      <c r="V82" s="68">
        <f>J82*VLOOKUP($F82,'Emission Factors 2'!$A$2:$E$302,2,FALSE)</f>
        <v>0</v>
      </c>
      <c r="W82" s="68">
        <f>K82*VLOOKUP($F82,'Emission Factors 2'!$A$2:$E$302,2,FALSE)</f>
        <v>0</v>
      </c>
      <c r="X82" s="68">
        <f>L82*VLOOKUP($F82,'Emission Factors 2'!$A$2:$E$302,2,FALSE)</f>
        <v>0</v>
      </c>
      <c r="Y82" s="68">
        <f>M82*VLOOKUP($F82,'Emission Factors 2'!$A$2:$E$302,2,FALSE)</f>
        <v>0</v>
      </c>
      <c r="Z82" s="68">
        <f>N82*VLOOKUP($F82,'Emission Factors 2'!$A$2:$E$302,2,FALSE)</f>
        <v>0</v>
      </c>
      <c r="AA82" s="68">
        <f>O82*VLOOKUP($F82,'Emission Factors 2'!$A$2:$E$302,2,FALSE)</f>
        <v>0</v>
      </c>
      <c r="AB82" s="68">
        <f>P82*VLOOKUP($F82,'Emission Factors 2'!$A$2:$E$302,2,FALSE)</f>
        <v>0</v>
      </c>
      <c r="AC82" s="68">
        <f>Q82*VLOOKUP($F82,'Emission Factors 2'!$A$2:$E$302,2,FALSE)</f>
        <v>0</v>
      </c>
      <c r="AD82" s="68">
        <f>R82*VLOOKUP($F82,'Emission Factors 2'!$A$2:$E$302,2,FALSE)</f>
        <v>0</v>
      </c>
      <c r="AE82" s="68">
        <f>S82*VLOOKUP($F82,'Emission Factors 2'!$A$2:$E$302,2,FALSE)</f>
        <v>0</v>
      </c>
      <c r="AF82" s="19">
        <f t="shared" si="6"/>
        <v>0</v>
      </c>
      <c r="AG82" s="31"/>
      <c r="AH82" s="31"/>
      <c r="AI82" s="31"/>
      <c r="AJ82" s="31"/>
    </row>
    <row r="83" spans="1:36" ht="21.95" customHeight="1" outlineLevel="1" x14ac:dyDescent="0.25">
      <c r="A83" s="135"/>
      <c r="B83" s="105"/>
      <c r="C83" s="29"/>
      <c r="D83" s="27" t="s">
        <v>314</v>
      </c>
      <c r="E83" s="82" t="str">
        <f>'Index Formatting'!$I$17</f>
        <v>M</v>
      </c>
      <c r="F83" s="7" t="s">
        <v>315</v>
      </c>
      <c r="G83" s="15" t="s">
        <v>295</v>
      </c>
      <c r="H83" s="67"/>
      <c r="I83" s="67"/>
      <c r="J83" s="67"/>
      <c r="K83" s="67"/>
      <c r="L83" s="67"/>
      <c r="M83" s="67"/>
      <c r="N83" s="67"/>
      <c r="O83" s="67"/>
      <c r="P83" s="67"/>
      <c r="Q83" s="67"/>
      <c r="R83" s="67"/>
      <c r="S83" s="67"/>
      <c r="T83" s="68">
        <f>H83*VLOOKUP($F83,'Emission Factors 2'!$A$2:$E$302,2,FALSE)</f>
        <v>0</v>
      </c>
      <c r="U83" s="68">
        <f>I83*VLOOKUP($F83,'Emission Factors 2'!$A$2:$E$302,2,FALSE)</f>
        <v>0</v>
      </c>
      <c r="V83" s="68">
        <f>J83*VLOOKUP($F83,'Emission Factors 2'!$A$2:$E$302,2,FALSE)</f>
        <v>0</v>
      </c>
      <c r="W83" s="68">
        <f>K83*VLOOKUP($F83,'Emission Factors 2'!$A$2:$E$302,2,FALSE)</f>
        <v>0</v>
      </c>
      <c r="X83" s="68">
        <f>L83*VLOOKUP($F83,'Emission Factors 2'!$A$2:$E$302,2,FALSE)</f>
        <v>0</v>
      </c>
      <c r="Y83" s="68">
        <f>M83*VLOOKUP($F83,'Emission Factors 2'!$A$2:$E$302,2,FALSE)</f>
        <v>0</v>
      </c>
      <c r="Z83" s="68">
        <f>N83*VLOOKUP($F83,'Emission Factors 2'!$A$2:$E$302,2,FALSE)</f>
        <v>0</v>
      </c>
      <c r="AA83" s="68">
        <f>O83*VLOOKUP($F83,'Emission Factors 2'!$A$2:$E$302,2,FALSE)</f>
        <v>0</v>
      </c>
      <c r="AB83" s="68">
        <f>P83*VLOOKUP($F83,'Emission Factors 2'!$A$2:$E$302,2,FALSE)</f>
        <v>0</v>
      </c>
      <c r="AC83" s="68">
        <f>Q83*VLOOKUP($F83,'Emission Factors 2'!$A$2:$E$302,2,FALSE)</f>
        <v>0</v>
      </c>
      <c r="AD83" s="68">
        <f>R83*VLOOKUP($F83,'Emission Factors 2'!$A$2:$E$302,2,FALSE)</f>
        <v>0</v>
      </c>
      <c r="AE83" s="68">
        <f>S83*VLOOKUP($F83,'Emission Factors 2'!$A$2:$E$302,2,FALSE)</f>
        <v>0</v>
      </c>
      <c r="AF83" s="19">
        <f t="shared" si="6"/>
        <v>0</v>
      </c>
      <c r="AG83" s="31"/>
      <c r="AH83" s="31"/>
      <c r="AI83" s="31"/>
      <c r="AJ83" s="31"/>
    </row>
    <row r="84" spans="1:36" ht="21.95" customHeight="1" outlineLevel="1" x14ac:dyDescent="0.25">
      <c r="A84" s="135"/>
      <c r="B84" s="105"/>
      <c r="C84" s="29"/>
      <c r="D84" s="27" t="s">
        <v>316</v>
      </c>
      <c r="E84" s="82" t="str">
        <f>'Index Formatting'!$I$17</f>
        <v>M</v>
      </c>
      <c r="F84" s="7" t="s">
        <v>317</v>
      </c>
      <c r="G84" s="15" t="s">
        <v>295</v>
      </c>
      <c r="H84" s="67"/>
      <c r="I84" s="67"/>
      <c r="J84" s="67"/>
      <c r="K84" s="67"/>
      <c r="L84" s="67"/>
      <c r="M84" s="67"/>
      <c r="N84" s="67"/>
      <c r="O84" s="67"/>
      <c r="P84" s="67"/>
      <c r="Q84" s="67"/>
      <c r="R84" s="67"/>
      <c r="S84" s="67"/>
      <c r="T84" s="68">
        <f>H84*VLOOKUP($F84,'Emission Factors 2'!$A$2:$E$302,2,FALSE)</f>
        <v>0</v>
      </c>
      <c r="U84" s="68">
        <f>I84*VLOOKUP($F84,'Emission Factors 2'!$A$2:$E$302,2,FALSE)</f>
        <v>0</v>
      </c>
      <c r="V84" s="68">
        <f>J84*VLOOKUP($F84,'Emission Factors 2'!$A$2:$E$302,2,FALSE)</f>
        <v>0</v>
      </c>
      <c r="W84" s="68">
        <f>K84*VLOOKUP($F84,'Emission Factors 2'!$A$2:$E$302,2,FALSE)</f>
        <v>0</v>
      </c>
      <c r="X84" s="68">
        <f>L84*VLOOKUP($F84,'Emission Factors 2'!$A$2:$E$302,2,FALSE)</f>
        <v>0</v>
      </c>
      <c r="Y84" s="68">
        <f>M84*VLOOKUP($F84,'Emission Factors 2'!$A$2:$E$302,2,FALSE)</f>
        <v>0</v>
      </c>
      <c r="Z84" s="68">
        <f>N84*VLOOKUP($F84,'Emission Factors 2'!$A$2:$E$302,2,FALSE)</f>
        <v>0</v>
      </c>
      <c r="AA84" s="68">
        <f>O84*VLOOKUP($F84,'Emission Factors 2'!$A$2:$E$302,2,FALSE)</f>
        <v>0</v>
      </c>
      <c r="AB84" s="68">
        <f>P84*VLOOKUP($F84,'Emission Factors 2'!$A$2:$E$302,2,FALSE)</f>
        <v>0</v>
      </c>
      <c r="AC84" s="68">
        <f>Q84*VLOOKUP($F84,'Emission Factors 2'!$A$2:$E$302,2,FALSE)</f>
        <v>0</v>
      </c>
      <c r="AD84" s="68">
        <f>R84*VLOOKUP($F84,'Emission Factors 2'!$A$2:$E$302,2,FALSE)</f>
        <v>0</v>
      </c>
      <c r="AE84" s="68">
        <f>S84*VLOOKUP($F84,'Emission Factors 2'!$A$2:$E$302,2,FALSE)</f>
        <v>0</v>
      </c>
      <c r="AF84" s="19">
        <f t="shared" si="6"/>
        <v>0</v>
      </c>
      <c r="AG84" s="31"/>
      <c r="AH84" s="31"/>
      <c r="AI84" s="31"/>
      <c r="AJ84" s="31"/>
    </row>
    <row r="85" spans="1:36" ht="21.95" customHeight="1" outlineLevel="1" x14ac:dyDescent="0.25">
      <c r="A85" s="135"/>
      <c r="B85" s="105"/>
      <c r="C85" s="29"/>
      <c r="D85" s="27" t="s">
        <v>316</v>
      </c>
      <c r="E85" s="82" t="str">
        <f>'Index Formatting'!$I$17</f>
        <v>M</v>
      </c>
      <c r="F85" s="7" t="s">
        <v>318</v>
      </c>
      <c r="G85" s="15" t="s">
        <v>295</v>
      </c>
      <c r="H85" s="67"/>
      <c r="I85" s="67"/>
      <c r="J85" s="67"/>
      <c r="K85" s="67"/>
      <c r="L85" s="67"/>
      <c r="M85" s="67"/>
      <c r="N85" s="67"/>
      <c r="O85" s="67"/>
      <c r="P85" s="67"/>
      <c r="Q85" s="67"/>
      <c r="R85" s="67"/>
      <c r="S85" s="67"/>
      <c r="T85" s="68">
        <f>H85*VLOOKUP($F85,'Emission Factors 2'!$A$2:$E$302,2,FALSE)</f>
        <v>0</v>
      </c>
      <c r="U85" s="68">
        <f>I85*VLOOKUP($F85,'Emission Factors 2'!$A$2:$E$302,2,FALSE)</f>
        <v>0</v>
      </c>
      <c r="V85" s="68">
        <f>J85*VLOOKUP($F85,'Emission Factors 2'!$A$2:$E$302,2,FALSE)</f>
        <v>0</v>
      </c>
      <c r="W85" s="68">
        <f>K85*VLOOKUP($F85,'Emission Factors 2'!$A$2:$E$302,2,FALSE)</f>
        <v>0</v>
      </c>
      <c r="X85" s="68">
        <f>L85*VLOOKUP($F85,'Emission Factors 2'!$A$2:$E$302,2,FALSE)</f>
        <v>0</v>
      </c>
      <c r="Y85" s="68">
        <f>M85*VLOOKUP($F85,'Emission Factors 2'!$A$2:$E$302,2,FALSE)</f>
        <v>0</v>
      </c>
      <c r="Z85" s="68">
        <f>N85*VLOOKUP($F85,'Emission Factors 2'!$A$2:$E$302,2,FALSE)</f>
        <v>0</v>
      </c>
      <c r="AA85" s="68">
        <f>O85*VLOOKUP($F85,'Emission Factors 2'!$A$2:$E$302,2,FALSE)</f>
        <v>0</v>
      </c>
      <c r="AB85" s="68">
        <f>P85*VLOOKUP($F85,'Emission Factors 2'!$A$2:$E$302,2,FALSE)</f>
        <v>0</v>
      </c>
      <c r="AC85" s="68">
        <f>Q85*VLOOKUP($F85,'Emission Factors 2'!$A$2:$E$302,2,FALSE)</f>
        <v>0</v>
      </c>
      <c r="AD85" s="68">
        <f>R85*VLOOKUP($F85,'Emission Factors 2'!$A$2:$E$302,2,FALSE)</f>
        <v>0</v>
      </c>
      <c r="AE85" s="68">
        <f>S85*VLOOKUP($F85,'Emission Factors 2'!$A$2:$E$302,2,FALSE)</f>
        <v>0</v>
      </c>
      <c r="AF85" s="19">
        <f t="shared" si="6"/>
        <v>0</v>
      </c>
      <c r="AG85" s="31"/>
      <c r="AH85" s="31"/>
      <c r="AI85" s="31"/>
      <c r="AJ85" s="31"/>
    </row>
    <row r="86" spans="1:36" ht="21.95" customHeight="1" outlineLevel="1" x14ac:dyDescent="0.25">
      <c r="A86" s="135"/>
      <c r="B86" s="105"/>
      <c r="C86" s="29"/>
      <c r="D86" s="27" t="s">
        <v>316</v>
      </c>
      <c r="E86" s="82" t="str">
        <f>'Index Formatting'!$I$17</f>
        <v>M</v>
      </c>
      <c r="F86" s="7" t="s">
        <v>319</v>
      </c>
      <c r="G86" s="15" t="s">
        <v>295</v>
      </c>
      <c r="H86" s="67"/>
      <c r="I86" s="67"/>
      <c r="J86" s="67"/>
      <c r="K86" s="67"/>
      <c r="L86" s="67"/>
      <c r="M86" s="67"/>
      <c r="N86" s="67"/>
      <c r="O86" s="67"/>
      <c r="P86" s="67"/>
      <c r="Q86" s="67"/>
      <c r="R86" s="67"/>
      <c r="S86" s="67"/>
      <c r="T86" s="68">
        <f>H86*VLOOKUP($F86,'Emission Factors 2'!$A$2:$E$302,2,FALSE)</f>
        <v>0</v>
      </c>
      <c r="U86" s="68">
        <f>I86*VLOOKUP($F86,'Emission Factors 2'!$A$2:$E$302,2,FALSE)</f>
        <v>0</v>
      </c>
      <c r="V86" s="68">
        <f>J86*VLOOKUP($F86,'Emission Factors 2'!$A$2:$E$302,2,FALSE)</f>
        <v>0</v>
      </c>
      <c r="W86" s="68">
        <f>K86*VLOOKUP($F86,'Emission Factors 2'!$A$2:$E$302,2,FALSE)</f>
        <v>0</v>
      </c>
      <c r="X86" s="68">
        <f>L86*VLOOKUP($F86,'Emission Factors 2'!$A$2:$E$302,2,FALSE)</f>
        <v>0</v>
      </c>
      <c r="Y86" s="68">
        <f>M86*VLOOKUP($F86,'Emission Factors 2'!$A$2:$E$302,2,FALSE)</f>
        <v>0</v>
      </c>
      <c r="Z86" s="68">
        <f>N86*VLOOKUP($F86,'Emission Factors 2'!$A$2:$E$302,2,FALSE)</f>
        <v>0</v>
      </c>
      <c r="AA86" s="68">
        <f>O86*VLOOKUP($F86,'Emission Factors 2'!$A$2:$E$302,2,FALSE)</f>
        <v>0</v>
      </c>
      <c r="AB86" s="68">
        <f>P86*VLOOKUP($F86,'Emission Factors 2'!$A$2:$E$302,2,FALSE)</f>
        <v>0</v>
      </c>
      <c r="AC86" s="68">
        <f>Q86*VLOOKUP($F86,'Emission Factors 2'!$A$2:$E$302,2,FALSE)</f>
        <v>0</v>
      </c>
      <c r="AD86" s="68">
        <f>R86*VLOOKUP($F86,'Emission Factors 2'!$A$2:$E$302,2,FALSE)</f>
        <v>0</v>
      </c>
      <c r="AE86" s="68">
        <f>S86*VLOOKUP($F86,'Emission Factors 2'!$A$2:$E$302,2,FALSE)</f>
        <v>0</v>
      </c>
      <c r="AF86" s="19">
        <f t="shared" si="6"/>
        <v>0</v>
      </c>
      <c r="AG86" s="31"/>
      <c r="AH86" s="31"/>
      <c r="AI86" s="31"/>
      <c r="AJ86" s="31"/>
    </row>
    <row r="87" spans="1:36" ht="21.95" customHeight="1" outlineLevel="1" x14ac:dyDescent="0.25">
      <c r="A87" s="135"/>
      <c r="B87" s="105"/>
      <c r="C87" s="29"/>
      <c r="D87" s="27" t="s">
        <v>320</v>
      </c>
      <c r="E87" s="82" t="str">
        <f>'Index Formatting'!$I$17</f>
        <v>M</v>
      </c>
      <c r="F87" s="7" t="s">
        <v>321</v>
      </c>
      <c r="G87" s="15" t="s">
        <v>322</v>
      </c>
      <c r="H87" s="67"/>
      <c r="I87" s="67"/>
      <c r="J87" s="67"/>
      <c r="K87" s="67"/>
      <c r="L87" s="67"/>
      <c r="M87" s="67"/>
      <c r="N87" s="67"/>
      <c r="O87" s="67"/>
      <c r="P87" s="67"/>
      <c r="Q87" s="67"/>
      <c r="R87" s="67"/>
      <c r="S87" s="67"/>
      <c r="T87" s="68">
        <f>H87*VLOOKUP($F87,'Emission Factors 2'!$A$2:$E$302,2,FALSE)</f>
        <v>0</v>
      </c>
      <c r="U87" s="68">
        <f>I87*VLOOKUP($F87,'Emission Factors 2'!$A$2:$E$302,2,FALSE)</f>
        <v>0</v>
      </c>
      <c r="V87" s="68">
        <f>J87*VLOOKUP($F87,'Emission Factors 2'!$A$2:$E$302,2,FALSE)</f>
        <v>0</v>
      </c>
      <c r="W87" s="68">
        <f>K87*VLOOKUP($F87,'Emission Factors 2'!$A$2:$E$302,2,FALSE)</f>
        <v>0</v>
      </c>
      <c r="X87" s="68">
        <f>L87*VLOOKUP($F87,'Emission Factors 2'!$A$2:$E$302,2,FALSE)</f>
        <v>0</v>
      </c>
      <c r="Y87" s="68">
        <f>M87*VLOOKUP($F87,'Emission Factors 2'!$A$2:$E$302,2,FALSE)</f>
        <v>0</v>
      </c>
      <c r="Z87" s="68">
        <f>N87*VLOOKUP($F87,'Emission Factors 2'!$A$2:$E$302,2,FALSE)</f>
        <v>0</v>
      </c>
      <c r="AA87" s="68">
        <f>O87*VLOOKUP($F87,'Emission Factors 2'!$A$2:$E$302,2,FALSE)</f>
        <v>0</v>
      </c>
      <c r="AB87" s="68">
        <f>P87*VLOOKUP($F87,'Emission Factors 2'!$A$2:$E$302,2,FALSE)</f>
        <v>0</v>
      </c>
      <c r="AC87" s="68">
        <f>Q87*VLOOKUP($F87,'Emission Factors 2'!$A$2:$E$302,2,FALSE)</f>
        <v>0</v>
      </c>
      <c r="AD87" s="68">
        <f>R87*VLOOKUP($F87,'Emission Factors 2'!$A$2:$E$302,2,FALSE)</f>
        <v>0</v>
      </c>
      <c r="AE87" s="68">
        <f>S87*VLOOKUP($F87,'Emission Factors 2'!$A$2:$E$302,2,FALSE)</f>
        <v>0</v>
      </c>
      <c r="AF87" s="19">
        <f t="shared" si="6"/>
        <v>0</v>
      </c>
      <c r="AG87" s="31"/>
      <c r="AH87" s="31"/>
      <c r="AI87" s="31"/>
      <c r="AJ87" s="31"/>
    </row>
    <row r="88" spans="1:36" ht="21.95" customHeight="1" outlineLevel="1" x14ac:dyDescent="0.25">
      <c r="A88" s="136"/>
      <c r="B88" s="106"/>
      <c r="C88" s="29"/>
      <c r="D88" s="27" t="s">
        <v>320</v>
      </c>
      <c r="E88" s="82" t="str">
        <f>'Index Formatting'!$I$17</f>
        <v>M</v>
      </c>
      <c r="F88" s="7" t="s">
        <v>323</v>
      </c>
      <c r="G88" s="15" t="s">
        <v>322</v>
      </c>
      <c r="H88" s="67"/>
      <c r="I88" s="67"/>
      <c r="J88" s="67"/>
      <c r="K88" s="67"/>
      <c r="L88" s="67"/>
      <c r="M88" s="67"/>
      <c r="N88" s="67"/>
      <c r="O88" s="67"/>
      <c r="P88" s="67"/>
      <c r="Q88" s="67"/>
      <c r="R88" s="67"/>
      <c r="S88" s="67"/>
      <c r="T88" s="68">
        <f>H88*VLOOKUP($F88,'Emission Factors 2'!$A$2:$E$302,2,FALSE)</f>
        <v>0</v>
      </c>
      <c r="U88" s="68">
        <f>I88*VLOOKUP($F88,'Emission Factors 2'!$A$2:$E$302,2,FALSE)</f>
        <v>0</v>
      </c>
      <c r="V88" s="68">
        <f>J88*VLOOKUP($F88,'Emission Factors 2'!$A$2:$E$302,2,FALSE)</f>
        <v>0</v>
      </c>
      <c r="W88" s="68">
        <f>K88*VLOOKUP($F88,'Emission Factors 2'!$A$2:$E$302,2,FALSE)</f>
        <v>0</v>
      </c>
      <c r="X88" s="68">
        <f>L88*VLOOKUP($F88,'Emission Factors 2'!$A$2:$E$302,2,FALSE)</f>
        <v>0</v>
      </c>
      <c r="Y88" s="68">
        <f>M88*VLOOKUP($F88,'Emission Factors 2'!$A$2:$E$302,2,FALSE)</f>
        <v>0</v>
      </c>
      <c r="Z88" s="68">
        <f>N88*VLOOKUP($F88,'Emission Factors 2'!$A$2:$E$302,2,FALSE)</f>
        <v>0</v>
      </c>
      <c r="AA88" s="68">
        <f>O88*VLOOKUP($F88,'Emission Factors 2'!$A$2:$E$302,2,FALSE)</f>
        <v>0</v>
      </c>
      <c r="AB88" s="68">
        <f>P88*VLOOKUP($F88,'Emission Factors 2'!$A$2:$E$302,2,FALSE)</f>
        <v>0</v>
      </c>
      <c r="AC88" s="68">
        <f>Q88*VLOOKUP($F88,'Emission Factors 2'!$A$2:$E$302,2,FALSE)</f>
        <v>0</v>
      </c>
      <c r="AD88" s="68">
        <f>R88*VLOOKUP($F88,'Emission Factors 2'!$A$2:$E$302,2,FALSE)</f>
        <v>0</v>
      </c>
      <c r="AE88" s="68">
        <f>S88*VLOOKUP($F88,'Emission Factors 2'!$A$2:$E$302,2,FALSE)</f>
        <v>0</v>
      </c>
      <c r="AF88" s="19">
        <f t="shared" si="6"/>
        <v>0</v>
      </c>
      <c r="AG88" s="31"/>
      <c r="AH88" s="31"/>
      <c r="AI88" s="31"/>
      <c r="AJ88" s="31"/>
    </row>
    <row r="89" spans="1:36" ht="21.95" customHeight="1" x14ac:dyDescent="0.25">
      <c r="A89" s="130" t="str">
        <f>IF(COUNTIF(E90:E102,"M"),"Drainage - Third Order", "Drainage - Third Order (Optional)")</f>
        <v>Drainage - Third Order (Optional)</v>
      </c>
      <c r="B89" s="131"/>
      <c r="C89" s="131"/>
      <c r="D89" s="131"/>
      <c r="E89" s="131"/>
      <c r="F89" s="131"/>
      <c r="G89" s="132"/>
      <c r="H89" s="137"/>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9">
        <f>SUM(AF90:AF102)</f>
        <v>0</v>
      </c>
      <c r="AG89" s="31"/>
      <c r="AH89" s="31"/>
      <c r="AI89" s="31"/>
      <c r="AJ89" s="31"/>
    </row>
    <row r="90" spans="1:36" ht="21.95" customHeight="1" outlineLevel="1" x14ac:dyDescent="0.25">
      <c r="A90" s="101">
        <v>6</v>
      </c>
      <c r="B90" s="104" t="s">
        <v>279</v>
      </c>
      <c r="C90" s="29"/>
      <c r="D90" s="27" t="s">
        <v>325</v>
      </c>
      <c r="E90" s="82" t="str">
        <f>'Index Formatting'!$I$18</f>
        <v>O</v>
      </c>
      <c r="F90" s="7" t="s">
        <v>326</v>
      </c>
      <c r="G90" s="15" t="s">
        <v>82</v>
      </c>
      <c r="H90" s="67"/>
      <c r="I90" s="67"/>
      <c r="J90" s="67"/>
      <c r="K90" s="67"/>
      <c r="L90" s="67"/>
      <c r="M90" s="67"/>
      <c r="N90" s="67"/>
      <c r="O90" s="67"/>
      <c r="P90" s="67"/>
      <c r="Q90" s="67"/>
      <c r="R90" s="67"/>
      <c r="S90" s="67"/>
      <c r="T90" s="68">
        <f>H90*VLOOKUP($F90,'Emission Factors 2'!$A$2:$E$302,2,FALSE)</f>
        <v>0</v>
      </c>
      <c r="U90" s="68">
        <f>I90*VLOOKUP($F90,'Emission Factors 2'!$A$2:$E$302,2,FALSE)</f>
        <v>0</v>
      </c>
      <c r="V90" s="68">
        <f>J90*VLOOKUP($F90,'Emission Factors 2'!$A$2:$E$302,2,FALSE)</f>
        <v>0</v>
      </c>
      <c r="W90" s="68">
        <f>K90*VLOOKUP($F90,'Emission Factors 2'!$A$2:$E$302,2,FALSE)</f>
        <v>0</v>
      </c>
      <c r="X90" s="68">
        <f>L90*VLOOKUP($F90,'Emission Factors 2'!$A$2:$E$302,2,FALSE)</f>
        <v>0</v>
      </c>
      <c r="Y90" s="68">
        <f>M90*VLOOKUP($F90,'Emission Factors 2'!$A$2:$E$302,2,FALSE)</f>
        <v>0</v>
      </c>
      <c r="Z90" s="68">
        <f>N90*VLOOKUP($F90,'Emission Factors 2'!$A$2:$E$302,2,FALSE)</f>
        <v>0</v>
      </c>
      <c r="AA90" s="68">
        <f>O90*VLOOKUP($F90,'Emission Factors 2'!$A$2:$E$302,2,FALSE)</f>
        <v>0</v>
      </c>
      <c r="AB90" s="68">
        <f>P90*VLOOKUP($F90,'Emission Factors 2'!$A$2:$E$302,2,FALSE)</f>
        <v>0</v>
      </c>
      <c r="AC90" s="68">
        <f>Q90*VLOOKUP($F90,'Emission Factors 2'!$A$2:$E$302,2,FALSE)</f>
        <v>0</v>
      </c>
      <c r="AD90" s="68">
        <f>R90*VLOOKUP($F90,'Emission Factors 2'!$A$2:$E$302,2,FALSE)</f>
        <v>0</v>
      </c>
      <c r="AE90" s="68">
        <f>S90*VLOOKUP($F90,'Emission Factors 2'!$A$2:$E$302,2,FALSE)</f>
        <v>0</v>
      </c>
      <c r="AF90" s="19">
        <f t="shared" si="6"/>
        <v>0</v>
      </c>
      <c r="AG90" s="31"/>
      <c r="AH90" s="31"/>
      <c r="AI90" s="31"/>
      <c r="AJ90" s="31"/>
    </row>
    <row r="91" spans="1:36" ht="21.95" customHeight="1" outlineLevel="1" x14ac:dyDescent="0.25">
      <c r="A91" s="102"/>
      <c r="B91" s="105"/>
      <c r="C91" s="29"/>
      <c r="D91" s="27" t="s">
        <v>325</v>
      </c>
      <c r="E91" s="82" t="str">
        <f>'Index Formatting'!$I$18</f>
        <v>O</v>
      </c>
      <c r="F91" s="7" t="s">
        <v>327</v>
      </c>
      <c r="G91" s="15" t="s">
        <v>82</v>
      </c>
      <c r="H91" s="67"/>
      <c r="I91" s="67"/>
      <c r="J91" s="67"/>
      <c r="K91" s="67"/>
      <c r="L91" s="67"/>
      <c r="M91" s="67"/>
      <c r="N91" s="67"/>
      <c r="O91" s="67"/>
      <c r="P91" s="67"/>
      <c r="Q91" s="67"/>
      <c r="R91" s="67"/>
      <c r="S91" s="67"/>
      <c r="T91" s="68">
        <f>H91*VLOOKUP($F91,'Emission Factors 2'!$A$2:$E$302,2,FALSE)</f>
        <v>0</v>
      </c>
      <c r="U91" s="68">
        <f>I91*VLOOKUP($F91,'Emission Factors 2'!$A$2:$E$302,2,FALSE)</f>
        <v>0</v>
      </c>
      <c r="V91" s="68">
        <f>J91*VLOOKUP($F91,'Emission Factors 2'!$A$2:$E$302,2,FALSE)</f>
        <v>0</v>
      </c>
      <c r="W91" s="68">
        <f>K91*VLOOKUP($F91,'Emission Factors 2'!$A$2:$E$302,2,FALSE)</f>
        <v>0</v>
      </c>
      <c r="X91" s="68">
        <f>L91*VLOOKUP($F91,'Emission Factors 2'!$A$2:$E$302,2,FALSE)</f>
        <v>0</v>
      </c>
      <c r="Y91" s="68">
        <f>M91*VLOOKUP($F91,'Emission Factors 2'!$A$2:$E$302,2,FALSE)</f>
        <v>0</v>
      </c>
      <c r="Z91" s="68">
        <f>N91*VLOOKUP($F91,'Emission Factors 2'!$A$2:$E$302,2,FALSE)</f>
        <v>0</v>
      </c>
      <c r="AA91" s="68">
        <f>O91*VLOOKUP($F91,'Emission Factors 2'!$A$2:$E$302,2,FALSE)</f>
        <v>0</v>
      </c>
      <c r="AB91" s="68">
        <f>P91*VLOOKUP($F91,'Emission Factors 2'!$A$2:$E$302,2,FALSE)</f>
        <v>0</v>
      </c>
      <c r="AC91" s="68">
        <f>Q91*VLOOKUP($F91,'Emission Factors 2'!$A$2:$E$302,2,FALSE)</f>
        <v>0</v>
      </c>
      <c r="AD91" s="68">
        <f>R91*VLOOKUP($F91,'Emission Factors 2'!$A$2:$E$302,2,FALSE)</f>
        <v>0</v>
      </c>
      <c r="AE91" s="68">
        <f>S91*VLOOKUP($F91,'Emission Factors 2'!$A$2:$E$302,2,FALSE)</f>
        <v>0</v>
      </c>
      <c r="AF91" s="19">
        <f t="shared" si="6"/>
        <v>0</v>
      </c>
      <c r="AG91" s="31"/>
      <c r="AH91" s="31"/>
      <c r="AI91" s="31"/>
      <c r="AJ91" s="31"/>
    </row>
    <row r="92" spans="1:36" ht="21.95" customHeight="1" outlineLevel="1" x14ac:dyDescent="0.25">
      <c r="A92" s="102"/>
      <c r="B92" s="105"/>
      <c r="C92" s="29"/>
      <c r="D92" s="27" t="s">
        <v>325</v>
      </c>
      <c r="E92" s="82" t="str">
        <f>'Index Formatting'!$I$18</f>
        <v>O</v>
      </c>
      <c r="F92" s="7" t="s">
        <v>328</v>
      </c>
      <c r="G92" s="15" t="s">
        <v>82</v>
      </c>
      <c r="H92" s="67"/>
      <c r="I92" s="67"/>
      <c r="J92" s="67"/>
      <c r="K92" s="67"/>
      <c r="L92" s="67"/>
      <c r="M92" s="67"/>
      <c r="N92" s="67"/>
      <c r="O92" s="67"/>
      <c r="P92" s="67"/>
      <c r="Q92" s="67"/>
      <c r="R92" s="67"/>
      <c r="S92" s="67"/>
      <c r="T92" s="68">
        <f>H92*VLOOKUP($F92,'Emission Factors 2'!$A$2:$E$302,2,FALSE)</f>
        <v>0</v>
      </c>
      <c r="U92" s="68">
        <f>I92*VLOOKUP($F92,'Emission Factors 2'!$A$2:$E$302,2,FALSE)</f>
        <v>0</v>
      </c>
      <c r="V92" s="68">
        <f>J92*VLOOKUP($F92,'Emission Factors 2'!$A$2:$E$302,2,FALSE)</f>
        <v>0</v>
      </c>
      <c r="W92" s="68">
        <f>K92*VLOOKUP($F92,'Emission Factors 2'!$A$2:$E$302,2,FALSE)</f>
        <v>0</v>
      </c>
      <c r="X92" s="68">
        <f>L92*VLOOKUP($F92,'Emission Factors 2'!$A$2:$E$302,2,FALSE)</f>
        <v>0</v>
      </c>
      <c r="Y92" s="68">
        <f>M92*VLOOKUP($F92,'Emission Factors 2'!$A$2:$E$302,2,FALSE)</f>
        <v>0</v>
      </c>
      <c r="Z92" s="68">
        <f>N92*VLOOKUP($F92,'Emission Factors 2'!$A$2:$E$302,2,FALSE)</f>
        <v>0</v>
      </c>
      <c r="AA92" s="68">
        <f>O92*VLOOKUP($F92,'Emission Factors 2'!$A$2:$E$302,2,FALSE)</f>
        <v>0</v>
      </c>
      <c r="AB92" s="68">
        <f>P92*VLOOKUP($F92,'Emission Factors 2'!$A$2:$E$302,2,FALSE)</f>
        <v>0</v>
      </c>
      <c r="AC92" s="68">
        <f>Q92*VLOOKUP($F92,'Emission Factors 2'!$A$2:$E$302,2,FALSE)</f>
        <v>0</v>
      </c>
      <c r="AD92" s="68">
        <f>R92*VLOOKUP($F92,'Emission Factors 2'!$A$2:$E$302,2,FALSE)</f>
        <v>0</v>
      </c>
      <c r="AE92" s="68">
        <f>S92*VLOOKUP($F92,'Emission Factors 2'!$A$2:$E$302,2,FALSE)</f>
        <v>0</v>
      </c>
      <c r="AF92" s="19">
        <f t="shared" si="6"/>
        <v>0</v>
      </c>
      <c r="AG92" s="31"/>
      <c r="AH92" s="31"/>
      <c r="AI92" s="31"/>
      <c r="AJ92" s="31"/>
    </row>
    <row r="93" spans="1:36" ht="21.95" customHeight="1" outlineLevel="1" x14ac:dyDescent="0.25">
      <c r="A93" s="102"/>
      <c r="B93" s="105"/>
      <c r="C93" s="29"/>
      <c r="D93" s="27" t="s">
        <v>325</v>
      </c>
      <c r="E93" s="82" t="str">
        <f>'Index Formatting'!$I$18</f>
        <v>O</v>
      </c>
      <c r="F93" s="7" t="s">
        <v>329</v>
      </c>
      <c r="G93" s="15" t="s">
        <v>82</v>
      </c>
      <c r="H93" s="67"/>
      <c r="I93" s="67"/>
      <c r="J93" s="67"/>
      <c r="K93" s="67"/>
      <c r="L93" s="67"/>
      <c r="M93" s="67"/>
      <c r="N93" s="67"/>
      <c r="O93" s="67"/>
      <c r="P93" s="67"/>
      <c r="Q93" s="67"/>
      <c r="R93" s="67"/>
      <c r="S93" s="67"/>
      <c r="T93" s="68">
        <f>H93*VLOOKUP($F93,'Emission Factors 2'!$A$2:$E$302,2,FALSE)</f>
        <v>0</v>
      </c>
      <c r="U93" s="68">
        <f>I93*VLOOKUP($F93,'Emission Factors 2'!$A$2:$E$302,2,FALSE)</f>
        <v>0</v>
      </c>
      <c r="V93" s="68">
        <f>J93*VLOOKUP($F93,'Emission Factors 2'!$A$2:$E$302,2,FALSE)</f>
        <v>0</v>
      </c>
      <c r="W93" s="68">
        <f>K93*VLOOKUP($F93,'Emission Factors 2'!$A$2:$E$302,2,FALSE)</f>
        <v>0</v>
      </c>
      <c r="X93" s="68">
        <f>L93*VLOOKUP($F93,'Emission Factors 2'!$A$2:$E$302,2,FALSE)</f>
        <v>0</v>
      </c>
      <c r="Y93" s="68">
        <f>M93*VLOOKUP($F93,'Emission Factors 2'!$A$2:$E$302,2,FALSE)</f>
        <v>0</v>
      </c>
      <c r="Z93" s="68">
        <f>N93*VLOOKUP($F93,'Emission Factors 2'!$A$2:$E$302,2,FALSE)</f>
        <v>0</v>
      </c>
      <c r="AA93" s="68">
        <f>O93*VLOOKUP($F93,'Emission Factors 2'!$A$2:$E$302,2,FALSE)</f>
        <v>0</v>
      </c>
      <c r="AB93" s="68">
        <f>P93*VLOOKUP($F93,'Emission Factors 2'!$A$2:$E$302,2,FALSE)</f>
        <v>0</v>
      </c>
      <c r="AC93" s="68">
        <f>Q93*VLOOKUP($F93,'Emission Factors 2'!$A$2:$E$302,2,FALSE)</f>
        <v>0</v>
      </c>
      <c r="AD93" s="68">
        <f>R93*VLOOKUP($F93,'Emission Factors 2'!$A$2:$E$302,2,FALSE)</f>
        <v>0</v>
      </c>
      <c r="AE93" s="68">
        <f>S93*VLOOKUP($F93,'Emission Factors 2'!$A$2:$E$302,2,FALSE)</f>
        <v>0</v>
      </c>
      <c r="AF93" s="19">
        <f t="shared" si="6"/>
        <v>0</v>
      </c>
      <c r="AG93" s="31"/>
      <c r="AH93" s="31"/>
      <c r="AI93" s="31"/>
      <c r="AJ93" s="31"/>
    </row>
    <row r="94" spans="1:36" ht="21.95" customHeight="1" outlineLevel="1" x14ac:dyDescent="0.25">
      <c r="A94" s="102"/>
      <c r="B94" s="105"/>
      <c r="C94" s="29"/>
      <c r="D94" s="27" t="s">
        <v>325</v>
      </c>
      <c r="E94" s="82" t="str">
        <f>'Index Formatting'!$I$18</f>
        <v>O</v>
      </c>
      <c r="F94" s="7" t="s">
        <v>330</v>
      </c>
      <c r="G94" s="15" t="s">
        <v>82</v>
      </c>
      <c r="H94" s="67"/>
      <c r="I94" s="67"/>
      <c r="J94" s="67"/>
      <c r="K94" s="67"/>
      <c r="L94" s="67"/>
      <c r="M94" s="67"/>
      <c r="N94" s="67"/>
      <c r="O94" s="67"/>
      <c r="P94" s="67"/>
      <c r="Q94" s="67"/>
      <c r="R94" s="67"/>
      <c r="S94" s="67"/>
      <c r="T94" s="68">
        <f>H94*VLOOKUP($F94,'Emission Factors 2'!$A$2:$E$302,2,FALSE)</f>
        <v>0</v>
      </c>
      <c r="U94" s="68">
        <f>I94*VLOOKUP($F94,'Emission Factors 2'!$A$2:$E$302,2,FALSE)</f>
        <v>0</v>
      </c>
      <c r="V94" s="68">
        <f>J94*VLOOKUP($F94,'Emission Factors 2'!$A$2:$E$302,2,FALSE)</f>
        <v>0</v>
      </c>
      <c r="W94" s="68">
        <f>K94*VLOOKUP($F94,'Emission Factors 2'!$A$2:$E$302,2,FALSE)</f>
        <v>0</v>
      </c>
      <c r="X94" s="68">
        <f>L94*VLOOKUP($F94,'Emission Factors 2'!$A$2:$E$302,2,FALSE)</f>
        <v>0</v>
      </c>
      <c r="Y94" s="68">
        <f>M94*VLOOKUP($F94,'Emission Factors 2'!$A$2:$E$302,2,FALSE)</f>
        <v>0</v>
      </c>
      <c r="Z94" s="68">
        <f>N94*VLOOKUP($F94,'Emission Factors 2'!$A$2:$E$302,2,FALSE)</f>
        <v>0</v>
      </c>
      <c r="AA94" s="68">
        <f>O94*VLOOKUP($F94,'Emission Factors 2'!$A$2:$E$302,2,FALSE)</f>
        <v>0</v>
      </c>
      <c r="AB94" s="68">
        <f>P94*VLOOKUP($F94,'Emission Factors 2'!$A$2:$E$302,2,FALSE)</f>
        <v>0</v>
      </c>
      <c r="AC94" s="68">
        <f>Q94*VLOOKUP($F94,'Emission Factors 2'!$A$2:$E$302,2,FALSE)</f>
        <v>0</v>
      </c>
      <c r="AD94" s="68">
        <f>R94*VLOOKUP($F94,'Emission Factors 2'!$A$2:$E$302,2,FALSE)</f>
        <v>0</v>
      </c>
      <c r="AE94" s="68">
        <f>S94*VLOOKUP($F94,'Emission Factors 2'!$A$2:$E$302,2,FALSE)</f>
        <v>0</v>
      </c>
      <c r="AF94" s="19">
        <f t="shared" si="6"/>
        <v>0</v>
      </c>
      <c r="AG94" s="31"/>
      <c r="AH94" s="31"/>
      <c r="AI94" s="31"/>
      <c r="AJ94" s="31"/>
    </row>
    <row r="95" spans="1:36" ht="21.95" customHeight="1" outlineLevel="1" x14ac:dyDescent="0.25">
      <c r="A95" s="102"/>
      <c r="B95" s="105"/>
      <c r="C95" s="29"/>
      <c r="D95" s="27" t="s">
        <v>325</v>
      </c>
      <c r="E95" s="82" t="str">
        <f>'Index Formatting'!$I$18</f>
        <v>O</v>
      </c>
      <c r="F95" s="7" t="s">
        <v>331</v>
      </c>
      <c r="G95" s="15" t="s">
        <v>82</v>
      </c>
      <c r="H95" s="67"/>
      <c r="I95" s="67"/>
      <c r="J95" s="67"/>
      <c r="K95" s="67"/>
      <c r="L95" s="67"/>
      <c r="M95" s="67"/>
      <c r="N95" s="67"/>
      <c r="O95" s="67"/>
      <c r="P95" s="67"/>
      <c r="Q95" s="67"/>
      <c r="R95" s="67"/>
      <c r="S95" s="67"/>
      <c r="T95" s="68">
        <f>H95*VLOOKUP($F95,'Emission Factors 2'!$A$2:$E$302,2,FALSE)</f>
        <v>0</v>
      </c>
      <c r="U95" s="68">
        <f>I95*VLOOKUP($F95,'Emission Factors 2'!$A$2:$E$302,2,FALSE)</f>
        <v>0</v>
      </c>
      <c r="V95" s="68">
        <f>J95*VLOOKUP($F95,'Emission Factors 2'!$A$2:$E$302,2,FALSE)</f>
        <v>0</v>
      </c>
      <c r="W95" s="68">
        <f>K95*VLOOKUP($F95,'Emission Factors 2'!$A$2:$E$302,2,FALSE)</f>
        <v>0</v>
      </c>
      <c r="X95" s="68">
        <f>L95*VLOOKUP($F95,'Emission Factors 2'!$A$2:$E$302,2,FALSE)</f>
        <v>0</v>
      </c>
      <c r="Y95" s="68">
        <f>M95*VLOOKUP($F95,'Emission Factors 2'!$A$2:$E$302,2,FALSE)</f>
        <v>0</v>
      </c>
      <c r="Z95" s="68">
        <f>N95*VLOOKUP($F95,'Emission Factors 2'!$A$2:$E$302,2,FALSE)</f>
        <v>0</v>
      </c>
      <c r="AA95" s="68">
        <f>O95*VLOOKUP($F95,'Emission Factors 2'!$A$2:$E$302,2,FALSE)</f>
        <v>0</v>
      </c>
      <c r="AB95" s="68">
        <f>P95*VLOOKUP($F95,'Emission Factors 2'!$A$2:$E$302,2,FALSE)</f>
        <v>0</v>
      </c>
      <c r="AC95" s="68">
        <f>Q95*VLOOKUP($F95,'Emission Factors 2'!$A$2:$E$302,2,FALSE)</f>
        <v>0</v>
      </c>
      <c r="AD95" s="68">
        <f>R95*VLOOKUP($F95,'Emission Factors 2'!$A$2:$E$302,2,FALSE)</f>
        <v>0</v>
      </c>
      <c r="AE95" s="68">
        <f>S95*VLOOKUP($F95,'Emission Factors 2'!$A$2:$E$302,2,FALSE)</f>
        <v>0</v>
      </c>
      <c r="AF95" s="19">
        <f t="shared" si="6"/>
        <v>0</v>
      </c>
      <c r="AG95" s="31"/>
      <c r="AH95" s="31"/>
      <c r="AI95" s="31"/>
      <c r="AJ95" s="31"/>
    </row>
    <row r="96" spans="1:36" ht="21.95" customHeight="1" outlineLevel="1" x14ac:dyDescent="0.25">
      <c r="A96" s="102"/>
      <c r="B96" s="105"/>
      <c r="C96" s="29"/>
      <c r="D96" s="27" t="s">
        <v>325</v>
      </c>
      <c r="E96" s="82" t="str">
        <f>'Index Formatting'!$I$18</f>
        <v>O</v>
      </c>
      <c r="F96" s="7" t="s">
        <v>332</v>
      </c>
      <c r="G96" s="15" t="s">
        <v>82</v>
      </c>
      <c r="H96" s="67"/>
      <c r="I96" s="67"/>
      <c r="J96" s="67"/>
      <c r="K96" s="67"/>
      <c r="L96" s="67"/>
      <c r="M96" s="67"/>
      <c r="N96" s="67"/>
      <c r="O96" s="67"/>
      <c r="P96" s="67"/>
      <c r="Q96" s="67"/>
      <c r="R96" s="67"/>
      <c r="S96" s="67"/>
      <c r="T96" s="68">
        <f>H96*VLOOKUP($F96,'Emission Factors 2'!$A$2:$E$302,2,FALSE)</f>
        <v>0</v>
      </c>
      <c r="U96" s="68">
        <f>I96*VLOOKUP($F96,'Emission Factors 2'!$A$2:$E$302,2,FALSE)</f>
        <v>0</v>
      </c>
      <c r="V96" s="68">
        <f>J96*VLOOKUP($F96,'Emission Factors 2'!$A$2:$E$302,2,FALSE)</f>
        <v>0</v>
      </c>
      <c r="W96" s="68">
        <f>K96*VLOOKUP($F96,'Emission Factors 2'!$A$2:$E$302,2,FALSE)</f>
        <v>0</v>
      </c>
      <c r="X96" s="68">
        <f>L96*VLOOKUP($F96,'Emission Factors 2'!$A$2:$E$302,2,FALSE)</f>
        <v>0</v>
      </c>
      <c r="Y96" s="68">
        <f>M96*VLOOKUP($F96,'Emission Factors 2'!$A$2:$E$302,2,FALSE)</f>
        <v>0</v>
      </c>
      <c r="Z96" s="68">
        <f>N96*VLOOKUP($F96,'Emission Factors 2'!$A$2:$E$302,2,FALSE)</f>
        <v>0</v>
      </c>
      <c r="AA96" s="68">
        <f>O96*VLOOKUP($F96,'Emission Factors 2'!$A$2:$E$302,2,FALSE)</f>
        <v>0</v>
      </c>
      <c r="AB96" s="68">
        <f>P96*VLOOKUP($F96,'Emission Factors 2'!$A$2:$E$302,2,FALSE)</f>
        <v>0</v>
      </c>
      <c r="AC96" s="68">
        <f>Q96*VLOOKUP($F96,'Emission Factors 2'!$A$2:$E$302,2,FALSE)</f>
        <v>0</v>
      </c>
      <c r="AD96" s="68">
        <f>R96*VLOOKUP($F96,'Emission Factors 2'!$A$2:$E$302,2,FALSE)</f>
        <v>0</v>
      </c>
      <c r="AE96" s="68">
        <f>S96*VLOOKUP($F96,'Emission Factors 2'!$A$2:$E$302,2,FALSE)</f>
        <v>0</v>
      </c>
      <c r="AF96" s="19">
        <f t="shared" si="6"/>
        <v>0</v>
      </c>
      <c r="AG96" s="31"/>
      <c r="AH96" s="31"/>
      <c r="AI96" s="31"/>
      <c r="AJ96" s="31"/>
    </row>
    <row r="97" spans="1:36" ht="21.95" customHeight="1" outlineLevel="1" x14ac:dyDescent="0.25">
      <c r="A97" s="102"/>
      <c r="B97" s="105"/>
      <c r="C97" s="29"/>
      <c r="D97" s="27" t="s">
        <v>325</v>
      </c>
      <c r="E97" s="82" t="str">
        <f>'Index Formatting'!$I$18</f>
        <v>O</v>
      </c>
      <c r="F97" s="7" t="s">
        <v>738</v>
      </c>
      <c r="G97" s="15" t="s">
        <v>82</v>
      </c>
      <c r="H97" s="67"/>
      <c r="I97" s="67"/>
      <c r="J97" s="67"/>
      <c r="K97" s="67"/>
      <c r="L97" s="67"/>
      <c r="M97" s="67"/>
      <c r="N97" s="67"/>
      <c r="O97" s="67"/>
      <c r="P97" s="67"/>
      <c r="Q97" s="67"/>
      <c r="R97" s="67"/>
      <c r="S97" s="67"/>
      <c r="T97" s="68">
        <f>H97*VLOOKUP($F97,'Emission Factors 2'!$A$2:$E$302,2,FALSE)</f>
        <v>0</v>
      </c>
      <c r="U97" s="68">
        <f>I97*VLOOKUP($F97,'Emission Factors 2'!$A$2:$E$302,2,FALSE)</f>
        <v>0</v>
      </c>
      <c r="V97" s="68">
        <f>J97*VLOOKUP($F97,'Emission Factors 2'!$A$2:$E$302,2,FALSE)</f>
        <v>0</v>
      </c>
      <c r="W97" s="68">
        <f>K97*VLOOKUP($F97,'Emission Factors 2'!$A$2:$E$302,2,FALSE)</f>
        <v>0</v>
      </c>
      <c r="X97" s="68">
        <f>L97*VLOOKUP($F97,'Emission Factors 2'!$A$2:$E$302,2,FALSE)</f>
        <v>0</v>
      </c>
      <c r="Y97" s="68">
        <f>M97*VLOOKUP($F97,'Emission Factors 2'!$A$2:$E$302,2,FALSE)</f>
        <v>0</v>
      </c>
      <c r="Z97" s="68">
        <f>N97*VLOOKUP($F97,'Emission Factors 2'!$A$2:$E$302,2,FALSE)</f>
        <v>0</v>
      </c>
      <c r="AA97" s="68">
        <f>O97*VLOOKUP($F97,'Emission Factors 2'!$A$2:$E$302,2,FALSE)</f>
        <v>0</v>
      </c>
      <c r="AB97" s="68">
        <f>P97*VLOOKUP($F97,'Emission Factors 2'!$A$2:$E$302,2,FALSE)</f>
        <v>0</v>
      </c>
      <c r="AC97" s="68">
        <f>Q97*VLOOKUP($F97,'Emission Factors 2'!$A$2:$E$302,2,FALSE)</f>
        <v>0</v>
      </c>
      <c r="AD97" s="68">
        <f>R97*VLOOKUP($F97,'Emission Factors 2'!$A$2:$E$302,2,FALSE)</f>
        <v>0</v>
      </c>
      <c r="AE97" s="68">
        <f>S97*VLOOKUP($F97,'Emission Factors 2'!$A$2:$E$302,2,FALSE)</f>
        <v>0</v>
      </c>
      <c r="AF97" s="19">
        <f t="shared" si="6"/>
        <v>0</v>
      </c>
      <c r="AG97" s="31"/>
      <c r="AH97" s="31"/>
      <c r="AI97" s="31"/>
      <c r="AJ97" s="31"/>
    </row>
    <row r="98" spans="1:36" ht="21.95" customHeight="1" outlineLevel="1" x14ac:dyDescent="0.25">
      <c r="A98" s="102"/>
      <c r="B98" s="105"/>
      <c r="C98" s="29"/>
      <c r="D98" s="27" t="s">
        <v>325</v>
      </c>
      <c r="E98" s="82" t="str">
        <f>'Index Formatting'!$I$18</f>
        <v>O</v>
      </c>
      <c r="F98" s="7" t="s">
        <v>739</v>
      </c>
      <c r="G98" s="15" t="s">
        <v>82</v>
      </c>
      <c r="H98" s="67"/>
      <c r="I98" s="67"/>
      <c r="J98" s="67"/>
      <c r="K98" s="67"/>
      <c r="L98" s="67"/>
      <c r="M98" s="67"/>
      <c r="N98" s="67"/>
      <c r="O98" s="67"/>
      <c r="P98" s="67"/>
      <c r="Q98" s="67"/>
      <c r="R98" s="67"/>
      <c r="S98" s="67"/>
      <c r="T98" s="68">
        <f>H98*VLOOKUP($F98,'Emission Factors 2'!$A$2:$E$302,2,FALSE)</f>
        <v>0</v>
      </c>
      <c r="U98" s="68">
        <f>I98*VLOOKUP($F98,'Emission Factors 2'!$A$2:$E$302,2,FALSE)</f>
        <v>0</v>
      </c>
      <c r="V98" s="68">
        <f>J98*VLOOKUP($F98,'Emission Factors 2'!$A$2:$E$302,2,FALSE)</f>
        <v>0</v>
      </c>
      <c r="W98" s="68">
        <f>K98*VLOOKUP($F98,'Emission Factors 2'!$A$2:$E$302,2,FALSE)</f>
        <v>0</v>
      </c>
      <c r="X98" s="68">
        <f>L98*VLOOKUP($F98,'Emission Factors 2'!$A$2:$E$302,2,FALSE)</f>
        <v>0</v>
      </c>
      <c r="Y98" s="68">
        <f>M98*VLOOKUP($F98,'Emission Factors 2'!$A$2:$E$302,2,FALSE)</f>
        <v>0</v>
      </c>
      <c r="Z98" s="68">
        <f>N98*VLOOKUP($F98,'Emission Factors 2'!$A$2:$E$302,2,FALSE)</f>
        <v>0</v>
      </c>
      <c r="AA98" s="68">
        <f>O98*VLOOKUP($F98,'Emission Factors 2'!$A$2:$E$302,2,FALSE)</f>
        <v>0</v>
      </c>
      <c r="AB98" s="68">
        <f>P98*VLOOKUP($F98,'Emission Factors 2'!$A$2:$E$302,2,FALSE)</f>
        <v>0</v>
      </c>
      <c r="AC98" s="68">
        <f>Q98*VLOOKUP($F98,'Emission Factors 2'!$A$2:$E$302,2,FALSE)</f>
        <v>0</v>
      </c>
      <c r="AD98" s="68">
        <f>R98*VLOOKUP($F98,'Emission Factors 2'!$A$2:$E$302,2,FALSE)</f>
        <v>0</v>
      </c>
      <c r="AE98" s="68">
        <f>S98*VLOOKUP($F98,'Emission Factors 2'!$A$2:$E$302,2,FALSE)</f>
        <v>0</v>
      </c>
      <c r="AF98" s="19">
        <f t="shared" si="6"/>
        <v>0</v>
      </c>
      <c r="AG98" s="31"/>
      <c r="AH98" s="31"/>
      <c r="AI98" s="31"/>
      <c r="AJ98" s="31"/>
    </row>
    <row r="99" spans="1:36" ht="21.95" customHeight="1" outlineLevel="1" x14ac:dyDescent="0.25">
      <c r="A99" s="102"/>
      <c r="B99" s="105"/>
      <c r="C99" s="29"/>
      <c r="D99" s="27" t="s">
        <v>325</v>
      </c>
      <c r="E99" s="82" t="str">
        <f>'Index Formatting'!$I$18</f>
        <v>O</v>
      </c>
      <c r="F99" s="7" t="s">
        <v>333</v>
      </c>
      <c r="G99" s="15" t="s">
        <v>82</v>
      </c>
      <c r="H99" s="67"/>
      <c r="I99" s="67"/>
      <c r="J99" s="67"/>
      <c r="K99" s="67"/>
      <c r="L99" s="67"/>
      <c r="M99" s="67"/>
      <c r="N99" s="67"/>
      <c r="O99" s="67"/>
      <c r="P99" s="67"/>
      <c r="Q99" s="67"/>
      <c r="R99" s="67"/>
      <c r="S99" s="67"/>
      <c r="T99" s="68">
        <f>H99*VLOOKUP($F99,'Emission Factors 2'!$A$2:$E$302,2,FALSE)</f>
        <v>0</v>
      </c>
      <c r="U99" s="68">
        <f>I99*VLOOKUP($F99,'Emission Factors 2'!$A$2:$E$302,2,FALSE)</f>
        <v>0</v>
      </c>
      <c r="V99" s="68">
        <f>J99*VLOOKUP($F99,'Emission Factors 2'!$A$2:$E$302,2,FALSE)</f>
        <v>0</v>
      </c>
      <c r="W99" s="68">
        <f>K99*VLOOKUP($F99,'Emission Factors 2'!$A$2:$E$302,2,FALSE)</f>
        <v>0</v>
      </c>
      <c r="X99" s="68">
        <f>L99*VLOOKUP($F99,'Emission Factors 2'!$A$2:$E$302,2,FALSE)</f>
        <v>0</v>
      </c>
      <c r="Y99" s="68">
        <f>M99*VLOOKUP($F99,'Emission Factors 2'!$A$2:$E$302,2,FALSE)</f>
        <v>0</v>
      </c>
      <c r="Z99" s="68">
        <f>N99*VLOOKUP($F99,'Emission Factors 2'!$A$2:$E$302,2,FALSE)</f>
        <v>0</v>
      </c>
      <c r="AA99" s="68">
        <f>O99*VLOOKUP($F99,'Emission Factors 2'!$A$2:$E$302,2,FALSE)</f>
        <v>0</v>
      </c>
      <c r="AB99" s="68">
        <f>P99*VLOOKUP($F99,'Emission Factors 2'!$A$2:$E$302,2,FALSE)</f>
        <v>0</v>
      </c>
      <c r="AC99" s="68">
        <f>Q99*VLOOKUP($F99,'Emission Factors 2'!$A$2:$E$302,2,FALSE)</f>
        <v>0</v>
      </c>
      <c r="AD99" s="68">
        <f>R99*VLOOKUP($F99,'Emission Factors 2'!$A$2:$E$302,2,FALSE)</f>
        <v>0</v>
      </c>
      <c r="AE99" s="68">
        <f>S99*VLOOKUP($F99,'Emission Factors 2'!$A$2:$E$302,2,FALSE)</f>
        <v>0</v>
      </c>
      <c r="AF99" s="19">
        <f t="shared" si="6"/>
        <v>0</v>
      </c>
      <c r="AG99" s="31"/>
      <c r="AH99" s="31"/>
      <c r="AI99" s="31"/>
      <c r="AJ99" s="31"/>
    </row>
    <row r="100" spans="1:36" ht="21.95" customHeight="1" outlineLevel="1" x14ac:dyDescent="0.25">
      <c r="A100" s="102"/>
      <c r="B100" s="105"/>
      <c r="C100" s="29"/>
      <c r="D100" s="27" t="s">
        <v>325</v>
      </c>
      <c r="E100" s="82" t="str">
        <f>'Index Formatting'!$I$18</f>
        <v>O</v>
      </c>
      <c r="F100" s="7" t="s">
        <v>414</v>
      </c>
      <c r="G100" s="15" t="s">
        <v>82</v>
      </c>
      <c r="H100" s="67"/>
      <c r="I100" s="67"/>
      <c r="J100" s="67"/>
      <c r="K100" s="67"/>
      <c r="L100" s="67"/>
      <c r="M100" s="67"/>
      <c r="N100" s="67"/>
      <c r="O100" s="67"/>
      <c r="P100" s="67"/>
      <c r="Q100" s="67"/>
      <c r="R100" s="67"/>
      <c r="S100" s="67"/>
      <c r="T100" s="68">
        <f>H100*VLOOKUP($F100,'Emission Factors 2'!$A$2:$E$302,2,FALSE)</f>
        <v>0</v>
      </c>
      <c r="U100" s="68">
        <f>I100*VLOOKUP($F100,'Emission Factors 2'!$A$2:$E$302,2,FALSE)</f>
        <v>0</v>
      </c>
      <c r="V100" s="68">
        <f>J100*VLOOKUP($F100,'Emission Factors 2'!$A$2:$E$302,2,FALSE)</f>
        <v>0</v>
      </c>
      <c r="W100" s="68">
        <f>K100*VLOOKUP($F100,'Emission Factors 2'!$A$2:$E$302,2,FALSE)</f>
        <v>0</v>
      </c>
      <c r="X100" s="68">
        <f>L100*VLOOKUP($F100,'Emission Factors 2'!$A$2:$E$302,2,FALSE)</f>
        <v>0</v>
      </c>
      <c r="Y100" s="68">
        <f>M100*VLOOKUP($F100,'Emission Factors 2'!$A$2:$E$302,2,FALSE)</f>
        <v>0</v>
      </c>
      <c r="Z100" s="68">
        <f>N100*VLOOKUP($F100,'Emission Factors 2'!$A$2:$E$302,2,FALSE)</f>
        <v>0</v>
      </c>
      <c r="AA100" s="68">
        <f>O100*VLOOKUP($F100,'Emission Factors 2'!$A$2:$E$302,2,FALSE)</f>
        <v>0</v>
      </c>
      <c r="AB100" s="68">
        <f>P100*VLOOKUP($F100,'Emission Factors 2'!$A$2:$E$302,2,FALSE)</f>
        <v>0</v>
      </c>
      <c r="AC100" s="68">
        <f>Q100*VLOOKUP($F100,'Emission Factors 2'!$A$2:$E$302,2,FALSE)</f>
        <v>0</v>
      </c>
      <c r="AD100" s="68">
        <f>R100*VLOOKUP($F100,'Emission Factors 2'!$A$2:$E$302,2,FALSE)</f>
        <v>0</v>
      </c>
      <c r="AE100" s="68">
        <f>S100*VLOOKUP($F100,'Emission Factors 2'!$A$2:$E$302,2,FALSE)</f>
        <v>0</v>
      </c>
      <c r="AF100" s="19">
        <f t="shared" si="6"/>
        <v>0</v>
      </c>
      <c r="AG100" s="31"/>
      <c r="AH100" s="31"/>
      <c r="AI100" s="31"/>
      <c r="AJ100" s="31"/>
    </row>
    <row r="101" spans="1:36" ht="21.95" customHeight="1" outlineLevel="1" x14ac:dyDescent="0.25">
      <c r="A101" s="102"/>
      <c r="B101" s="105"/>
      <c r="C101" s="29"/>
      <c r="D101" s="27" t="s">
        <v>325</v>
      </c>
      <c r="E101" s="82" t="str">
        <f>'Index Formatting'!$I$18</f>
        <v>O</v>
      </c>
      <c r="F101" s="7" t="s">
        <v>333</v>
      </c>
      <c r="G101" s="15" t="s">
        <v>82</v>
      </c>
      <c r="H101" s="67"/>
      <c r="I101" s="67"/>
      <c r="J101" s="67"/>
      <c r="K101" s="67"/>
      <c r="L101" s="67"/>
      <c r="M101" s="67"/>
      <c r="N101" s="67"/>
      <c r="O101" s="67"/>
      <c r="P101" s="67"/>
      <c r="Q101" s="67"/>
      <c r="R101" s="67"/>
      <c r="S101" s="67"/>
      <c r="T101" s="68">
        <f>H101*VLOOKUP($F101,'Emission Factors 2'!$A$2:$E$302,2,FALSE)</f>
        <v>0</v>
      </c>
      <c r="U101" s="68">
        <f>I101*VLOOKUP($F101,'Emission Factors 2'!$A$2:$E$302,2,FALSE)</f>
        <v>0</v>
      </c>
      <c r="V101" s="68">
        <f>J101*VLOOKUP($F101,'Emission Factors 2'!$A$2:$E$302,2,FALSE)</f>
        <v>0</v>
      </c>
      <c r="W101" s="68">
        <f>K101*VLOOKUP($F101,'Emission Factors 2'!$A$2:$E$302,2,FALSE)</f>
        <v>0</v>
      </c>
      <c r="X101" s="68">
        <f>L101*VLOOKUP($F101,'Emission Factors 2'!$A$2:$E$302,2,FALSE)</f>
        <v>0</v>
      </c>
      <c r="Y101" s="68">
        <f>M101*VLOOKUP($F101,'Emission Factors 2'!$A$2:$E$302,2,FALSE)</f>
        <v>0</v>
      </c>
      <c r="Z101" s="68">
        <f>N101*VLOOKUP($F101,'Emission Factors 2'!$A$2:$E$302,2,FALSE)</f>
        <v>0</v>
      </c>
      <c r="AA101" s="68">
        <f>O101*VLOOKUP($F101,'Emission Factors 2'!$A$2:$E$302,2,FALSE)</f>
        <v>0</v>
      </c>
      <c r="AB101" s="68">
        <f>P101*VLOOKUP($F101,'Emission Factors 2'!$A$2:$E$302,2,FALSE)</f>
        <v>0</v>
      </c>
      <c r="AC101" s="68">
        <f>Q101*VLOOKUP($F101,'Emission Factors 2'!$A$2:$E$302,2,FALSE)</f>
        <v>0</v>
      </c>
      <c r="AD101" s="68">
        <f>R101*VLOOKUP($F101,'Emission Factors 2'!$A$2:$E$302,2,FALSE)</f>
        <v>0</v>
      </c>
      <c r="AE101" s="68">
        <f>S101*VLOOKUP($F101,'Emission Factors 2'!$A$2:$E$302,2,FALSE)</f>
        <v>0</v>
      </c>
      <c r="AF101" s="19">
        <f t="shared" si="6"/>
        <v>0</v>
      </c>
      <c r="AG101" s="31"/>
      <c r="AH101" s="31"/>
      <c r="AI101" s="31"/>
      <c r="AJ101" s="31"/>
    </row>
    <row r="102" spans="1:36" ht="21.95" customHeight="1" outlineLevel="1" x14ac:dyDescent="0.25">
      <c r="A102" s="103"/>
      <c r="B102" s="106"/>
      <c r="C102" s="29"/>
      <c r="D102" s="27" t="s">
        <v>325</v>
      </c>
      <c r="E102" s="82" t="str">
        <f>'Index Formatting'!$I$18</f>
        <v>O</v>
      </c>
      <c r="F102" s="7" t="s">
        <v>738</v>
      </c>
      <c r="G102" s="15" t="s">
        <v>82</v>
      </c>
      <c r="H102" s="67"/>
      <c r="I102" s="67"/>
      <c r="J102" s="67"/>
      <c r="K102" s="67"/>
      <c r="L102" s="67"/>
      <c r="M102" s="67"/>
      <c r="N102" s="67"/>
      <c r="O102" s="67"/>
      <c r="P102" s="67"/>
      <c r="Q102" s="67"/>
      <c r="R102" s="67"/>
      <c r="S102" s="67"/>
      <c r="T102" s="68">
        <f>H102*VLOOKUP($F102,'Emission Factors 2'!$A$2:$E$302,2,FALSE)</f>
        <v>0</v>
      </c>
      <c r="U102" s="68">
        <f>I102*VLOOKUP($F102,'Emission Factors 2'!$A$2:$E$302,2,FALSE)</f>
        <v>0</v>
      </c>
      <c r="V102" s="68">
        <f>J102*VLOOKUP($F102,'Emission Factors 2'!$A$2:$E$302,2,FALSE)</f>
        <v>0</v>
      </c>
      <c r="W102" s="68">
        <f>K102*VLOOKUP($F102,'Emission Factors 2'!$A$2:$E$302,2,FALSE)</f>
        <v>0</v>
      </c>
      <c r="X102" s="68">
        <f>L102*VLOOKUP($F102,'Emission Factors 2'!$A$2:$E$302,2,FALSE)</f>
        <v>0</v>
      </c>
      <c r="Y102" s="68">
        <f>M102*VLOOKUP($F102,'Emission Factors 2'!$A$2:$E$302,2,FALSE)</f>
        <v>0</v>
      </c>
      <c r="Z102" s="68">
        <f>N102*VLOOKUP($F102,'Emission Factors 2'!$A$2:$E$302,2,FALSE)</f>
        <v>0</v>
      </c>
      <c r="AA102" s="68">
        <f>O102*VLOOKUP($F102,'Emission Factors 2'!$A$2:$E$302,2,FALSE)</f>
        <v>0</v>
      </c>
      <c r="AB102" s="68">
        <f>P102*VLOOKUP($F102,'Emission Factors 2'!$A$2:$E$302,2,FALSE)</f>
        <v>0</v>
      </c>
      <c r="AC102" s="68">
        <f>Q102*VLOOKUP($F102,'Emission Factors 2'!$A$2:$E$302,2,FALSE)</f>
        <v>0</v>
      </c>
      <c r="AD102" s="68">
        <f>R102*VLOOKUP($F102,'Emission Factors 2'!$A$2:$E$302,2,FALSE)</f>
        <v>0</v>
      </c>
      <c r="AE102" s="68">
        <f>S102*VLOOKUP($F102,'Emission Factors 2'!$A$2:$E$302,2,FALSE)</f>
        <v>0</v>
      </c>
      <c r="AF102" s="19">
        <f t="shared" si="6"/>
        <v>0</v>
      </c>
      <c r="AG102" s="31"/>
      <c r="AH102" s="31"/>
      <c r="AI102" s="31"/>
      <c r="AJ102" s="31"/>
    </row>
    <row r="103" spans="1:36" ht="21.95" customHeight="1" x14ac:dyDescent="0.25">
      <c r="A103" s="130" t="str">
        <f>IF(COUNTIF(E105:E141,"M"),"Pathways", "Pathways (Optional)")</f>
        <v>Pathways</v>
      </c>
      <c r="B103" s="131"/>
      <c r="C103" s="131"/>
      <c r="D103" s="131"/>
      <c r="E103" s="131"/>
      <c r="F103" s="131"/>
      <c r="G103" s="132"/>
      <c r="H103" s="137"/>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9">
        <f>SUM(AF104, AF119)</f>
        <v>5067254.8814362772</v>
      </c>
      <c r="AG103" s="31"/>
      <c r="AH103" s="31"/>
      <c r="AI103" s="31"/>
      <c r="AJ103" s="31"/>
    </row>
    <row r="104" spans="1:36" ht="21.95" customHeight="1" x14ac:dyDescent="0.25">
      <c r="A104" s="130" t="str">
        <f>IF(COUNTIF(E105:E118,"M"),"Pathways - Second Order", "Pathways - Second Order (Optional)")</f>
        <v>Pathways - Second Order</v>
      </c>
      <c r="B104" s="131"/>
      <c r="C104" s="131"/>
      <c r="D104" s="131"/>
      <c r="E104" s="131"/>
      <c r="F104" s="131"/>
      <c r="G104" s="132"/>
      <c r="H104" s="137"/>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9">
        <f>SUM(AF105:AF118)</f>
        <v>0</v>
      </c>
      <c r="AG104" s="31"/>
      <c r="AH104" s="31"/>
      <c r="AI104" s="31"/>
      <c r="AJ104" s="31"/>
    </row>
    <row r="105" spans="1:36" ht="21.95" customHeight="1" outlineLevel="1" x14ac:dyDescent="0.25">
      <c r="A105" s="118">
        <v>7</v>
      </c>
      <c r="B105" s="133" t="s">
        <v>334</v>
      </c>
      <c r="C105" s="29"/>
      <c r="D105" s="27" t="s">
        <v>336</v>
      </c>
      <c r="E105" s="81" t="str">
        <f>'Index Formatting'!$I$19</f>
        <v>M</v>
      </c>
      <c r="F105" s="7" t="s">
        <v>337</v>
      </c>
      <c r="G105" s="15" t="s">
        <v>127</v>
      </c>
      <c r="H105" s="67"/>
      <c r="I105" s="67"/>
      <c r="J105" s="67"/>
      <c r="K105" s="67"/>
      <c r="L105" s="67"/>
      <c r="M105" s="67"/>
      <c r="N105" s="67"/>
      <c r="O105" s="67"/>
      <c r="P105" s="67"/>
      <c r="Q105" s="67"/>
      <c r="R105" s="67"/>
      <c r="S105" s="67"/>
      <c r="T105" s="68">
        <f>H105*VLOOKUP($F105,'Emission Factors 2'!$A$2:$E$302,2,FALSE)</f>
        <v>0</v>
      </c>
      <c r="U105" s="68">
        <f>I105*VLOOKUP($F105,'Emission Factors 2'!$A$2:$E$302,2,FALSE)</f>
        <v>0</v>
      </c>
      <c r="V105" s="68">
        <f>J105*VLOOKUP($F105,'Emission Factors 2'!$A$2:$E$302,2,FALSE)</f>
        <v>0</v>
      </c>
      <c r="W105" s="68">
        <f>K105*VLOOKUP($F105,'Emission Factors 2'!$A$2:$E$302,2,FALSE)</f>
        <v>0</v>
      </c>
      <c r="X105" s="68">
        <f>L105*VLOOKUP($F105,'Emission Factors 2'!$A$2:$E$302,2,FALSE)</f>
        <v>0</v>
      </c>
      <c r="Y105" s="68">
        <f>M105*VLOOKUP($F105,'Emission Factors 2'!$A$2:$E$302,2,FALSE)</f>
        <v>0</v>
      </c>
      <c r="Z105" s="68">
        <f>N105*VLOOKUP($F105,'Emission Factors 2'!$A$2:$E$302,2,FALSE)</f>
        <v>0</v>
      </c>
      <c r="AA105" s="68">
        <f>O105*VLOOKUP($F105,'Emission Factors 2'!$A$2:$E$302,2,FALSE)</f>
        <v>0</v>
      </c>
      <c r="AB105" s="68">
        <f>P105*VLOOKUP($F105,'Emission Factors 2'!$A$2:$E$302,2,FALSE)</f>
        <v>0</v>
      </c>
      <c r="AC105" s="68">
        <f>Q105*VLOOKUP($F105,'Emission Factors 2'!$A$2:$E$302,2,FALSE)</f>
        <v>0</v>
      </c>
      <c r="AD105" s="68">
        <f>R105*VLOOKUP($F105,'Emission Factors 2'!$A$2:$E$302,2,FALSE)</f>
        <v>0</v>
      </c>
      <c r="AE105" s="68">
        <f>S105*VLOOKUP($F105,'Emission Factors 2'!$A$2:$E$302,2,FALSE)</f>
        <v>0</v>
      </c>
      <c r="AF105" s="19">
        <f>IF($H$2="Total", T105, SUM(T105:AE105))</f>
        <v>0</v>
      </c>
      <c r="AG105" s="31"/>
      <c r="AH105" s="31"/>
      <c r="AI105" s="31"/>
      <c r="AJ105" s="31"/>
    </row>
    <row r="106" spans="1:36" ht="21.95" customHeight="1" outlineLevel="1" x14ac:dyDescent="0.25">
      <c r="A106" s="118"/>
      <c r="B106" s="133"/>
      <c r="C106" s="29"/>
      <c r="D106" s="27" t="s">
        <v>336</v>
      </c>
      <c r="E106" s="81" t="str">
        <f>'Index Formatting'!$I$19</f>
        <v>M</v>
      </c>
      <c r="F106" s="7" t="s">
        <v>338</v>
      </c>
      <c r="G106" s="15" t="s">
        <v>127</v>
      </c>
      <c r="H106" s="67"/>
      <c r="I106" s="67"/>
      <c r="J106" s="67"/>
      <c r="K106" s="67"/>
      <c r="L106" s="67"/>
      <c r="M106" s="67"/>
      <c r="N106" s="67"/>
      <c r="O106" s="67"/>
      <c r="P106" s="67"/>
      <c r="Q106" s="67"/>
      <c r="R106" s="67"/>
      <c r="S106" s="67"/>
      <c r="T106" s="68">
        <f>H106*VLOOKUP($F106,'Emission Factors 2'!$A$2:$E$302,2,FALSE)</f>
        <v>0</v>
      </c>
      <c r="U106" s="68">
        <f>I106*VLOOKUP($F106,'Emission Factors 2'!$A$2:$E$302,2,FALSE)</f>
        <v>0</v>
      </c>
      <c r="V106" s="68">
        <f>J106*VLOOKUP($F106,'Emission Factors 2'!$A$2:$E$302,2,FALSE)</f>
        <v>0</v>
      </c>
      <c r="W106" s="68">
        <f>K106*VLOOKUP($F106,'Emission Factors 2'!$A$2:$E$302,2,FALSE)</f>
        <v>0</v>
      </c>
      <c r="X106" s="68">
        <f>L106*VLOOKUP($F106,'Emission Factors 2'!$A$2:$E$302,2,FALSE)</f>
        <v>0</v>
      </c>
      <c r="Y106" s="68">
        <f>M106*VLOOKUP($F106,'Emission Factors 2'!$A$2:$E$302,2,FALSE)</f>
        <v>0</v>
      </c>
      <c r="Z106" s="68">
        <f>N106*VLOOKUP($F106,'Emission Factors 2'!$A$2:$E$302,2,FALSE)</f>
        <v>0</v>
      </c>
      <c r="AA106" s="68">
        <f>O106*VLOOKUP($F106,'Emission Factors 2'!$A$2:$E$302,2,FALSE)</f>
        <v>0</v>
      </c>
      <c r="AB106" s="68">
        <f>P106*VLOOKUP($F106,'Emission Factors 2'!$A$2:$E$302,2,FALSE)</f>
        <v>0</v>
      </c>
      <c r="AC106" s="68">
        <f>Q106*VLOOKUP($F106,'Emission Factors 2'!$A$2:$E$302,2,FALSE)</f>
        <v>0</v>
      </c>
      <c r="AD106" s="68">
        <f>R106*VLOOKUP($F106,'Emission Factors 2'!$A$2:$E$302,2,FALSE)</f>
        <v>0</v>
      </c>
      <c r="AE106" s="68">
        <f>S106*VLOOKUP($F106,'Emission Factors 2'!$A$2:$E$302,2,FALSE)</f>
        <v>0</v>
      </c>
      <c r="AF106" s="19">
        <f t="shared" ref="AF106:AF141" si="7">IF($H$2="Total", T106, SUM(T106:AE106))</f>
        <v>0</v>
      </c>
      <c r="AG106" s="31"/>
      <c r="AH106" s="31"/>
      <c r="AI106" s="31"/>
      <c r="AJ106" s="31"/>
    </row>
    <row r="107" spans="1:36" ht="21.95" customHeight="1" outlineLevel="1" x14ac:dyDescent="0.25">
      <c r="A107" s="118"/>
      <c r="B107" s="133"/>
      <c r="C107" s="29"/>
      <c r="D107" s="27" t="s">
        <v>336</v>
      </c>
      <c r="E107" s="81" t="str">
        <f>'Index Formatting'!$I$19</f>
        <v>M</v>
      </c>
      <c r="F107" s="7" t="s">
        <v>339</v>
      </c>
      <c r="G107" s="15" t="s">
        <v>127</v>
      </c>
      <c r="H107" s="67"/>
      <c r="I107" s="67"/>
      <c r="J107" s="67"/>
      <c r="K107" s="67"/>
      <c r="L107" s="67"/>
      <c r="M107" s="67"/>
      <c r="N107" s="67"/>
      <c r="O107" s="67"/>
      <c r="P107" s="67"/>
      <c r="Q107" s="67"/>
      <c r="R107" s="67"/>
      <c r="S107" s="67"/>
      <c r="T107" s="68">
        <f>H107*VLOOKUP($F107,'Emission Factors 2'!$A$2:$E$302,2,FALSE)</f>
        <v>0</v>
      </c>
      <c r="U107" s="68">
        <f>I107*VLOOKUP($F107,'Emission Factors 2'!$A$2:$E$302,2,FALSE)</f>
        <v>0</v>
      </c>
      <c r="V107" s="68">
        <f>J107*VLOOKUP($F107,'Emission Factors 2'!$A$2:$E$302,2,FALSE)</f>
        <v>0</v>
      </c>
      <c r="W107" s="68">
        <f>K107*VLOOKUP($F107,'Emission Factors 2'!$A$2:$E$302,2,FALSE)</f>
        <v>0</v>
      </c>
      <c r="X107" s="68">
        <f>L107*VLOOKUP($F107,'Emission Factors 2'!$A$2:$E$302,2,FALSE)</f>
        <v>0</v>
      </c>
      <c r="Y107" s="68">
        <f>M107*VLOOKUP($F107,'Emission Factors 2'!$A$2:$E$302,2,FALSE)</f>
        <v>0</v>
      </c>
      <c r="Z107" s="68">
        <f>N107*VLOOKUP($F107,'Emission Factors 2'!$A$2:$E$302,2,FALSE)</f>
        <v>0</v>
      </c>
      <c r="AA107" s="68">
        <f>O107*VLOOKUP($F107,'Emission Factors 2'!$A$2:$E$302,2,FALSE)</f>
        <v>0</v>
      </c>
      <c r="AB107" s="68">
        <f>P107*VLOOKUP($F107,'Emission Factors 2'!$A$2:$E$302,2,FALSE)</f>
        <v>0</v>
      </c>
      <c r="AC107" s="68">
        <f>Q107*VLOOKUP($F107,'Emission Factors 2'!$A$2:$E$302,2,FALSE)</f>
        <v>0</v>
      </c>
      <c r="AD107" s="68">
        <f>R107*VLOOKUP($F107,'Emission Factors 2'!$A$2:$E$302,2,FALSE)</f>
        <v>0</v>
      </c>
      <c r="AE107" s="68">
        <f>S107*VLOOKUP($F107,'Emission Factors 2'!$A$2:$E$302,2,FALSE)</f>
        <v>0</v>
      </c>
      <c r="AF107" s="19">
        <f t="shared" si="7"/>
        <v>0</v>
      </c>
      <c r="AG107" s="31"/>
      <c r="AH107" s="31"/>
      <c r="AI107" s="31"/>
      <c r="AJ107" s="31"/>
    </row>
    <row r="108" spans="1:36" ht="21.95" customHeight="1" outlineLevel="1" x14ac:dyDescent="0.25">
      <c r="A108" s="118"/>
      <c r="B108" s="133"/>
      <c r="C108" s="29"/>
      <c r="D108" s="27" t="s">
        <v>336</v>
      </c>
      <c r="E108" s="81" t="str">
        <f>'Index Formatting'!$I$19</f>
        <v>M</v>
      </c>
      <c r="F108" s="7" t="s">
        <v>340</v>
      </c>
      <c r="G108" s="15" t="s">
        <v>127</v>
      </c>
      <c r="H108" s="67"/>
      <c r="I108" s="67"/>
      <c r="J108" s="67"/>
      <c r="K108" s="67"/>
      <c r="L108" s="67"/>
      <c r="M108" s="67"/>
      <c r="N108" s="67"/>
      <c r="O108" s="67"/>
      <c r="P108" s="67"/>
      <c r="Q108" s="67"/>
      <c r="R108" s="67"/>
      <c r="S108" s="67"/>
      <c r="T108" s="68">
        <f>H108*VLOOKUP($F108,'Emission Factors 2'!$A$2:$E$302,2,FALSE)</f>
        <v>0</v>
      </c>
      <c r="U108" s="68">
        <f>I108*VLOOKUP($F108,'Emission Factors 2'!$A$2:$E$302,2,FALSE)</f>
        <v>0</v>
      </c>
      <c r="V108" s="68">
        <f>J108*VLOOKUP($F108,'Emission Factors 2'!$A$2:$E$302,2,FALSE)</f>
        <v>0</v>
      </c>
      <c r="W108" s="68">
        <f>K108*VLOOKUP($F108,'Emission Factors 2'!$A$2:$E$302,2,FALSE)</f>
        <v>0</v>
      </c>
      <c r="X108" s="68">
        <f>L108*VLOOKUP($F108,'Emission Factors 2'!$A$2:$E$302,2,FALSE)</f>
        <v>0</v>
      </c>
      <c r="Y108" s="68">
        <f>M108*VLOOKUP($F108,'Emission Factors 2'!$A$2:$E$302,2,FALSE)</f>
        <v>0</v>
      </c>
      <c r="Z108" s="68">
        <f>N108*VLOOKUP($F108,'Emission Factors 2'!$A$2:$E$302,2,FALSE)</f>
        <v>0</v>
      </c>
      <c r="AA108" s="68">
        <f>O108*VLOOKUP($F108,'Emission Factors 2'!$A$2:$E$302,2,FALSE)</f>
        <v>0</v>
      </c>
      <c r="AB108" s="68">
        <f>P108*VLOOKUP($F108,'Emission Factors 2'!$A$2:$E$302,2,FALSE)</f>
        <v>0</v>
      </c>
      <c r="AC108" s="68">
        <f>Q108*VLOOKUP($F108,'Emission Factors 2'!$A$2:$E$302,2,FALSE)</f>
        <v>0</v>
      </c>
      <c r="AD108" s="68">
        <f>R108*VLOOKUP($F108,'Emission Factors 2'!$A$2:$E$302,2,FALSE)</f>
        <v>0</v>
      </c>
      <c r="AE108" s="68">
        <f>S108*VLOOKUP($F108,'Emission Factors 2'!$A$2:$E$302,2,FALSE)</f>
        <v>0</v>
      </c>
      <c r="AF108" s="19">
        <f t="shared" si="7"/>
        <v>0</v>
      </c>
      <c r="AG108" s="31"/>
      <c r="AH108" s="31"/>
      <c r="AI108" s="31"/>
      <c r="AJ108" s="31"/>
    </row>
    <row r="109" spans="1:36" ht="21.95" customHeight="1" outlineLevel="1" x14ac:dyDescent="0.25">
      <c r="A109" s="118"/>
      <c r="B109" s="133"/>
      <c r="C109" s="29"/>
      <c r="D109" s="27" t="s">
        <v>336</v>
      </c>
      <c r="E109" s="81" t="str">
        <f>'Index Formatting'!$I$19</f>
        <v>M</v>
      </c>
      <c r="F109" s="7" t="s">
        <v>341</v>
      </c>
      <c r="G109" s="15" t="s">
        <v>127</v>
      </c>
      <c r="H109" s="67"/>
      <c r="I109" s="67"/>
      <c r="J109" s="67"/>
      <c r="K109" s="67"/>
      <c r="L109" s="67"/>
      <c r="M109" s="67"/>
      <c r="N109" s="67"/>
      <c r="O109" s="67"/>
      <c r="P109" s="67"/>
      <c r="Q109" s="67"/>
      <c r="R109" s="67"/>
      <c r="S109" s="67"/>
      <c r="T109" s="68">
        <f>H109*VLOOKUP($F109,'Emission Factors 2'!$A$2:$E$302,2,FALSE)</f>
        <v>0</v>
      </c>
      <c r="U109" s="68">
        <f>I109*VLOOKUP($F109,'Emission Factors 2'!$A$2:$E$302,2,FALSE)</f>
        <v>0</v>
      </c>
      <c r="V109" s="68">
        <f>J109*VLOOKUP($F109,'Emission Factors 2'!$A$2:$E$302,2,FALSE)</f>
        <v>0</v>
      </c>
      <c r="W109" s="68">
        <f>K109*VLOOKUP($F109,'Emission Factors 2'!$A$2:$E$302,2,FALSE)</f>
        <v>0</v>
      </c>
      <c r="X109" s="68">
        <f>L109*VLOOKUP($F109,'Emission Factors 2'!$A$2:$E$302,2,FALSE)</f>
        <v>0</v>
      </c>
      <c r="Y109" s="68">
        <f>M109*VLOOKUP($F109,'Emission Factors 2'!$A$2:$E$302,2,FALSE)</f>
        <v>0</v>
      </c>
      <c r="Z109" s="68">
        <f>N109*VLOOKUP($F109,'Emission Factors 2'!$A$2:$E$302,2,FALSE)</f>
        <v>0</v>
      </c>
      <c r="AA109" s="68">
        <f>O109*VLOOKUP($F109,'Emission Factors 2'!$A$2:$E$302,2,FALSE)</f>
        <v>0</v>
      </c>
      <c r="AB109" s="68">
        <f>P109*VLOOKUP($F109,'Emission Factors 2'!$A$2:$E$302,2,FALSE)</f>
        <v>0</v>
      </c>
      <c r="AC109" s="68">
        <f>Q109*VLOOKUP($F109,'Emission Factors 2'!$A$2:$E$302,2,FALSE)</f>
        <v>0</v>
      </c>
      <c r="AD109" s="68">
        <f>R109*VLOOKUP($F109,'Emission Factors 2'!$A$2:$E$302,2,FALSE)</f>
        <v>0</v>
      </c>
      <c r="AE109" s="68">
        <f>S109*VLOOKUP($F109,'Emission Factors 2'!$A$2:$E$302,2,FALSE)</f>
        <v>0</v>
      </c>
      <c r="AF109" s="19">
        <f t="shared" si="7"/>
        <v>0</v>
      </c>
      <c r="AG109" s="31"/>
      <c r="AH109" s="31"/>
      <c r="AI109" s="31"/>
      <c r="AJ109" s="31"/>
    </row>
    <row r="110" spans="1:36" ht="21.95" customHeight="1" outlineLevel="1" x14ac:dyDescent="0.25">
      <c r="A110" s="118"/>
      <c r="B110" s="133"/>
      <c r="C110" s="29"/>
      <c r="D110" s="27" t="s">
        <v>336</v>
      </c>
      <c r="E110" s="81" t="str">
        <f>'Index Formatting'!$I$19</f>
        <v>M</v>
      </c>
      <c r="F110" s="7" t="s">
        <v>342</v>
      </c>
      <c r="G110" s="15" t="s">
        <v>127</v>
      </c>
      <c r="H110" s="67"/>
      <c r="I110" s="67"/>
      <c r="J110" s="67"/>
      <c r="K110" s="67"/>
      <c r="L110" s="67"/>
      <c r="M110" s="67"/>
      <c r="N110" s="67"/>
      <c r="O110" s="67"/>
      <c r="P110" s="67"/>
      <c r="Q110" s="67"/>
      <c r="R110" s="67"/>
      <c r="S110" s="67"/>
      <c r="T110" s="68">
        <f>H110*VLOOKUP($F110,'Emission Factors 2'!$A$2:$E$302,2,FALSE)</f>
        <v>0</v>
      </c>
      <c r="U110" s="68">
        <f>I110*VLOOKUP($F110,'Emission Factors 2'!$A$2:$E$302,2,FALSE)</f>
        <v>0</v>
      </c>
      <c r="V110" s="68">
        <f>J110*VLOOKUP($F110,'Emission Factors 2'!$A$2:$E$302,2,FALSE)</f>
        <v>0</v>
      </c>
      <c r="W110" s="68">
        <f>K110*VLOOKUP($F110,'Emission Factors 2'!$A$2:$E$302,2,FALSE)</f>
        <v>0</v>
      </c>
      <c r="X110" s="68">
        <f>L110*VLOOKUP($F110,'Emission Factors 2'!$A$2:$E$302,2,FALSE)</f>
        <v>0</v>
      </c>
      <c r="Y110" s="68">
        <f>M110*VLOOKUP($F110,'Emission Factors 2'!$A$2:$E$302,2,FALSE)</f>
        <v>0</v>
      </c>
      <c r="Z110" s="68">
        <f>N110*VLOOKUP($F110,'Emission Factors 2'!$A$2:$E$302,2,FALSE)</f>
        <v>0</v>
      </c>
      <c r="AA110" s="68">
        <f>O110*VLOOKUP($F110,'Emission Factors 2'!$A$2:$E$302,2,FALSE)</f>
        <v>0</v>
      </c>
      <c r="AB110" s="68">
        <f>P110*VLOOKUP($F110,'Emission Factors 2'!$A$2:$E$302,2,FALSE)</f>
        <v>0</v>
      </c>
      <c r="AC110" s="68">
        <f>Q110*VLOOKUP($F110,'Emission Factors 2'!$A$2:$E$302,2,FALSE)</f>
        <v>0</v>
      </c>
      <c r="AD110" s="68">
        <f>R110*VLOOKUP($F110,'Emission Factors 2'!$A$2:$E$302,2,FALSE)</f>
        <v>0</v>
      </c>
      <c r="AE110" s="68">
        <f>S110*VLOOKUP($F110,'Emission Factors 2'!$A$2:$E$302,2,FALSE)</f>
        <v>0</v>
      </c>
      <c r="AF110" s="19">
        <f t="shared" si="7"/>
        <v>0</v>
      </c>
      <c r="AG110" s="31"/>
      <c r="AH110" s="31"/>
      <c r="AI110" s="31"/>
      <c r="AJ110" s="31"/>
    </row>
    <row r="111" spans="1:36" ht="21.95" customHeight="1" outlineLevel="1" x14ac:dyDescent="0.25">
      <c r="A111" s="118"/>
      <c r="B111" s="133"/>
      <c r="C111" s="29"/>
      <c r="D111" s="27" t="s">
        <v>343</v>
      </c>
      <c r="E111" s="81" t="str">
        <f>'Index Formatting'!$I$19</f>
        <v>M</v>
      </c>
      <c r="F111" s="7" t="s">
        <v>344</v>
      </c>
      <c r="G111" s="15" t="s">
        <v>127</v>
      </c>
      <c r="H111" s="67"/>
      <c r="I111" s="67"/>
      <c r="J111" s="67"/>
      <c r="K111" s="67"/>
      <c r="L111" s="67"/>
      <c r="M111" s="67"/>
      <c r="N111" s="67"/>
      <c r="O111" s="67"/>
      <c r="P111" s="67"/>
      <c r="Q111" s="67"/>
      <c r="R111" s="67"/>
      <c r="S111" s="67"/>
      <c r="T111" s="68">
        <f>H111*VLOOKUP($F111,'Emission Factors 2'!$A$2:$E$302,2,FALSE)</f>
        <v>0</v>
      </c>
      <c r="U111" s="68">
        <f>I111*VLOOKUP($F111,'Emission Factors 2'!$A$2:$E$302,2,FALSE)</f>
        <v>0</v>
      </c>
      <c r="V111" s="68">
        <f>J111*VLOOKUP($F111,'Emission Factors 2'!$A$2:$E$302,2,FALSE)</f>
        <v>0</v>
      </c>
      <c r="W111" s="68">
        <f>K111*VLOOKUP($F111,'Emission Factors 2'!$A$2:$E$302,2,FALSE)</f>
        <v>0</v>
      </c>
      <c r="X111" s="68">
        <f>L111*VLOOKUP($F111,'Emission Factors 2'!$A$2:$E$302,2,FALSE)</f>
        <v>0</v>
      </c>
      <c r="Y111" s="68">
        <f>M111*VLOOKUP($F111,'Emission Factors 2'!$A$2:$E$302,2,FALSE)</f>
        <v>0</v>
      </c>
      <c r="Z111" s="68">
        <f>N111*VLOOKUP($F111,'Emission Factors 2'!$A$2:$E$302,2,FALSE)</f>
        <v>0</v>
      </c>
      <c r="AA111" s="68">
        <f>O111*VLOOKUP($F111,'Emission Factors 2'!$A$2:$E$302,2,FALSE)</f>
        <v>0</v>
      </c>
      <c r="AB111" s="68">
        <f>P111*VLOOKUP($F111,'Emission Factors 2'!$A$2:$E$302,2,FALSE)</f>
        <v>0</v>
      </c>
      <c r="AC111" s="68">
        <f>Q111*VLOOKUP($F111,'Emission Factors 2'!$A$2:$E$302,2,FALSE)</f>
        <v>0</v>
      </c>
      <c r="AD111" s="68">
        <f>R111*VLOOKUP($F111,'Emission Factors 2'!$A$2:$E$302,2,FALSE)</f>
        <v>0</v>
      </c>
      <c r="AE111" s="68">
        <f>S111*VLOOKUP($F111,'Emission Factors 2'!$A$2:$E$302,2,FALSE)</f>
        <v>0</v>
      </c>
      <c r="AF111" s="19">
        <f t="shared" si="7"/>
        <v>0</v>
      </c>
      <c r="AG111" s="31"/>
      <c r="AH111" s="31"/>
      <c r="AI111" s="31"/>
      <c r="AJ111" s="31"/>
    </row>
    <row r="112" spans="1:36" ht="21.95" customHeight="1" outlineLevel="1" x14ac:dyDescent="0.25">
      <c r="A112" s="118"/>
      <c r="B112" s="133"/>
      <c r="C112" s="29"/>
      <c r="D112" s="27" t="s">
        <v>343</v>
      </c>
      <c r="E112" s="81" t="str">
        <f>'Index Formatting'!$I$19</f>
        <v>M</v>
      </c>
      <c r="F112" s="7" t="s">
        <v>345</v>
      </c>
      <c r="G112" s="15" t="s">
        <v>127</v>
      </c>
      <c r="H112" s="67"/>
      <c r="I112" s="67"/>
      <c r="J112" s="67"/>
      <c r="K112" s="67"/>
      <c r="L112" s="67"/>
      <c r="M112" s="67"/>
      <c r="N112" s="67"/>
      <c r="O112" s="67"/>
      <c r="P112" s="67"/>
      <c r="Q112" s="67"/>
      <c r="R112" s="67"/>
      <c r="S112" s="67"/>
      <c r="T112" s="68">
        <f>H112*VLOOKUP($F112,'Emission Factors 2'!$A$2:$E$302,2,FALSE)</f>
        <v>0</v>
      </c>
      <c r="U112" s="68">
        <f>I112*VLOOKUP($F112,'Emission Factors 2'!$A$2:$E$302,2,FALSE)</f>
        <v>0</v>
      </c>
      <c r="V112" s="68">
        <f>J112*VLOOKUP($F112,'Emission Factors 2'!$A$2:$E$302,2,FALSE)</f>
        <v>0</v>
      </c>
      <c r="W112" s="68">
        <f>K112*VLOOKUP($F112,'Emission Factors 2'!$A$2:$E$302,2,FALSE)</f>
        <v>0</v>
      </c>
      <c r="X112" s="68">
        <f>L112*VLOOKUP($F112,'Emission Factors 2'!$A$2:$E$302,2,FALSE)</f>
        <v>0</v>
      </c>
      <c r="Y112" s="68">
        <f>M112*VLOOKUP($F112,'Emission Factors 2'!$A$2:$E$302,2,FALSE)</f>
        <v>0</v>
      </c>
      <c r="Z112" s="68">
        <f>N112*VLOOKUP($F112,'Emission Factors 2'!$A$2:$E$302,2,FALSE)</f>
        <v>0</v>
      </c>
      <c r="AA112" s="68">
        <f>O112*VLOOKUP($F112,'Emission Factors 2'!$A$2:$E$302,2,FALSE)</f>
        <v>0</v>
      </c>
      <c r="AB112" s="68">
        <f>P112*VLOOKUP($F112,'Emission Factors 2'!$A$2:$E$302,2,FALSE)</f>
        <v>0</v>
      </c>
      <c r="AC112" s="68">
        <f>Q112*VLOOKUP($F112,'Emission Factors 2'!$A$2:$E$302,2,FALSE)</f>
        <v>0</v>
      </c>
      <c r="AD112" s="68">
        <f>R112*VLOOKUP($F112,'Emission Factors 2'!$A$2:$E$302,2,FALSE)</f>
        <v>0</v>
      </c>
      <c r="AE112" s="68">
        <f>S112*VLOOKUP($F112,'Emission Factors 2'!$A$2:$E$302,2,FALSE)</f>
        <v>0</v>
      </c>
      <c r="AF112" s="19">
        <f t="shared" si="7"/>
        <v>0</v>
      </c>
      <c r="AG112" s="31"/>
      <c r="AH112" s="31"/>
      <c r="AI112" s="31"/>
      <c r="AJ112" s="31"/>
    </row>
    <row r="113" spans="1:36" ht="21.95" customHeight="1" outlineLevel="1" x14ac:dyDescent="0.25">
      <c r="A113" s="118"/>
      <c r="B113" s="133"/>
      <c r="C113" s="29"/>
      <c r="D113" s="27" t="s">
        <v>346</v>
      </c>
      <c r="E113" s="81" t="str">
        <f>'Index Formatting'!$I$19</f>
        <v>M</v>
      </c>
      <c r="F113" s="7" t="s">
        <v>347</v>
      </c>
      <c r="G113" s="15" t="s">
        <v>109</v>
      </c>
      <c r="H113" s="67"/>
      <c r="I113" s="67"/>
      <c r="J113" s="67"/>
      <c r="K113" s="67"/>
      <c r="L113" s="67"/>
      <c r="M113" s="67"/>
      <c r="N113" s="67"/>
      <c r="O113" s="67"/>
      <c r="P113" s="67"/>
      <c r="Q113" s="67"/>
      <c r="R113" s="67"/>
      <c r="S113" s="67"/>
      <c r="T113" s="68">
        <f>H113*VLOOKUP($F113,'Emission Factors 2'!$A$2:$E$302,2,FALSE)</f>
        <v>0</v>
      </c>
      <c r="U113" s="68">
        <f>I113*VLOOKUP($F113,'Emission Factors 2'!$A$2:$E$302,2,FALSE)</f>
        <v>0</v>
      </c>
      <c r="V113" s="68">
        <f>J113*VLOOKUP($F113,'Emission Factors 2'!$A$2:$E$302,2,FALSE)</f>
        <v>0</v>
      </c>
      <c r="W113" s="68">
        <f>K113*VLOOKUP($F113,'Emission Factors 2'!$A$2:$E$302,2,FALSE)</f>
        <v>0</v>
      </c>
      <c r="X113" s="68">
        <f>L113*VLOOKUP($F113,'Emission Factors 2'!$A$2:$E$302,2,FALSE)</f>
        <v>0</v>
      </c>
      <c r="Y113" s="68">
        <f>M113*VLOOKUP($F113,'Emission Factors 2'!$A$2:$E$302,2,FALSE)</f>
        <v>0</v>
      </c>
      <c r="Z113" s="68">
        <f>N113*VLOOKUP($F113,'Emission Factors 2'!$A$2:$E$302,2,FALSE)</f>
        <v>0</v>
      </c>
      <c r="AA113" s="68">
        <f>O113*VLOOKUP($F113,'Emission Factors 2'!$A$2:$E$302,2,FALSE)</f>
        <v>0</v>
      </c>
      <c r="AB113" s="68">
        <f>P113*VLOOKUP($F113,'Emission Factors 2'!$A$2:$E$302,2,FALSE)</f>
        <v>0</v>
      </c>
      <c r="AC113" s="68">
        <f>Q113*VLOOKUP($F113,'Emission Factors 2'!$A$2:$E$302,2,FALSE)</f>
        <v>0</v>
      </c>
      <c r="AD113" s="68">
        <f>R113*VLOOKUP($F113,'Emission Factors 2'!$A$2:$E$302,2,FALSE)</f>
        <v>0</v>
      </c>
      <c r="AE113" s="68">
        <f>S113*VLOOKUP($F113,'Emission Factors 2'!$A$2:$E$302,2,FALSE)</f>
        <v>0</v>
      </c>
      <c r="AF113" s="19">
        <f t="shared" si="7"/>
        <v>0</v>
      </c>
      <c r="AG113" s="31"/>
      <c r="AH113" s="31"/>
      <c r="AI113" s="31"/>
      <c r="AJ113" s="31"/>
    </row>
    <row r="114" spans="1:36" ht="21.95" customHeight="1" outlineLevel="1" x14ac:dyDescent="0.25">
      <c r="A114" s="118"/>
      <c r="B114" s="133"/>
      <c r="C114" s="29"/>
      <c r="D114" s="27" t="s">
        <v>346</v>
      </c>
      <c r="E114" s="81" t="str">
        <f>'Index Formatting'!$I$19</f>
        <v>M</v>
      </c>
      <c r="F114" s="7" t="s">
        <v>348</v>
      </c>
      <c r="G114" s="15" t="s">
        <v>109</v>
      </c>
      <c r="H114" s="67"/>
      <c r="I114" s="67"/>
      <c r="J114" s="67"/>
      <c r="K114" s="67"/>
      <c r="L114" s="67"/>
      <c r="M114" s="67"/>
      <c r="N114" s="67"/>
      <c r="O114" s="67"/>
      <c r="P114" s="67"/>
      <c r="Q114" s="67"/>
      <c r="R114" s="67"/>
      <c r="S114" s="67"/>
      <c r="T114" s="68">
        <f>H114*VLOOKUP($F114,'Emission Factors 2'!$A$2:$E$302,2,FALSE)</f>
        <v>0</v>
      </c>
      <c r="U114" s="68">
        <f>I114*VLOOKUP($F114,'Emission Factors 2'!$A$2:$E$302,2,FALSE)</f>
        <v>0</v>
      </c>
      <c r="V114" s="68">
        <f>J114*VLOOKUP($F114,'Emission Factors 2'!$A$2:$E$302,2,FALSE)</f>
        <v>0</v>
      </c>
      <c r="W114" s="68">
        <f>K114*VLOOKUP($F114,'Emission Factors 2'!$A$2:$E$302,2,FALSE)</f>
        <v>0</v>
      </c>
      <c r="X114" s="68">
        <f>L114*VLOOKUP($F114,'Emission Factors 2'!$A$2:$E$302,2,FALSE)</f>
        <v>0</v>
      </c>
      <c r="Y114" s="68">
        <f>M114*VLOOKUP($F114,'Emission Factors 2'!$A$2:$E$302,2,FALSE)</f>
        <v>0</v>
      </c>
      <c r="Z114" s="68">
        <f>N114*VLOOKUP($F114,'Emission Factors 2'!$A$2:$E$302,2,FALSE)</f>
        <v>0</v>
      </c>
      <c r="AA114" s="68">
        <f>O114*VLOOKUP($F114,'Emission Factors 2'!$A$2:$E$302,2,FALSE)</f>
        <v>0</v>
      </c>
      <c r="AB114" s="68">
        <f>P114*VLOOKUP($F114,'Emission Factors 2'!$A$2:$E$302,2,FALSE)</f>
        <v>0</v>
      </c>
      <c r="AC114" s="68">
        <f>Q114*VLOOKUP($F114,'Emission Factors 2'!$A$2:$E$302,2,FALSE)</f>
        <v>0</v>
      </c>
      <c r="AD114" s="68">
        <f>R114*VLOOKUP($F114,'Emission Factors 2'!$A$2:$E$302,2,FALSE)</f>
        <v>0</v>
      </c>
      <c r="AE114" s="68">
        <f>S114*VLOOKUP($F114,'Emission Factors 2'!$A$2:$E$302,2,FALSE)</f>
        <v>0</v>
      </c>
      <c r="AF114" s="19">
        <f t="shared" si="7"/>
        <v>0</v>
      </c>
      <c r="AG114" s="31"/>
      <c r="AH114" s="31"/>
      <c r="AI114" s="31"/>
      <c r="AJ114" s="31"/>
    </row>
    <row r="115" spans="1:36" ht="21.95" customHeight="1" outlineLevel="1" x14ac:dyDescent="0.25">
      <c r="A115" s="118"/>
      <c r="B115" s="133"/>
      <c r="C115" s="29"/>
      <c r="D115" s="27" t="s">
        <v>346</v>
      </c>
      <c r="E115" s="81" t="str">
        <f>'Index Formatting'!$I$19</f>
        <v>M</v>
      </c>
      <c r="F115" s="7" t="s">
        <v>349</v>
      </c>
      <c r="G115" s="15" t="s">
        <v>295</v>
      </c>
      <c r="H115" s="67"/>
      <c r="I115" s="67"/>
      <c r="J115" s="67"/>
      <c r="K115" s="67"/>
      <c r="L115" s="67"/>
      <c r="M115" s="67"/>
      <c r="N115" s="67"/>
      <c r="O115" s="67"/>
      <c r="P115" s="67"/>
      <c r="Q115" s="67"/>
      <c r="R115" s="67"/>
      <c r="S115" s="67"/>
      <c r="T115" s="68">
        <f>H115*VLOOKUP($F115,'Emission Factors 2'!$A$2:$E$302,2,FALSE)</f>
        <v>0</v>
      </c>
      <c r="U115" s="68">
        <f>I115*VLOOKUP($F115,'Emission Factors 2'!$A$2:$E$302,2,FALSE)</f>
        <v>0</v>
      </c>
      <c r="V115" s="68">
        <f>J115*VLOOKUP($F115,'Emission Factors 2'!$A$2:$E$302,2,FALSE)</f>
        <v>0</v>
      </c>
      <c r="W115" s="68">
        <f>K115*VLOOKUP($F115,'Emission Factors 2'!$A$2:$E$302,2,FALSE)</f>
        <v>0</v>
      </c>
      <c r="X115" s="68">
        <f>L115*VLOOKUP($F115,'Emission Factors 2'!$A$2:$E$302,2,FALSE)</f>
        <v>0</v>
      </c>
      <c r="Y115" s="68">
        <f>M115*VLOOKUP($F115,'Emission Factors 2'!$A$2:$E$302,2,FALSE)</f>
        <v>0</v>
      </c>
      <c r="Z115" s="68">
        <f>N115*VLOOKUP($F115,'Emission Factors 2'!$A$2:$E$302,2,FALSE)</f>
        <v>0</v>
      </c>
      <c r="AA115" s="68">
        <f>O115*VLOOKUP($F115,'Emission Factors 2'!$A$2:$E$302,2,FALSE)</f>
        <v>0</v>
      </c>
      <c r="AB115" s="68">
        <f>P115*VLOOKUP($F115,'Emission Factors 2'!$A$2:$E$302,2,FALSE)</f>
        <v>0</v>
      </c>
      <c r="AC115" s="68">
        <f>Q115*VLOOKUP($F115,'Emission Factors 2'!$A$2:$E$302,2,FALSE)</f>
        <v>0</v>
      </c>
      <c r="AD115" s="68">
        <f>R115*VLOOKUP($F115,'Emission Factors 2'!$A$2:$E$302,2,FALSE)</f>
        <v>0</v>
      </c>
      <c r="AE115" s="68">
        <f>S115*VLOOKUP($F115,'Emission Factors 2'!$A$2:$E$302,2,FALSE)</f>
        <v>0</v>
      </c>
      <c r="AF115" s="19">
        <f t="shared" si="7"/>
        <v>0</v>
      </c>
      <c r="AG115" s="31"/>
      <c r="AH115" s="31"/>
      <c r="AI115" s="31"/>
      <c r="AJ115" s="31"/>
    </row>
    <row r="116" spans="1:36" ht="21.95" customHeight="1" outlineLevel="1" x14ac:dyDescent="0.25">
      <c r="A116" s="118"/>
      <c r="B116" s="133"/>
      <c r="C116" s="29"/>
      <c r="D116" s="27" t="s">
        <v>346</v>
      </c>
      <c r="E116" s="81" t="str">
        <f>'Index Formatting'!$I$19</f>
        <v>M</v>
      </c>
      <c r="F116" s="7" t="s">
        <v>350</v>
      </c>
      <c r="G116" s="15" t="s">
        <v>295</v>
      </c>
      <c r="H116" s="67"/>
      <c r="I116" s="67"/>
      <c r="J116" s="67"/>
      <c r="K116" s="67"/>
      <c r="L116" s="67"/>
      <c r="M116" s="67"/>
      <c r="N116" s="67"/>
      <c r="O116" s="67"/>
      <c r="P116" s="67"/>
      <c r="Q116" s="67"/>
      <c r="R116" s="67"/>
      <c r="S116" s="67"/>
      <c r="T116" s="68">
        <f>H116*VLOOKUP($F116,'Emission Factors 2'!$A$2:$E$302,2,FALSE)</f>
        <v>0</v>
      </c>
      <c r="U116" s="68">
        <f>I116*VLOOKUP($F116,'Emission Factors 2'!$A$2:$E$302,2,FALSE)</f>
        <v>0</v>
      </c>
      <c r="V116" s="68">
        <f>J116*VLOOKUP($F116,'Emission Factors 2'!$A$2:$E$302,2,FALSE)</f>
        <v>0</v>
      </c>
      <c r="W116" s="68">
        <f>K116*VLOOKUP($F116,'Emission Factors 2'!$A$2:$E$302,2,FALSE)</f>
        <v>0</v>
      </c>
      <c r="X116" s="68">
        <f>L116*VLOOKUP($F116,'Emission Factors 2'!$A$2:$E$302,2,FALSE)</f>
        <v>0</v>
      </c>
      <c r="Y116" s="68">
        <f>M116*VLOOKUP($F116,'Emission Factors 2'!$A$2:$E$302,2,FALSE)</f>
        <v>0</v>
      </c>
      <c r="Z116" s="68">
        <f>N116*VLOOKUP($F116,'Emission Factors 2'!$A$2:$E$302,2,FALSE)</f>
        <v>0</v>
      </c>
      <c r="AA116" s="68">
        <f>O116*VLOOKUP($F116,'Emission Factors 2'!$A$2:$E$302,2,FALSE)</f>
        <v>0</v>
      </c>
      <c r="AB116" s="68">
        <f>P116*VLOOKUP($F116,'Emission Factors 2'!$A$2:$E$302,2,FALSE)</f>
        <v>0</v>
      </c>
      <c r="AC116" s="68">
        <f>Q116*VLOOKUP($F116,'Emission Factors 2'!$A$2:$E$302,2,FALSE)</f>
        <v>0</v>
      </c>
      <c r="AD116" s="68">
        <f>R116*VLOOKUP($F116,'Emission Factors 2'!$A$2:$E$302,2,FALSE)</f>
        <v>0</v>
      </c>
      <c r="AE116" s="68">
        <f>S116*VLOOKUP($F116,'Emission Factors 2'!$A$2:$E$302,2,FALSE)</f>
        <v>0</v>
      </c>
      <c r="AF116" s="19">
        <f t="shared" si="7"/>
        <v>0</v>
      </c>
      <c r="AG116" s="31"/>
      <c r="AH116" s="31"/>
      <c r="AI116" s="31"/>
      <c r="AJ116" s="31"/>
    </row>
    <row r="117" spans="1:36" ht="21.95" customHeight="1" outlineLevel="1" x14ac:dyDescent="0.25">
      <c r="A117" s="118"/>
      <c r="B117" s="133"/>
      <c r="C117" s="29"/>
      <c r="D117" s="27" t="s">
        <v>346</v>
      </c>
      <c r="E117" s="81" t="str">
        <f>'Index Formatting'!$I$19</f>
        <v>M</v>
      </c>
      <c r="F117" s="7" t="s">
        <v>351</v>
      </c>
      <c r="G117" s="15" t="s">
        <v>295</v>
      </c>
      <c r="H117" s="67"/>
      <c r="I117" s="67"/>
      <c r="J117" s="67"/>
      <c r="K117" s="67"/>
      <c r="L117" s="67"/>
      <c r="M117" s="67"/>
      <c r="N117" s="67"/>
      <c r="O117" s="67"/>
      <c r="P117" s="67"/>
      <c r="Q117" s="67"/>
      <c r="R117" s="67"/>
      <c r="S117" s="67"/>
      <c r="T117" s="68">
        <f>H117*VLOOKUP($F117,'Emission Factors 2'!$A$2:$E$302,2,FALSE)</f>
        <v>0</v>
      </c>
      <c r="U117" s="68">
        <f>I117*VLOOKUP($F117,'Emission Factors 2'!$A$2:$E$302,2,FALSE)</f>
        <v>0</v>
      </c>
      <c r="V117" s="68">
        <f>J117*VLOOKUP($F117,'Emission Factors 2'!$A$2:$E$302,2,FALSE)</f>
        <v>0</v>
      </c>
      <c r="W117" s="68">
        <f>K117*VLOOKUP($F117,'Emission Factors 2'!$A$2:$E$302,2,FALSE)</f>
        <v>0</v>
      </c>
      <c r="X117" s="68">
        <f>L117*VLOOKUP($F117,'Emission Factors 2'!$A$2:$E$302,2,FALSE)</f>
        <v>0</v>
      </c>
      <c r="Y117" s="68">
        <f>M117*VLOOKUP($F117,'Emission Factors 2'!$A$2:$E$302,2,FALSE)</f>
        <v>0</v>
      </c>
      <c r="Z117" s="68">
        <f>N117*VLOOKUP($F117,'Emission Factors 2'!$A$2:$E$302,2,FALSE)</f>
        <v>0</v>
      </c>
      <c r="AA117" s="68">
        <f>O117*VLOOKUP($F117,'Emission Factors 2'!$A$2:$E$302,2,FALSE)</f>
        <v>0</v>
      </c>
      <c r="AB117" s="68">
        <f>P117*VLOOKUP($F117,'Emission Factors 2'!$A$2:$E$302,2,FALSE)</f>
        <v>0</v>
      </c>
      <c r="AC117" s="68">
        <f>Q117*VLOOKUP($F117,'Emission Factors 2'!$A$2:$E$302,2,FALSE)</f>
        <v>0</v>
      </c>
      <c r="AD117" s="68">
        <f>R117*VLOOKUP($F117,'Emission Factors 2'!$A$2:$E$302,2,FALSE)</f>
        <v>0</v>
      </c>
      <c r="AE117" s="68">
        <f>S117*VLOOKUP($F117,'Emission Factors 2'!$A$2:$E$302,2,FALSE)</f>
        <v>0</v>
      </c>
      <c r="AF117" s="19">
        <f t="shared" si="7"/>
        <v>0</v>
      </c>
      <c r="AG117" s="31"/>
      <c r="AH117" s="31"/>
      <c r="AI117" s="31"/>
      <c r="AJ117" s="31"/>
    </row>
    <row r="118" spans="1:36" ht="21.95" customHeight="1" outlineLevel="1" x14ac:dyDescent="0.25">
      <c r="A118" s="118"/>
      <c r="B118" s="133"/>
      <c r="C118" s="29"/>
      <c r="D118" s="27" t="s">
        <v>352</v>
      </c>
      <c r="E118" s="81" t="str">
        <f>'Index Formatting'!$I$19</f>
        <v>M</v>
      </c>
      <c r="F118" s="7" t="s">
        <v>353</v>
      </c>
      <c r="G118" s="15" t="s">
        <v>127</v>
      </c>
      <c r="H118" s="67"/>
      <c r="I118" s="67"/>
      <c r="J118" s="67"/>
      <c r="K118" s="67"/>
      <c r="L118" s="67"/>
      <c r="M118" s="67"/>
      <c r="N118" s="67"/>
      <c r="O118" s="67"/>
      <c r="P118" s="67"/>
      <c r="Q118" s="67"/>
      <c r="R118" s="67"/>
      <c r="S118" s="67"/>
      <c r="T118" s="68">
        <f>H118*VLOOKUP($F118,'Emission Factors 2'!$A$2:$E$302,2,FALSE)</f>
        <v>0</v>
      </c>
      <c r="U118" s="68">
        <f>I118*VLOOKUP($F118,'Emission Factors 2'!$A$2:$E$302,2,FALSE)</f>
        <v>0</v>
      </c>
      <c r="V118" s="68">
        <f>J118*VLOOKUP($F118,'Emission Factors 2'!$A$2:$E$302,2,FALSE)</f>
        <v>0</v>
      </c>
      <c r="W118" s="68">
        <f>K118*VLOOKUP($F118,'Emission Factors 2'!$A$2:$E$302,2,FALSE)</f>
        <v>0</v>
      </c>
      <c r="X118" s="68">
        <f>L118*VLOOKUP($F118,'Emission Factors 2'!$A$2:$E$302,2,FALSE)</f>
        <v>0</v>
      </c>
      <c r="Y118" s="68">
        <f>M118*VLOOKUP($F118,'Emission Factors 2'!$A$2:$E$302,2,FALSE)</f>
        <v>0</v>
      </c>
      <c r="Z118" s="68">
        <f>N118*VLOOKUP($F118,'Emission Factors 2'!$A$2:$E$302,2,FALSE)</f>
        <v>0</v>
      </c>
      <c r="AA118" s="68">
        <f>O118*VLOOKUP($F118,'Emission Factors 2'!$A$2:$E$302,2,FALSE)</f>
        <v>0</v>
      </c>
      <c r="AB118" s="68">
        <f>P118*VLOOKUP($F118,'Emission Factors 2'!$A$2:$E$302,2,FALSE)</f>
        <v>0</v>
      </c>
      <c r="AC118" s="68">
        <f>Q118*VLOOKUP($F118,'Emission Factors 2'!$A$2:$E$302,2,FALSE)</f>
        <v>0</v>
      </c>
      <c r="AD118" s="68">
        <f>R118*VLOOKUP($F118,'Emission Factors 2'!$A$2:$E$302,2,FALSE)</f>
        <v>0</v>
      </c>
      <c r="AE118" s="68">
        <f>S118*VLOOKUP($F118,'Emission Factors 2'!$A$2:$E$302,2,FALSE)</f>
        <v>0</v>
      </c>
      <c r="AF118" s="19">
        <f t="shared" si="7"/>
        <v>0</v>
      </c>
      <c r="AG118" s="31"/>
      <c r="AH118" s="31"/>
      <c r="AI118" s="31"/>
      <c r="AJ118" s="31"/>
    </row>
    <row r="119" spans="1:36" ht="21.95" customHeight="1" x14ac:dyDescent="0.25">
      <c r="A119" s="130" t="str">
        <f>IF(COUNTIF(E120:E141,"M"),"Pathways - Third Order", "Pathways - Third Order (Optional)")</f>
        <v>Pathways - Third Order (Optional)</v>
      </c>
      <c r="B119" s="131"/>
      <c r="C119" s="131"/>
      <c r="D119" s="131"/>
      <c r="E119" s="131"/>
      <c r="F119" s="131"/>
      <c r="G119" s="132"/>
      <c r="H119" s="137"/>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9">
        <f>SUM(AF120:AF141)</f>
        <v>5067254.8814362772</v>
      </c>
      <c r="AG119" s="31"/>
      <c r="AH119" s="31"/>
      <c r="AI119" s="31"/>
      <c r="AJ119" s="31"/>
    </row>
    <row r="120" spans="1:36" ht="21.95" customHeight="1" outlineLevel="1" x14ac:dyDescent="0.25">
      <c r="A120" s="118">
        <v>7</v>
      </c>
      <c r="B120" s="133" t="s">
        <v>334</v>
      </c>
      <c r="C120" s="29"/>
      <c r="D120" s="27" t="s">
        <v>325</v>
      </c>
      <c r="E120" s="82" t="str">
        <f>'Index Formatting'!I$20</f>
        <v>O</v>
      </c>
      <c r="F120" s="7" t="s">
        <v>326</v>
      </c>
      <c r="G120" s="15" t="s">
        <v>82</v>
      </c>
      <c r="H120" s="67"/>
      <c r="I120" s="67"/>
      <c r="J120" s="67"/>
      <c r="K120" s="67"/>
      <c r="L120" s="67"/>
      <c r="M120" s="67"/>
      <c r="N120" s="67"/>
      <c r="O120" s="67"/>
      <c r="P120" s="67"/>
      <c r="Q120" s="67"/>
      <c r="R120" s="67"/>
      <c r="S120" s="67"/>
      <c r="T120" s="68">
        <f>H120*VLOOKUP($F120,'Emission Factors 2'!$A$2:$E$302,2,FALSE)</f>
        <v>0</v>
      </c>
      <c r="U120" s="68">
        <f>I120*VLOOKUP($F120,'Emission Factors 2'!$A$2:$E$302,2,FALSE)</f>
        <v>0</v>
      </c>
      <c r="V120" s="68">
        <f>J120*VLOOKUP($F120,'Emission Factors 2'!$A$2:$E$302,2,FALSE)</f>
        <v>0</v>
      </c>
      <c r="W120" s="68">
        <f>K120*VLOOKUP($F120,'Emission Factors 2'!$A$2:$E$302,2,FALSE)</f>
        <v>0</v>
      </c>
      <c r="X120" s="68">
        <f>L120*VLOOKUP($F120,'Emission Factors 2'!$A$2:$E$302,2,FALSE)</f>
        <v>0</v>
      </c>
      <c r="Y120" s="68">
        <f>M120*VLOOKUP($F120,'Emission Factors 2'!$A$2:$E$302,2,FALSE)</f>
        <v>0</v>
      </c>
      <c r="Z120" s="68">
        <f>N120*VLOOKUP($F120,'Emission Factors 2'!$A$2:$E$302,2,FALSE)</f>
        <v>0</v>
      </c>
      <c r="AA120" s="68">
        <f>O120*VLOOKUP($F120,'Emission Factors 2'!$A$2:$E$302,2,FALSE)</f>
        <v>0</v>
      </c>
      <c r="AB120" s="68">
        <f>P120*VLOOKUP($F120,'Emission Factors 2'!$A$2:$E$302,2,FALSE)</f>
        <v>0</v>
      </c>
      <c r="AC120" s="68">
        <f>Q120*VLOOKUP($F120,'Emission Factors 2'!$A$2:$E$302,2,FALSE)</f>
        <v>0</v>
      </c>
      <c r="AD120" s="68">
        <f>R120*VLOOKUP($F120,'Emission Factors 2'!$A$2:$E$302,2,FALSE)</f>
        <v>0</v>
      </c>
      <c r="AE120" s="68">
        <f>S120*VLOOKUP($F120,'Emission Factors 2'!$A$2:$E$302,2,FALSE)</f>
        <v>0</v>
      </c>
      <c r="AF120" s="19">
        <f t="shared" si="7"/>
        <v>0</v>
      </c>
      <c r="AG120" s="31"/>
      <c r="AH120" s="31"/>
      <c r="AI120" s="31"/>
      <c r="AJ120" s="31"/>
    </row>
    <row r="121" spans="1:36" ht="21.95" customHeight="1" outlineLevel="1" x14ac:dyDescent="0.25">
      <c r="A121" s="118"/>
      <c r="B121" s="133"/>
      <c r="C121" s="29"/>
      <c r="D121" s="27" t="s">
        <v>325</v>
      </c>
      <c r="E121" s="82" t="str">
        <f>'Index Formatting'!I$20</f>
        <v>O</v>
      </c>
      <c r="F121" s="7" t="s">
        <v>327</v>
      </c>
      <c r="G121" s="15" t="s">
        <v>82</v>
      </c>
      <c r="H121" s="67"/>
      <c r="I121" s="67"/>
      <c r="J121" s="67"/>
      <c r="K121" s="67"/>
      <c r="L121" s="67"/>
      <c r="M121" s="67"/>
      <c r="N121" s="67"/>
      <c r="O121" s="67"/>
      <c r="P121" s="67"/>
      <c r="Q121" s="67"/>
      <c r="R121" s="67"/>
      <c r="S121" s="67"/>
      <c r="T121" s="68">
        <f>H121*VLOOKUP($F121,'Emission Factors 2'!$A$2:$E$302,2,FALSE)</f>
        <v>0</v>
      </c>
      <c r="U121" s="68">
        <f>I121*VLOOKUP($F121,'Emission Factors 2'!$A$2:$E$302,2,FALSE)</f>
        <v>0</v>
      </c>
      <c r="V121" s="68">
        <f>J121*VLOOKUP($F121,'Emission Factors 2'!$A$2:$E$302,2,FALSE)</f>
        <v>0</v>
      </c>
      <c r="W121" s="68">
        <f>K121*VLOOKUP($F121,'Emission Factors 2'!$A$2:$E$302,2,FALSE)</f>
        <v>0</v>
      </c>
      <c r="X121" s="68">
        <f>L121*VLOOKUP($F121,'Emission Factors 2'!$A$2:$E$302,2,FALSE)</f>
        <v>0</v>
      </c>
      <c r="Y121" s="68">
        <f>M121*VLOOKUP($F121,'Emission Factors 2'!$A$2:$E$302,2,FALSE)</f>
        <v>0</v>
      </c>
      <c r="Z121" s="68">
        <f>N121*VLOOKUP($F121,'Emission Factors 2'!$A$2:$E$302,2,FALSE)</f>
        <v>0</v>
      </c>
      <c r="AA121" s="68">
        <f>O121*VLOOKUP($F121,'Emission Factors 2'!$A$2:$E$302,2,FALSE)</f>
        <v>0</v>
      </c>
      <c r="AB121" s="68">
        <f>P121*VLOOKUP($F121,'Emission Factors 2'!$A$2:$E$302,2,FALSE)</f>
        <v>0</v>
      </c>
      <c r="AC121" s="68">
        <f>Q121*VLOOKUP($F121,'Emission Factors 2'!$A$2:$E$302,2,FALSE)</f>
        <v>0</v>
      </c>
      <c r="AD121" s="68">
        <f>R121*VLOOKUP($F121,'Emission Factors 2'!$A$2:$E$302,2,FALSE)</f>
        <v>0</v>
      </c>
      <c r="AE121" s="68">
        <f>S121*VLOOKUP($F121,'Emission Factors 2'!$A$2:$E$302,2,FALSE)</f>
        <v>0</v>
      </c>
      <c r="AF121" s="19">
        <f t="shared" si="7"/>
        <v>0</v>
      </c>
      <c r="AG121" s="31"/>
      <c r="AH121" s="31"/>
      <c r="AI121" s="31"/>
      <c r="AJ121" s="31"/>
    </row>
    <row r="122" spans="1:36" ht="21.95" customHeight="1" outlineLevel="1" x14ac:dyDescent="0.25">
      <c r="A122" s="118"/>
      <c r="B122" s="133"/>
      <c r="C122" s="29"/>
      <c r="D122" s="27" t="s">
        <v>325</v>
      </c>
      <c r="E122" s="82" t="str">
        <f>'Index Formatting'!I$20</f>
        <v>O</v>
      </c>
      <c r="F122" s="7" t="s">
        <v>328</v>
      </c>
      <c r="G122" s="15" t="s">
        <v>82</v>
      </c>
      <c r="H122" s="67"/>
      <c r="I122" s="67"/>
      <c r="J122" s="67"/>
      <c r="K122" s="67"/>
      <c r="L122" s="67"/>
      <c r="M122" s="67"/>
      <c r="N122" s="67"/>
      <c r="O122" s="67"/>
      <c r="P122" s="67"/>
      <c r="Q122" s="67"/>
      <c r="R122" s="67"/>
      <c r="S122" s="67"/>
      <c r="T122" s="68">
        <f>H122*VLOOKUP($F122,'Emission Factors 2'!$A$2:$E$302,2,FALSE)</f>
        <v>0</v>
      </c>
      <c r="U122" s="68">
        <f>I122*VLOOKUP($F122,'Emission Factors 2'!$A$2:$E$302,2,FALSE)</f>
        <v>0</v>
      </c>
      <c r="V122" s="68">
        <f>J122*VLOOKUP($F122,'Emission Factors 2'!$A$2:$E$302,2,FALSE)</f>
        <v>0</v>
      </c>
      <c r="W122" s="68">
        <f>K122*VLOOKUP($F122,'Emission Factors 2'!$A$2:$E$302,2,FALSE)</f>
        <v>0</v>
      </c>
      <c r="X122" s="68">
        <f>L122*VLOOKUP($F122,'Emission Factors 2'!$A$2:$E$302,2,FALSE)</f>
        <v>0</v>
      </c>
      <c r="Y122" s="68">
        <f>M122*VLOOKUP($F122,'Emission Factors 2'!$A$2:$E$302,2,FALSE)</f>
        <v>0</v>
      </c>
      <c r="Z122" s="68">
        <f>N122*VLOOKUP($F122,'Emission Factors 2'!$A$2:$E$302,2,FALSE)</f>
        <v>0</v>
      </c>
      <c r="AA122" s="68">
        <f>O122*VLOOKUP($F122,'Emission Factors 2'!$A$2:$E$302,2,FALSE)</f>
        <v>0</v>
      </c>
      <c r="AB122" s="68">
        <f>P122*VLOOKUP($F122,'Emission Factors 2'!$A$2:$E$302,2,FALSE)</f>
        <v>0</v>
      </c>
      <c r="AC122" s="68">
        <f>Q122*VLOOKUP($F122,'Emission Factors 2'!$A$2:$E$302,2,FALSE)</f>
        <v>0</v>
      </c>
      <c r="AD122" s="68">
        <f>R122*VLOOKUP($F122,'Emission Factors 2'!$A$2:$E$302,2,FALSE)</f>
        <v>0</v>
      </c>
      <c r="AE122" s="68">
        <f>S122*VLOOKUP($F122,'Emission Factors 2'!$A$2:$E$302,2,FALSE)</f>
        <v>0</v>
      </c>
      <c r="AF122" s="19">
        <f t="shared" si="7"/>
        <v>0</v>
      </c>
      <c r="AG122" s="31"/>
      <c r="AH122" s="31"/>
      <c r="AI122" s="31"/>
      <c r="AJ122" s="31"/>
    </row>
    <row r="123" spans="1:36" ht="21.95" customHeight="1" outlineLevel="1" x14ac:dyDescent="0.25">
      <c r="A123" s="118"/>
      <c r="B123" s="133"/>
      <c r="C123" s="29"/>
      <c r="D123" s="27" t="s">
        <v>325</v>
      </c>
      <c r="E123" s="82" t="str">
        <f>'Index Formatting'!I$20</f>
        <v>O</v>
      </c>
      <c r="F123" s="7" t="s">
        <v>329</v>
      </c>
      <c r="G123" s="15" t="s">
        <v>82</v>
      </c>
      <c r="H123" s="67"/>
      <c r="I123" s="67"/>
      <c r="J123" s="67"/>
      <c r="K123" s="67"/>
      <c r="L123" s="67"/>
      <c r="M123" s="67"/>
      <c r="N123" s="67"/>
      <c r="O123" s="67"/>
      <c r="P123" s="67"/>
      <c r="Q123" s="67"/>
      <c r="R123" s="67"/>
      <c r="S123" s="67"/>
      <c r="T123" s="68">
        <f>H123*VLOOKUP($F123,'Emission Factors 2'!$A$2:$E$302,2,FALSE)</f>
        <v>0</v>
      </c>
      <c r="U123" s="68">
        <f>I123*VLOOKUP($F123,'Emission Factors 2'!$A$2:$E$302,2,FALSE)</f>
        <v>0</v>
      </c>
      <c r="V123" s="68">
        <f>J123*VLOOKUP($F123,'Emission Factors 2'!$A$2:$E$302,2,FALSE)</f>
        <v>0</v>
      </c>
      <c r="W123" s="68">
        <f>K123*VLOOKUP($F123,'Emission Factors 2'!$A$2:$E$302,2,FALSE)</f>
        <v>0</v>
      </c>
      <c r="X123" s="68">
        <f>L123*VLOOKUP($F123,'Emission Factors 2'!$A$2:$E$302,2,FALSE)</f>
        <v>0</v>
      </c>
      <c r="Y123" s="68">
        <f>M123*VLOOKUP($F123,'Emission Factors 2'!$A$2:$E$302,2,FALSE)</f>
        <v>0</v>
      </c>
      <c r="Z123" s="68">
        <f>N123*VLOOKUP($F123,'Emission Factors 2'!$A$2:$E$302,2,FALSE)</f>
        <v>0</v>
      </c>
      <c r="AA123" s="68">
        <f>O123*VLOOKUP($F123,'Emission Factors 2'!$A$2:$E$302,2,FALSE)</f>
        <v>0</v>
      </c>
      <c r="AB123" s="68">
        <f>P123*VLOOKUP($F123,'Emission Factors 2'!$A$2:$E$302,2,FALSE)</f>
        <v>0</v>
      </c>
      <c r="AC123" s="68">
        <f>Q123*VLOOKUP($F123,'Emission Factors 2'!$A$2:$E$302,2,FALSE)</f>
        <v>0</v>
      </c>
      <c r="AD123" s="68">
        <f>R123*VLOOKUP($F123,'Emission Factors 2'!$A$2:$E$302,2,FALSE)</f>
        <v>0</v>
      </c>
      <c r="AE123" s="68">
        <f>S123*VLOOKUP($F123,'Emission Factors 2'!$A$2:$E$302,2,FALSE)</f>
        <v>0</v>
      </c>
      <c r="AF123" s="19">
        <f t="shared" si="7"/>
        <v>0</v>
      </c>
      <c r="AG123" s="31"/>
      <c r="AH123" s="31"/>
      <c r="AI123" s="31"/>
      <c r="AJ123" s="31"/>
    </row>
    <row r="124" spans="1:36" ht="21.95" customHeight="1" outlineLevel="1" x14ac:dyDescent="0.25">
      <c r="A124" s="118"/>
      <c r="B124" s="133"/>
      <c r="C124" s="29"/>
      <c r="D124" s="27" t="s">
        <v>325</v>
      </c>
      <c r="E124" s="82" t="str">
        <f>'Index Formatting'!I$20</f>
        <v>O</v>
      </c>
      <c r="F124" s="7" t="s">
        <v>330</v>
      </c>
      <c r="G124" s="15" t="s">
        <v>82</v>
      </c>
      <c r="H124" s="67"/>
      <c r="I124" s="67"/>
      <c r="J124" s="67"/>
      <c r="K124" s="67"/>
      <c r="L124" s="67"/>
      <c r="M124" s="67"/>
      <c r="N124" s="67"/>
      <c r="O124" s="67"/>
      <c r="P124" s="67"/>
      <c r="Q124" s="67"/>
      <c r="R124" s="67"/>
      <c r="S124" s="67"/>
      <c r="T124" s="68">
        <f>H124*VLOOKUP($F124,'Emission Factors 2'!$A$2:$E$302,2,FALSE)</f>
        <v>0</v>
      </c>
      <c r="U124" s="68">
        <f>I124*VLOOKUP($F124,'Emission Factors 2'!$A$2:$E$302,2,FALSE)</f>
        <v>0</v>
      </c>
      <c r="V124" s="68">
        <f>J124*VLOOKUP($F124,'Emission Factors 2'!$A$2:$E$302,2,FALSE)</f>
        <v>0</v>
      </c>
      <c r="W124" s="68">
        <f>K124*VLOOKUP($F124,'Emission Factors 2'!$A$2:$E$302,2,FALSE)</f>
        <v>0</v>
      </c>
      <c r="X124" s="68">
        <f>L124*VLOOKUP($F124,'Emission Factors 2'!$A$2:$E$302,2,FALSE)</f>
        <v>0</v>
      </c>
      <c r="Y124" s="68">
        <f>M124*VLOOKUP($F124,'Emission Factors 2'!$A$2:$E$302,2,FALSE)</f>
        <v>0</v>
      </c>
      <c r="Z124" s="68">
        <f>N124*VLOOKUP($F124,'Emission Factors 2'!$A$2:$E$302,2,FALSE)</f>
        <v>0</v>
      </c>
      <c r="AA124" s="68">
        <f>O124*VLOOKUP($F124,'Emission Factors 2'!$A$2:$E$302,2,FALSE)</f>
        <v>0</v>
      </c>
      <c r="AB124" s="68">
        <f>P124*VLOOKUP($F124,'Emission Factors 2'!$A$2:$E$302,2,FALSE)</f>
        <v>0</v>
      </c>
      <c r="AC124" s="68">
        <f>Q124*VLOOKUP($F124,'Emission Factors 2'!$A$2:$E$302,2,FALSE)</f>
        <v>0</v>
      </c>
      <c r="AD124" s="68">
        <f>R124*VLOOKUP($F124,'Emission Factors 2'!$A$2:$E$302,2,FALSE)</f>
        <v>0</v>
      </c>
      <c r="AE124" s="68">
        <f>S124*VLOOKUP($F124,'Emission Factors 2'!$A$2:$E$302,2,FALSE)</f>
        <v>0</v>
      </c>
      <c r="AF124" s="19">
        <f t="shared" si="7"/>
        <v>0</v>
      </c>
      <c r="AG124" s="31"/>
      <c r="AH124" s="31"/>
      <c r="AI124" s="31"/>
      <c r="AJ124" s="31"/>
    </row>
    <row r="125" spans="1:36" ht="21.95" customHeight="1" outlineLevel="1" x14ac:dyDescent="0.25">
      <c r="A125" s="118"/>
      <c r="B125" s="133"/>
      <c r="C125" s="29"/>
      <c r="D125" s="27" t="s">
        <v>325</v>
      </c>
      <c r="E125" s="82" t="str">
        <f>'Index Formatting'!I$20</f>
        <v>O</v>
      </c>
      <c r="F125" s="7" t="s">
        <v>331</v>
      </c>
      <c r="G125" s="15" t="s">
        <v>82</v>
      </c>
      <c r="H125" s="67"/>
      <c r="I125" s="67"/>
      <c r="J125" s="67"/>
      <c r="K125" s="67"/>
      <c r="L125" s="67"/>
      <c r="M125" s="67"/>
      <c r="N125" s="67"/>
      <c r="O125" s="67"/>
      <c r="P125" s="67"/>
      <c r="Q125" s="67"/>
      <c r="R125" s="67"/>
      <c r="S125" s="67"/>
      <c r="T125" s="68">
        <f>H125*VLOOKUP($F125,'Emission Factors 2'!$A$2:$E$302,2,FALSE)</f>
        <v>0</v>
      </c>
      <c r="U125" s="68">
        <f>I125*VLOOKUP($F125,'Emission Factors 2'!$A$2:$E$302,2,FALSE)</f>
        <v>0</v>
      </c>
      <c r="V125" s="68">
        <f>J125*VLOOKUP($F125,'Emission Factors 2'!$A$2:$E$302,2,FALSE)</f>
        <v>0</v>
      </c>
      <c r="W125" s="68">
        <f>K125*VLOOKUP($F125,'Emission Factors 2'!$A$2:$E$302,2,FALSE)</f>
        <v>0</v>
      </c>
      <c r="X125" s="68">
        <f>L125*VLOOKUP($F125,'Emission Factors 2'!$A$2:$E$302,2,FALSE)</f>
        <v>0</v>
      </c>
      <c r="Y125" s="68">
        <f>M125*VLOOKUP($F125,'Emission Factors 2'!$A$2:$E$302,2,FALSE)</f>
        <v>0</v>
      </c>
      <c r="Z125" s="68">
        <f>N125*VLOOKUP($F125,'Emission Factors 2'!$A$2:$E$302,2,FALSE)</f>
        <v>0</v>
      </c>
      <c r="AA125" s="68">
        <f>O125*VLOOKUP($F125,'Emission Factors 2'!$A$2:$E$302,2,FALSE)</f>
        <v>0</v>
      </c>
      <c r="AB125" s="68">
        <f>P125*VLOOKUP($F125,'Emission Factors 2'!$A$2:$E$302,2,FALSE)</f>
        <v>0</v>
      </c>
      <c r="AC125" s="68">
        <f>Q125*VLOOKUP($F125,'Emission Factors 2'!$A$2:$E$302,2,FALSE)</f>
        <v>0</v>
      </c>
      <c r="AD125" s="68">
        <f>R125*VLOOKUP($F125,'Emission Factors 2'!$A$2:$E$302,2,FALSE)</f>
        <v>0</v>
      </c>
      <c r="AE125" s="68">
        <f>S125*VLOOKUP($F125,'Emission Factors 2'!$A$2:$E$302,2,FALSE)</f>
        <v>0</v>
      </c>
      <c r="AF125" s="19">
        <f t="shared" si="7"/>
        <v>0</v>
      </c>
      <c r="AG125" s="31"/>
      <c r="AH125" s="31"/>
      <c r="AI125" s="31"/>
      <c r="AJ125" s="31"/>
    </row>
    <row r="126" spans="1:36" ht="21.95" customHeight="1" outlineLevel="1" x14ac:dyDescent="0.25">
      <c r="A126" s="118"/>
      <c r="B126" s="133"/>
      <c r="C126" s="29"/>
      <c r="D126" s="27" t="s">
        <v>325</v>
      </c>
      <c r="E126" s="82" t="str">
        <f>'Index Formatting'!I$20</f>
        <v>O</v>
      </c>
      <c r="F126" s="7" t="s">
        <v>332</v>
      </c>
      <c r="G126" s="15" t="s">
        <v>82</v>
      </c>
      <c r="H126" s="67"/>
      <c r="I126" s="67"/>
      <c r="J126" s="67"/>
      <c r="K126" s="67"/>
      <c r="L126" s="67"/>
      <c r="M126" s="67"/>
      <c r="N126" s="67"/>
      <c r="O126" s="67"/>
      <c r="P126" s="67"/>
      <c r="Q126" s="67"/>
      <c r="R126" s="67"/>
      <c r="S126" s="67"/>
      <c r="T126" s="68">
        <f>H126*VLOOKUP($F126,'Emission Factors 2'!$A$2:$E$302,2,FALSE)</f>
        <v>0</v>
      </c>
      <c r="U126" s="68">
        <f>I126*VLOOKUP($F126,'Emission Factors 2'!$A$2:$E$302,2,FALSE)</f>
        <v>0</v>
      </c>
      <c r="V126" s="68">
        <f>J126*VLOOKUP($F126,'Emission Factors 2'!$A$2:$E$302,2,FALSE)</f>
        <v>0</v>
      </c>
      <c r="W126" s="68">
        <f>K126*VLOOKUP($F126,'Emission Factors 2'!$A$2:$E$302,2,FALSE)</f>
        <v>0</v>
      </c>
      <c r="X126" s="68">
        <f>L126*VLOOKUP($F126,'Emission Factors 2'!$A$2:$E$302,2,FALSE)</f>
        <v>0</v>
      </c>
      <c r="Y126" s="68">
        <f>M126*VLOOKUP($F126,'Emission Factors 2'!$A$2:$E$302,2,FALSE)</f>
        <v>0</v>
      </c>
      <c r="Z126" s="68">
        <f>N126*VLOOKUP($F126,'Emission Factors 2'!$A$2:$E$302,2,FALSE)</f>
        <v>0</v>
      </c>
      <c r="AA126" s="68">
        <f>O126*VLOOKUP($F126,'Emission Factors 2'!$A$2:$E$302,2,FALSE)</f>
        <v>0</v>
      </c>
      <c r="AB126" s="68">
        <f>P126*VLOOKUP($F126,'Emission Factors 2'!$A$2:$E$302,2,FALSE)</f>
        <v>0</v>
      </c>
      <c r="AC126" s="68">
        <f>Q126*VLOOKUP($F126,'Emission Factors 2'!$A$2:$E$302,2,FALSE)</f>
        <v>0</v>
      </c>
      <c r="AD126" s="68">
        <f>R126*VLOOKUP($F126,'Emission Factors 2'!$A$2:$E$302,2,FALSE)</f>
        <v>0</v>
      </c>
      <c r="AE126" s="68">
        <f>S126*VLOOKUP($F126,'Emission Factors 2'!$A$2:$E$302,2,FALSE)</f>
        <v>0</v>
      </c>
      <c r="AF126" s="19">
        <f t="shared" si="7"/>
        <v>0</v>
      </c>
      <c r="AG126" s="31"/>
      <c r="AH126" s="31"/>
      <c r="AI126" s="31"/>
      <c r="AJ126" s="31"/>
    </row>
    <row r="127" spans="1:36" ht="21.95" customHeight="1" outlineLevel="1" x14ac:dyDescent="0.25">
      <c r="A127" s="118"/>
      <c r="B127" s="133"/>
      <c r="C127" s="72"/>
      <c r="D127" s="72" t="s">
        <v>216</v>
      </c>
      <c r="E127" s="82" t="str">
        <f>'Index Formatting'!I$20</f>
        <v>O</v>
      </c>
      <c r="F127" s="7" t="s">
        <v>915</v>
      </c>
      <c r="G127" s="15" t="s">
        <v>219</v>
      </c>
      <c r="H127" s="67">
        <v>170.30999999999997</v>
      </c>
      <c r="I127" s="67">
        <v>1483</v>
      </c>
      <c r="J127" s="67">
        <v>1526</v>
      </c>
      <c r="K127" s="67">
        <v>6950</v>
      </c>
      <c r="L127" s="67">
        <v>5306</v>
      </c>
      <c r="M127" s="67">
        <v>1801</v>
      </c>
      <c r="N127" s="67">
        <v>4114</v>
      </c>
      <c r="O127" s="67">
        <v>7048</v>
      </c>
      <c r="P127" s="67">
        <v>7127</v>
      </c>
      <c r="Q127" s="67">
        <v>4107</v>
      </c>
      <c r="R127" s="67">
        <v>1981.6154999999999</v>
      </c>
      <c r="S127" s="67">
        <v>990.80774999999994</v>
      </c>
      <c r="T127" s="68">
        <f>H127*VLOOKUP($F127,'Emission Factors 2'!$A$2:$E$344,2,FALSE)</f>
        <v>18806.860085149499</v>
      </c>
      <c r="U127" s="68">
        <f>I127*VLOOKUP($F127,'Emission Factors 2'!$A$2:$E$344,2,FALSE)</f>
        <v>163763.56941035</v>
      </c>
      <c r="V127" s="68">
        <f>J127*VLOOKUP($F127,'Emission Factors 2'!$A$2:$E$344,2,FALSE)</f>
        <v>168511.93993270001</v>
      </c>
      <c r="W127" s="68">
        <f>K127*VLOOKUP($F127,'Emission Factors 2'!$A$2:$E$344,2,FALSE)</f>
        <v>767469.18907750002</v>
      </c>
      <c r="X127" s="68">
        <f>L127*VLOOKUP($F127,'Emission Factors 2'!$A$2:$E$344,2,FALSE)</f>
        <v>585926.83701370005</v>
      </c>
      <c r="Y127" s="68">
        <f>M127*VLOOKUP($F127,'Emission Factors 2'!$A$2:$E$344,2,FALSE)</f>
        <v>198879.42583145</v>
      </c>
      <c r="Z127" s="68">
        <f>N127*VLOOKUP($F127,'Emission Factors 2'!$A$2:$E$344,2,FALSE)</f>
        <v>454297.58904530003</v>
      </c>
      <c r="AA127" s="68">
        <f>O127*VLOOKUP($F127,'Emission Factors 2'!$A$2:$E$344,2,FALSE)</f>
        <v>778291.05677959998</v>
      </c>
      <c r="AB127" s="68">
        <f>P127*VLOOKUP($F127,'Emission Factors 2'!$A$2:$E$344,2,FALSE)</f>
        <v>787014.80727415008</v>
      </c>
      <c r="AC127" s="68">
        <f>Q127*VLOOKUP($F127,'Emission Factors 2'!$A$2:$E$344,2,FALSE)</f>
        <v>453524.59849515004</v>
      </c>
      <c r="AD127" s="68">
        <f>R127*VLOOKUP($F127,'Emission Factors 2'!$A$2:$E$344,2,FALSE)</f>
        <v>218824.29364725246</v>
      </c>
      <c r="AE127" s="68">
        <f>S127*VLOOKUP($F127,'Emission Factors 2'!$A$2:$E$344,2,FALSE)</f>
        <v>109412.14682362623</v>
      </c>
      <c r="AF127" s="19">
        <f t="shared" si="7"/>
        <v>4704722.3134159278</v>
      </c>
      <c r="AG127" s="31"/>
      <c r="AH127" s="31"/>
      <c r="AI127" s="31"/>
      <c r="AJ127" s="31"/>
    </row>
    <row r="128" spans="1:36" ht="21.95" customHeight="1" outlineLevel="1" x14ac:dyDescent="0.25">
      <c r="A128" s="118"/>
      <c r="B128" s="133"/>
      <c r="C128" s="72"/>
      <c r="D128" s="72" t="s">
        <v>234</v>
      </c>
      <c r="E128" s="82" t="str">
        <f>'Index Formatting'!I$20</f>
        <v>O</v>
      </c>
      <c r="F128" s="7" t="s">
        <v>915</v>
      </c>
      <c r="G128" s="15" t="s">
        <v>219</v>
      </c>
      <c r="H128" s="67"/>
      <c r="I128" s="67"/>
      <c r="J128" s="67"/>
      <c r="K128" s="67"/>
      <c r="L128" s="67"/>
      <c r="M128" s="67"/>
      <c r="N128" s="67"/>
      <c r="O128" s="67"/>
      <c r="P128" s="67"/>
      <c r="Q128" s="67"/>
      <c r="R128" s="67"/>
      <c r="S128" s="67"/>
      <c r="T128" s="68">
        <f>H128*VLOOKUP($F128,'Emission Factors 2'!$A$2:$E$344,2,FALSE)</f>
        <v>0</v>
      </c>
      <c r="U128" s="68">
        <f>I128*VLOOKUP($F128,'Emission Factors 2'!$A$2:$E$344,2,FALSE)</f>
        <v>0</v>
      </c>
      <c r="V128" s="68">
        <f>J128*VLOOKUP($F128,'Emission Factors 2'!$A$2:$E$344,2,FALSE)</f>
        <v>0</v>
      </c>
      <c r="W128" s="68">
        <f>K128*VLOOKUP($F128,'Emission Factors 2'!$A$2:$E$344,2,FALSE)</f>
        <v>0</v>
      </c>
      <c r="X128" s="68">
        <f>L128*VLOOKUP($F128,'Emission Factors 2'!$A$2:$E$344,2,FALSE)</f>
        <v>0</v>
      </c>
      <c r="Y128" s="68">
        <f>M128*VLOOKUP($F128,'Emission Factors 2'!$A$2:$E$344,2,FALSE)</f>
        <v>0</v>
      </c>
      <c r="Z128" s="68">
        <f>N128*VLOOKUP($F128,'Emission Factors 2'!$A$2:$E$344,2,FALSE)</f>
        <v>0</v>
      </c>
      <c r="AA128" s="68">
        <f>O128*VLOOKUP($F128,'Emission Factors 2'!$A$2:$E$344,2,FALSE)</f>
        <v>0</v>
      </c>
      <c r="AB128" s="68">
        <f>P128*VLOOKUP($F128,'Emission Factors 2'!$A$2:$E$344,2,FALSE)</f>
        <v>0</v>
      </c>
      <c r="AC128" s="68">
        <f>Q128*VLOOKUP($F128,'Emission Factors 2'!$A$2:$E$344,2,FALSE)</f>
        <v>0</v>
      </c>
      <c r="AD128" s="68">
        <f>R128*VLOOKUP($F128,'Emission Factors 2'!$A$2:$E$344,2,FALSE)</f>
        <v>0</v>
      </c>
      <c r="AE128" s="68">
        <f>S128*VLOOKUP($F128,'Emission Factors 2'!$A$2:$E$344,2,FALSE)</f>
        <v>0</v>
      </c>
      <c r="AF128" s="19">
        <f t="shared" si="7"/>
        <v>0</v>
      </c>
      <c r="AG128" s="31"/>
      <c r="AH128" s="31"/>
      <c r="AI128" s="31"/>
      <c r="AJ128" s="31"/>
    </row>
    <row r="129" spans="1:36" ht="21.95" customHeight="1" outlineLevel="1" x14ac:dyDescent="0.25">
      <c r="A129" s="118"/>
      <c r="B129" s="133"/>
      <c r="C129" s="72"/>
      <c r="D129" s="72" t="s">
        <v>238</v>
      </c>
      <c r="E129" s="82" t="str">
        <f>'Index Formatting'!I$20</f>
        <v>O</v>
      </c>
      <c r="F129" s="7" t="s">
        <v>918</v>
      </c>
      <c r="G129" s="15" t="s">
        <v>219</v>
      </c>
      <c r="H129" s="67"/>
      <c r="I129" s="67"/>
      <c r="J129" s="67"/>
      <c r="K129" s="67"/>
      <c r="L129" s="67"/>
      <c r="M129" s="67"/>
      <c r="N129" s="67"/>
      <c r="O129" s="67"/>
      <c r="P129" s="67"/>
      <c r="Q129" s="67"/>
      <c r="R129" s="67"/>
      <c r="S129" s="67"/>
      <c r="T129" s="68">
        <f>H129*VLOOKUP($F129,'Emission Factors 2'!$A$2:$E$344,2,FALSE)</f>
        <v>0</v>
      </c>
      <c r="U129" s="68">
        <f>I129*VLOOKUP($F129,'Emission Factors 2'!$A$2:$E$344,2,FALSE)</f>
        <v>0</v>
      </c>
      <c r="V129" s="68">
        <f>J129*VLOOKUP($F129,'Emission Factors 2'!$A$2:$E$344,2,FALSE)</f>
        <v>0</v>
      </c>
      <c r="W129" s="68">
        <f>K129*VLOOKUP($F129,'Emission Factors 2'!$A$2:$E$344,2,FALSE)</f>
        <v>0</v>
      </c>
      <c r="X129" s="68">
        <f>L129*VLOOKUP($F129,'Emission Factors 2'!$A$2:$E$344,2,FALSE)</f>
        <v>0</v>
      </c>
      <c r="Y129" s="68">
        <f>M129*VLOOKUP($F129,'Emission Factors 2'!$A$2:$E$344,2,FALSE)</f>
        <v>0</v>
      </c>
      <c r="Z129" s="68">
        <f>N129*VLOOKUP($F129,'Emission Factors 2'!$A$2:$E$344,2,FALSE)</f>
        <v>0</v>
      </c>
      <c r="AA129" s="68">
        <f>O129*VLOOKUP($F129,'Emission Factors 2'!$A$2:$E$344,2,FALSE)</f>
        <v>0</v>
      </c>
      <c r="AB129" s="68">
        <f>P129*VLOOKUP($F129,'Emission Factors 2'!$A$2:$E$344,2,FALSE)</f>
        <v>0</v>
      </c>
      <c r="AC129" s="68">
        <f>Q129*VLOOKUP($F129,'Emission Factors 2'!$A$2:$E$344,2,FALSE)</f>
        <v>0</v>
      </c>
      <c r="AD129" s="68">
        <f>R129*VLOOKUP($F129,'Emission Factors 2'!$A$2:$E$344,2,FALSE)</f>
        <v>0</v>
      </c>
      <c r="AE129" s="68">
        <f>S129*VLOOKUP($F129,'Emission Factors 2'!$A$2:$E$344,2,FALSE)</f>
        <v>0</v>
      </c>
      <c r="AF129" s="19">
        <f t="shared" si="7"/>
        <v>0</v>
      </c>
      <c r="AG129" s="31"/>
      <c r="AH129" s="31"/>
      <c r="AI129" s="31"/>
      <c r="AJ129" s="31"/>
    </row>
    <row r="130" spans="1:36" ht="21.95" customHeight="1" outlineLevel="1" x14ac:dyDescent="0.25">
      <c r="A130" s="118"/>
      <c r="B130" s="133"/>
      <c r="C130" s="72"/>
      <c r="D130" s="72" t="s">
        <v>921</v>
      </c>
      <c r="E130" s="82" t="str">
        <f>'Index Formatting'!I$20</f>
        <v>O</v>
      </c>
      <c r="F130" s="7" t="s">
        <v>915</v>
      </c>
      <c r="G130" s="15" t="s">
        <v>219</v>
      </c>
      <c r="H130" s="67"/>
      <c r="I130" s="67"/>
      <c r="J130" s="67"/>
      <c r="K130" s="67"/>
      <c r="L130" s="67">
        <v>40</v>
      </c>
      <c r="M130" s="67"/>
      <c r="N130" s="67">
        <v>586</v>
      </c>
      <c r="O130" s="67">
        <v>386</v>
      </c>
      <c r="P130" s="67"/>
      <c r="Q130" s="67">
        <v>135</v>
      </c>
      <c r="R130" s="67"/>
      <c r="S130" s="67"/>
      <c r="T130" s="68">
        <f>H130*VLOOKUP($F130,'Emission Factors 2'!$A$2:$E$344,2,FALSE)</f>
        <v>0</v>
      </c>
      <c r="U130" s="68">
        <f>I130*VLOOKUP($F130,'Emission Factors 2'!$A$2:$E$344,2,FALSE)</f>
        <v>0</v>
      </c>
      <c r="V130" s="68">
        <f>J130*VLOOKUP($F130,'Emission Factors 2'!$A$2:$E$344,2,FALSE)</f>
        <v>0</v>
      </c>
      <c r="W130" s="68">
        <f>K130*VLOOKUP($F130,'Emission Factors 2'!$A$2:$E$344,2,FALSE)</f>
        <v>0</v>
      </c>
      <c r="X130" s="68">
        <f>L130*VLOOKUP($F130,'Emission Factors 2'!$A$2:$E$344,2,FALSE)</f>
        <v>4417.0888580000001</v>
      </c>
      <c r="Y130" s="68">
        <f>M130*VLOOKUP($F130,'Emission Factors 2'!$A$2:$E$344,2,FALSE)</f>
        <v>0</v>
      </c>
      <c r="Z130" s="68">
        <f>N130*VLOOKUP($F130,'Emission Factors 2'!$A$2:$E$344,2,FALSE)</f>
        <v>64710.351769700006</v>
      </c>
      <c r="AA130" s="68">
        <f>O130*VLOOKUP($F130,'Emission Factors 2'!$A$2:$E$344,2,FALSE)</f>
        <v>42624.907479699999</v>
      </c>
      <c r="AB130" s="68">
        <f>P130*VLOOKUP($F130,'Emission Factors 2'!$A$2:$E$344,2,FALSE)</f>
        <v>0</v>
      </c>
      <c r="AC130" s="68">
        <f>Q130*VLOOKUP($F130,'Emission Factors 2'!$A$2:$E$344,2,FALSE)</f>
        <v>14907.67489575</v>
      </c>
      <c r="AD130" s="68">
        <f>R130*VLOOKUP($F130,'Emission Factors 2'!$A$2:$E$344,2,FALSE)</f>
        <v>0</v>
      </c>
      <c r="AE130" s="68">
        <f>S130*VLOOKUP($F130,'Emission Factors 2'!$A$2:$E$344,2,FALSE)</f>
        <v>0</v>
      </c>
      <c r="AF130" s="19">
        <f t="shared" si="7"/>
        <v>126660.02300315</v>
      </c>
      <c r="AG130" s="31"/>
      <c r="AH130" s="31"/>
      <c r="AI130" s="31"/>
      <c r="AJ130" s="31"/>
    </row>
    <row r="131" spans="1:36" ht="21.95" customHeight="1" outlineLevel="1" x14ac:dyDescent="0.25">
      <c r="A131" s="118"/>
      <c r="B131" s="133"/>
      <c r="C131" s="72"/>
      <c r="D131" s="72" t="s">
        <v>922</v>
      </c>
      <c r="E131" s="82" t="str">
        <f>'Index Formatting'!I$20</f>
        <v>O</v>
      </c>
      <c r="F131" s="7" t="s">
        <v>915</v>
      </c>
      <c r="G131" s="15" t="s">
        <v>219</v>
      </c>
      <c r="H131" s="67"/>
      <c r="I131" s="67"/>
      <c r="J131" s="67"/>
      <c r="K131" s="67"/>
      <c r="L131" s="67"/>
      <c r="M131" s="67"/>
      <c r="N131" s="67"/>
      <c r="O131" s="67"/>
      <c r="P131" s="67"/>
      <c r="Q131" s="67"/>
      <c r="R131" s="67"/>
      <c r="S131" s="67"/>
      <c r="T131" s="68">
        <f>H131*VLOOKUP($F131,'Emission Factors 2'!$A$2:$E$344,2,FALSE)</f>
        <v>0</v>
      </c>
      <c r="U131" s="68">
        <f>I131*VLOOKUP($F131,'Emission Factors 2'!$A$2:$E$344,2,FALSE)</f>
        <v>0</v>
      </c>
      <c r="V131" s="68">
        <f>J131*VLOOKUP($F131,'Emission Factors 2'!$A$2:$E$344,2,FALSE)</f>
        <v>0</v>
      </c>
      <c r="W131" s="68">
        <f>K131*VLOOKUP($F131,'Emission Factors 2'!$A$2:$E$344,2,FALSE)</f>
        <v>0</v>
      </c>
      <c r="X131" s="68">
        <f>L131*VLOOKUP($F131,'Emission Factors 2'!$A$2:$E$344,2,FALSE)</f>
        <v>0</v>
      </c>
      <c r="Y131" s="68">
        <f>M131*VLOOKUP($F131,'Emission Factors 2'!$A$2:$E$344,2,FALSE)</f>
        <v>0</v>
      </c>
      <c r="Z131" s="68">
        <f>N131*VLOOKUP($F131,'Emission Factors 2'!$A$2:$E$344,2,FALSE)</f>
        <v>0</v>
      </c>
      <c r="AA131" s="68">
        <f>O131*VLOOKUP($F131,'Emission Factors 2'!$A$2:$E$344,2,FALSE)</f>
        <v>0</v>
      </c>
      <c r="AB131" s="68">
        <f>P131*VLOOKUP($F131,'Emission Factors 2'!$A$2:$E$344,2,FALSE)</f>
        <v>0</v>
      </c>
      <c r="AC131" s="68">
        <f>Q131*VLOOKUP($F131,'Emission Factors 2'!$A$2:$E$344,2,FALSE)</f>
        <v>0</v>
      </c>
      <c r="AD131" s="68">
        <f>R131*VLOOKUP($F131,'Emission Factors 2'!$A$2:$E$344,2,FALSE)</f>
        <v>0</v>
      </c>
      <c r="AE131" s="68">
        <f>S131*VLOOKUP($F131,'Emission Factors 2'!$A$2:$E$344,2,FALSE)</f>
        <v>0</v>
      </c>
      <c r="AF131" s="19">
        <f t="shared" si="7"/>
        <v>0</v>
      </c>
      <c r="AG131" s="31"/>
      <c r="AH131" s="31"/>
      <c r="AI131" s="31"/>
      <c r="AJ131" s="31"/>
    </row>
    <row r="132" spans="1:36" ht="21.95" customHeight="1" outlineLevel="1" x14ac:dyDescent="0.25">
      <c r="A132" s="118"/>
      <c r="B132" s="133"/>
      <c r="C132" s="72"/>
      <c r="D132" s="72" t="s">
        <v>923</v>
      </c>
      <c r="E132" s="82" t="str">
        <f>'Index Formatting'!I$20</f>
        <v>O</v>
      </c>
      <c r="F132" s="7" t="s">
        <v>915</v>
      </c>
      <c r="G132" s="15" t="s">
        <v>219</v>
      </c>
      <c r="H132" s="67"/>
      <c r="I132" s="67"/>
      <c r="J132" s="67"/>
      <c r="K132" s="67"/>
      <c r="L132" s="67"/>
      <c r="M132" s="67"/>
      <c r="N132" s="67"/>
      <c r="O132" s="67"/>
      <c r="P132" s="67"/>
      <c r="Q132" s="67"/>
      <c r="R132" s="67"/>
      <c r="S132" s="67"/>
      <c r="T132" s="68">
        <f>H132*VLOOKUP($F132,'Emission Factors 2'!$A$2:$E$344,2,FALSE)</f>
        <v>0</v>
      </c>
      <c r="U132" s="68">
        <f>I132*VLOOKUP($F132,'Emission Factors 2'!$A$2:$E$344,2,FALSE)</f>
        <v>0</v>
      </c>
      <c r="V132" s="68">
        <f>J132*VLOOKUP($F132,'Emission Factors 2'!$A$2:$E$344,2,FALSE)</f>
        <v>0</v>
      </c>
      <c r="W132" s="68">
        <f>K132*VLOOKUP($F132,'Emission Factors 2'!$A$2:$E$344,2,FALSE)</f>
        <v>0</v>
      </c>
      <c r="X132" s="68">
        <f>L132*VLOOKUP($F132,'Emission Factors 2'!$A$2:$E$344,2,FALSE)</f>
        <v>0</v>
      </c>
      <c r="Y132" s="68">
        <f>M132*VLOOKUP($F132,'Emission Factors 2'!$A$2:$E$344,2,FALSE)</f>
        <v>0</v>
      </c>
      <c r="Z132" s="68">
        <f>N132*VLOOKUP($F132,'Emission Factors 2'!$A$2:$E$344,2,FALSE)</f>
        <v>0</v>
      </c>
      <c r="AA132" s="68">
        <f>O132*VLOOKUP($F132,'Emission Factors 2'!$A$2:$E$344,2,FALSE)</f>
        <v>0</v>
      </c>
      <c r="AB132" s="68">
        <f>P132*VLOOKUP($F132,'Emission Factors 2'!$A$2:$E$344,2,FALSE)</f>
        <v>0</v>
      </c>
      <c r="AC132" s="68">
        <f>Q132*VLOOKUP($F132,'Emission Factors 2'!$A$2:$E$344,2,FALSE)</f>
        <v>0</v>
      </c>
      <c r="AD132" s="68">
        <f>R132*VLOOKUP($F132,'Emission Factors 2'!$A$2:$E$344,2,FALSE)</f>
        <v>0</v>
      </c>
      <c r="AE132" s="68">
        <f>S132*VLOOKUP($F132,'Emission Factors 2'!$A$2:$E$344,2,FALSE)</f>
        <v>0</v>
      </c>
      <c r="AF132" s="19">
        <f t="shared" si="7"/>
        <v>0</v>
      </c>
      <c r="AG132" s="31"/>
      <c r="AH132" s="31"/>
      <c r="AI132" s="31"/>
      <c r="AJ132" s="31"/>
    </row>
    <row r="133" spans="1:36" ht="21.95" customHeight="1" outlineLevel="1" x14ac:dyDescent="0.25">
      <c r="A133" s="118"/>
      <c r="B133" s="133"/>
      <c r="C133" s="72"/>
      <c r="D133" s="72" t="s">
        <v>924</v>
      </c>
      <c r="E133" s="82" t="str">
        <f>'Index Formatting'!I$20</f>
        <v>O</v>
      </c>
      <c r="F133" s="7" t="s">
        <v>915</v>
      </c>
      <c r="G133" s="15" t="s">
        <v>219</v>
      </c>
      <c r="H133" s="67"/>
      <c r="I133" s="67"/>
      <c r="J133" s="67"/>
      <c r="K133" s="67"/>
      <c r="L133" s="67">
        <v>447</v>
      </c>
      <c r="M133" s="67">
        <v>149</v>
      </c>
      <c r="N133" s="67"/>
      <c r="O133" s="67">
        <v>721</v>
      </c>
      <c r="P133" s="67">
        <v>819</v>
      </c>
      <c r="Q133" s="67"/>
      <c r="R133" s="67"/>
      <c r="S133" s="67"/>
      <c r="T133" s="68">
        <f>H133*VLOOKUP($F133,'Emission Factors 2'!$A$2:$E$344,2,FALSE)</f>
        <v>0</v>
      </c>
      <c r="U133" s="68">
        <f>I133*VLOOKUP($F133,'Emission Factors 2'!$A$2:$E$344,2,FALSE)</f>
        <v>0</v>
      </c>
      <c r="V133" s="68">
        <f>J133*VLOOKUP($F133,'Emission Factors 2'!$A$2:$E$344,2,FALSE)</f>
        <v>0</v>
      </c>
      <c r="W133" s="68">
        <f>K133*VLOOKUP($F133,'Emission Factors 2'!$A$2:$E$344,2,FALSE)</f>
        <v>0</v>
      </c>
      <c r="X133" s="68">
        <f>L133*VLOOKUP($F133,'Emission Factors 2'!$A$2:$E$344,2,FALSE)</f>
        <v>49360.967988150005</v>
      </c>
      <c r="Y133" s="68">
        <f>M133*VLOOKUP($F133,'Emission Factors 2'!$A$2:$E$344,2,FALSE)</f>
        <v>16453.655996050002</v>
      </c>
      <c r="Z133" s="68">
        <f>N133*VLOOKUP($F133,'Emission Factors 2'!$A$2:$E$344,2,FALSE)</f>
        <v>0</v>
      </c>
      <c r="AA133" s="68">
        <f>O133*VLOOKUP($F133,'Emission Factors 2'!$A$2:$E$344,2,FALSE)</f>
        <v>79618.026665450001</v>
      </c>
      <c r="AB133" s="68">
        <f>P133*VLOOKUP($F133,'Emission Factors 2'!$A$2:$E$344,2,FALSE)</f>
        <v>90439.894367550005</v>
      </c>
      <c r="AC133" s="68">
        <f>Q133*VLOOKUP($F133,'Emission Factors 2'!$A$2:$E$344,2,FALSE)</f>
        <v>0</v>
      </c>
      <c r="AD133" s="68">
        <f>R133*VLOOKUP($F133,'Emission Factors 2'!$A$2:$E$344,2,FALSE)</f>
        <v>0</v>
      </c>
      <c r="AE133" s="68">
        <f>S133*VLOOKUP($F133,'Emission Factors 2'!$A$2:$E$344,2,FALSE)</f>
        <v>0</v>
      </c>
      <c r="AF133" s="19">
        <f t="shared" si="7"/>
        <v>235872.54501720003</v>
      </c>
      <c r="AG133" s="31"/>
      <c r="AH133" s="31"/>
      <c r="AI133" s="31"/>
      <c r="AJ133" s="31"/>
    </row>
    <row r="134" spans="1:36" ht="21.95" customHeight="1" outlineLevel="1" x14ac:dyDescent="0.25">
      <c r="A134" s="118"/>
      <c r="B134" s="133"/>
      <c r="C134" s="72"/>
      <c r="D134" s="72" t="s">
        <v>925</v>
      </c>
      <c r="E134" s="82" t="str">
        <f>'Index Formatting'!I$20</f>
        <v>O</v>
      </c>
      <c r="F134" s="7" t="s">
        <v>915</v>
      </c>
      <c r="G134" s="15" t="s">
        <v>219</v>
      </c>
      <c r="H134" s="67"/>
      <c r="I134" s="67"/>
      <c r="J134" s="67"/>
      <c r="K134" s="67"/>
      <c r="L134" s="67"/>
      <c r="M134" s="67"/>
      <c r="N134" s="67"/>
      <c r="O134" s="67"/>
      <c r="P134" s="67"/>
      <c r="Q134" s="67"/>
      <c r="R134" s="67"/>
      <c r="S134" s="67"/>
      <c r="T134" s="68">
        <f>H134*VLOOKUP($F134,'Emission Factors 2'!$A$2:$E$344,2,FALSE)</f>
        <v>0</v>
      </c>
      <c r="U134" s="68">
        <f>I134*VLOOKUP($F134,'Emission Factors 2'!$A$2:$E$344,2,FALSE)</f>
        <v>0</v>
      </c>
      <c r="V134" s="68">
        <f>J134*VLOOKUP($F134,'Emission Factors 2'!$A$2:$E$344,2,FALSE)</f>
        <v>0</v>
      </c>
      <c r="W134" s="68">
        <f>K134*VLOOKUP($F134,'Emission Factors 2'!$A$2:$E$344,2,FALSE)</f>
        <v>0</v>
      </c>
      <c r="X134" s="68">
        <f>L134*VLOOKUP($F134,'Emission Factors 2'!$A$2:$E$344,2,FALSE)</f>
        <v>0</v>
      </c>
      <c r="Y134" s="68">
        <f>M134*VLOOKUP($F134,'Emission Factors 2'!$A$2:$E$344,2,FALSE)</f>
        <v>0</v>
      </c>
      <c r="Z134" s="68">
        <f>N134*VLOOKUP($F134,'Emission Factors 2'!$A$2:$E$344,2,FALSE)</f>
        <v>0</v>
      </c>
      <c r="AA134" s="68">
        <f>O134*VLOOKUP($F134,'Emission Factors 2'!$A$2:$E$344,2,FALSE)</f>
        <v>0</v>
      </c>
      <c r="AB134" s="68">
        <f>P134*VLOOKUP($F134,'Emission Factors 2'!$A$2:$E$344,2,FALSE)</f>
        <v>0</v>
      </c>
      <c r="AC134" s="68">
        <f>Q134*VLOOKUP($F134,'Emission Factors 2'!$A$2:$E$344,2,FALSE)</f>
        <v>0</v>
      </c>
      <c r="AD134" s="68">
        <f>R134*VLOOKUP($F134,'Emission Factors 2'!$A$2:$E$344,2,FALSE)</f>
        <v>0</v>
      </c>
      <c r="AE134" s="68">
        <f>S134*VLOOKUP($F134,'Emission Factors 2'!$A$2:$E$344,2,FALSE)</f>
        <v>0</v>
      </c>
      <c r="AF134" s="19">
        <f t="shared" si="7"/>
        <v>0</v>
      </c>
      <c r="AG134" s="31"/>
      <c r="AH134" s="31"/>
      <c r="AI134" s="31"/>
      <c r="AJ134" s="31"/>
    </row>
    <row r="135" spans="1:36" ht="21.95" customHeight="1" outlineLevel="1" x14ac:dyDescent="0.25">
      <c r="A135" s="118"/>
      <c r="B135" s="133"/>
      <c r="C135" s="72"/>
      <c r="D135" s="72" t="s">
        <v>926</v>
      </c>
      <c r="E135" s="82" t="str">
        <f>'Index Formatting'!I$20</f>
        <v>O</v>
      </c>
      <c r="F135" s="7" t="s">
        <v>915</v>
      </c>
      <c r="G135" s="15" t="s">
        <v>219</v>
      </c>
      <c r="H135" s="67"/>
      <c r="I135" s="67"/>
      <c r="J135" s="67"/>
      <c r="K135" s="67"/>
      <c r="L135" s="67"/>
      <c r="M135" s="67"/>
      <c r="N135" s="67"/>
      <c r="O135" s="67"/>
      <c r="P135" s="67"/>
      <c r="Q135" s="67"/>
      <c r="R135" s="67"/>
      <c r="S135" s="67"/>
      <c r="T135" s="68">
        <f>H135*VLOOKUP($F135,'Emission Factors 2'!$A$2:$E$344,2,FALSE)</f>
        <v>0</v>
      </c>
      <c r="U135" s="68">
        <f>I135*VLOOKUP($F135,'Emission Factors 2'!$A$2:$E$344,2,FALSE)</f>
        <v>0</v>
      </c>
      <c r="V135" s="68">
        <f>J135*VLOOKUP($F135,'Emission Factors 2'!$A$2:$E$344,2,FALSE)</f>
        <v>0</v>
      </c>
      <c r="W135" s="68">
        <f>K135*VLOOKUP($F135,'Emission Factors 2'!$A$2:$E$344,2,FALSE)</f>
        <v>0</v>
      </c>
      <c r="X135" s="68">
        <f>L135*VLOOKUP($F135,'Emission Factors 2'!$A$2:$E$344,2,FALSE)</f>
        <v>0</v>
      </c>
      <c r="Y135" s="68">
        <f>M135*VLOOKUP($F135,'Emission Factors 2'!$A$2:$E$344,2,FALSE)</f>
        <v>0</v>
      </c>
      <c r="Z135" s="68">
        <f>N135*VLOOKUP($F135,'Emission Factors 2'!$A$2:$E$344,2,FALSE)</f>
        <v>0</v>
      </c>
      <c r="AA135" s="68">
        <f>O135*VLOOKUP($F135,'Emission Factors 2'!$A$2:$E$344,2,FALSE)</f>
        <v>0</v>
      </c>
      <c r="AB135" s="68">
        <f>P135*VLOOKUP($F135,'Emission Factors 2'!$A$2:$E$344,2,FALSE)</f>
        <v>0</v>
      </c>
      <c r="AC135" s="68">
        <f>Q135*VLOOKUP($F135,'Emission Factors 2'!$A$2:$E$344,2,FALSE)</f>
        <v>0</v>
      </c>
      <c r="AD135" s="68">
        <f>R135*VLOOKUP($F135,'Emission Factors 2'!$A$2:$E$344,2,FALSE)</f>
        <v>0</v>
      </c>
      <c r="AE135" s="68">
        <f>S135*VLOOKUP($F135,'Emission Factors 2'!$A$2:$E$344,2,FALSE)</f>
        <v>0</v>
      </c>
      <c r="AF135" s="19">
        <f t="shared" si="7"/>
        <v>0</v>
      </c>
      <c r="AG135" s="31"/>
      <c r="AH135" s="31"/>
      <c r="AI135" s="31"/>
      <c r="AJ135" s="31"/>
    </row>
    <row r="136" spans="1:36" ht="21.95" customHeight="1" outlineLevel="1" x14ac:dyDescent="0.25">
      <c r="A136" s="118"/>
      <c r="B136" s="133"/>
      <c r="C136" s="29"/>
      <c r="D136" s="27" t="s">
        <v>325</v>
      </c>
      <c r="E136" s="82" t="str">
        <f>'Index Formatting'!I$20</f>
        <v>O</v>
      </c>
      <c r="F136" s="7" t="s">
        <v>739</v>
      </c>
      <c r="G136" s="15" t="s">
        <v>82</v>
      </c>
      <c r="H136" s="67"/>
      <c r="I136" s="67"/>
      <c r="J136" s="67"/>
      <c r="K136" s="67"/>
      <c r="L136" s="67"/>
      <c r="M136" s="67"/>
      <c r="N136" s="67"/>
      <c r="O136" s="67"/>
      <c r="P136" s="67"/>
      <c r="Q136" s="67"/>
      <c r="R136" s="67"/>
      <c r="S136" s="67"/>
      <c r="T136" s="68">
        <f>H136*VLOOKUP($F136,'Emission Factors 2'!$A$2:$E$302,2,FALSE)</f>
        <v>0</v>
      </c>
      <c r="U136" s="68">
        <f>I136*VLOOKUP($F136,'Emission Factors 2'!$A$2:$E$302,2,FALSE)</f>
        <v>0</v>
      </c>
      <c r="V136" s="68">
        <f>J136*VLOOKUP($F136,'Emission Factors 2'!$A$2:$E$302,2,FALSE)</f>
        <v>0</v>
      </c>
      <c r="W136" s="68">
        <f>K136*VLOOKUP($F136,'Emission Factors 2'!$A$2:$E$302,2,FALSE)</f>
        <v>0</v>
      </c>
      <c r="X136" s="68">
        <f>L136*VLOOKUP($F136,'Emission Factors 2'!$A$2:$E$302,2,FALSE)</f>
        <v>0</v>
      </c>
      <c r="Y136" s="68">
        <f>M136*VLOOKUP($F136,'Emission Factors 2'!$A$2:$E$302,2,FALSE)</f>
        <v>0</v>
      </c>
      <c r="Z136" s="68">
        <f>N136*VLOOKUP($F136,'Emission Factors 2'!$A$2:$E$302,2,FALSE)</f>
        <v>0</v>
      </c>
      <c r="AA136" s="68">
        <f>O136*VLOOKUP($F136,'Emission Factors 2'!$A$2:$E$302,2,FALSE)</f>
        <v>0</v>
      </c>
      <c r="AB136" s="68">
        <f>P136*VLOOKUP($F136,'Emission Factors 2'!$A$2:$E$302,2,FALSE)</f>
        <v>0</v>
      </c>
      <c r="AC136" s="68">
        <f>Q136*VLOOKUP($F136,'Emission Factors 2'!$A$2:$E$302,2,FALSE)</f>
        <v>0</v>
      </c>
      <c r="AD136" s="68">
        <f>R136*VLOOKUP($F136,'Emission Factors 2'!$A$2:$E$302,2,FALSE)</f>
        <v>0</v>
      </c>
      <c r="AE136" s="68">
        <f>S136*VLOOKUP($F136,'Emission Factors 2'!$A$2:$E$302,2,FALSE)</f>
        <v>0</v>
      </c>
      <c r="AF136" s="19">
        <f t="shared" si="7"/>
        <v>0</v>
      </c>
      <c r="AG136" s="31"/>
      <c r="AH136" s="31"/>
      <c r="AI136" s="31"/>
      <c r="AJ136" s="31"/>
    </row>
    <row r="137" spans="1:36" ht="21.95" customHeight="1" outlineLevel="1" x14ac:dyDescent="0.25">
      <c r="A137" s="118"/>
      <c r="B137" s="133"/>
      <c r="C137" s="29"/>
      <c r="D137" s="27" t="s">
        <v>325</v>
      </c>
      <c r="E137" s="82" t="str">
        <f>'Index Formatting'!I$20</f>
        <v>O</v>
      </c>
      <c r="F137" s="7" t="s">
        <v>738</v>
      </c>
      <c r="G137" s="15" t="s">
        <v>82</v>
      </c>
      <c r="H137" s="67"/>
      <c r="I137" s="67"/>
      <c r="J137" s="67"/>
      <c r="K137" s="67"/>
      <c r="L137" s="67"/>
      <c r="M137" s="67"/>
      <c r="N137" s="67"/>
      <c r="O137" s="67"/>
      <c r="P137" s="67"/>
      <c r="Q137" s="67"/>
      <c r="R137" s="67"/>
      <c r="S137" s="67"/>
      <c r="T137" s="68">
        <f>H137*VLOOKUP($F137,'Emission Factors 2'!$A$2:$E$302,2,FALSE)</f>
        <v>0</v>
      </c>
      <c r="U137" s="68">
        <f>I137*VLOOKUP($F137,'Emission Factors 2'!$A$2:$E$302,2,FALSE)</f>
        <v>0</v>
      </c>
      <c r="V137" s="68">
        <f>J137*VLOOKUP($F137,'Emission Factors 2'!$A$2:$E$302,2,FALSE)</f>
        <v>0</v>
      </c>
      <c r="W137" s="68">
        <f>K137*VLOOKUP($F137,'Emission Factors 2'!$A$2:$E$302,2,FALSE)</f>
        <v>0</v>
      </c>
      <c r="X137" s="68">
        <f>L137*VLOOKUP($F137,'Emission Factors 2'!$A$2:$E$302,2,FALSE)</f>
        <v>0</v>
      </c>
      <c r="Y137" s="68">
        <f>M137*VLOOKUP($F137,'Emission Factors 2'!$A$2:$E$302,2,FALSE)</f>
        <v>0</v>
      </c>
      <c r="Z137" s="68">
        <f>N137*VLOOKUP($F137,'Emission Factors 2'!$A$2:$E$302,2,FALSE)</f>
        <v>0</v>
      </c>
      <c r="AA137" s="68">
        <f>O137*VLOOKUP($F137,'Emission Factors 2'!$A$2:$E$302,2,FALSE)</f>
        <v>0</v>
      </c>
      <c r="AB137" s="68">
        <f>P137*VLOOKUP($F137,'Emission Factors 2'!$A$2:$E$302,2,FALSE)</f>
        <v>0</v>
      </c>
      <c r="AC137" s="68">
        <f>Q137*VLOOKUP($F137,'Emission Factors 2'!$A$2:$E$302,2,FALSE)</f>
        <v>0</v>
      </c>
      <c r="AD137" s="68">
        <f>R137*VLOOKUP($F137,'Emission Factors 2'!$A$2:$E$302,2,FALSE)</f>
        <v>0</v>
      </c>
      <c r="AE137" s="68">
        <f>S137*VLOOKUP($F137,'Emission Factors 2'!$A$2:$E$302,2,FALSE)</f>
        <v>0</v>
      </c>
      <c r="AF137" s="19">
        <f t="shared" si="7"/>
        <v>0</v>
      </c>
      <c r="AG137" s="31"/>
      <c r="AH137" s="31"/>
      <c r="AI137" s="31"/>
      <c r="AJ137" s="31"/>
    </row>
    <row r="138" spans="1:36" ht="21.95" customHeight="1" outlineLevel="1" x14ac:dyDescent="0.25">
      <c r="A138" s="118"/>
      <c r="B138" s="133"/>
      <c r="C138" s="29"/>
      <c r="D138" s="27" t="s">
        <v>325</v>
      </c>
      <c r="E138" s="82" t="str">
        <f>'Index Formatting'!I$20</f>
        <v>O</v>
      </c>
      <c r="F138" s="7" t="s">
        <v>738</v>
      </c>
      <c r="G138" s="15" t="s">
        <v>82</v>
      </c>
      <c r="H138" s="67"/>
      <c r="I138" s="67"/>
      <c r="J138" s="67"/>
      <c r="K138" s="67"/>
      <c r="L138" s="67"/>
      <c r="M138" s="67"/>
      <c r="N138" s="67"/>
      <c r="O138" s="67"/>
      <c r="P138" s="67"/>
      <c r="Q138" s="67"/>
      <c r="R138" s="67"/>
      <c r="S138" s="67"/>
      <c r="T138" s="68">
        <f>H138*VLOOKUP($F138,'Emission Factors 2'!$A$2:$E$302,2,FALSE)</f>
        <v>0</v>
      </c>
      <c r="U138" s="68">
        <f>I138*VLOOKUP($F138,'Emission Factors 2'!$A$2:$E$302,2,FALSE)</f>
        <v>0</v>
      </c>
      <c r="V138" s="68">
        <f>J138*VLOOKUP($F138,'Emission Factors 2'!$A$2:$E$302,2,FALSE)</f>
        <v>0</v>
      </c>
      <c r="W138" s="68">
        <f>K138*VLOOKUP($F138,'Emission Factors 2'!$A$2:$E$302,2,FALSE)</f>
        <v>0</v>
      </c>
      <c r="X138" s="68">
        <f>L138*VLOOKUP($F138,'Emission Factors 2'!$A$2:$E$302,2,FALSE)</f>
        <v>0</v>
      </c>
      <c r="Y138" s="68">
        <f>M138*VLOOKUP($F138,'Emission Factors 2'!$A$2:$E$302,2,FALSE)</f>
        <v>0</v>
      </c>
      <c r="Z138" s="68">
        <f>N138*VLOOKUP($F138,'Emission Factors 2'!$A$2:$E$302,2,FALSE)</f>
        <v>0</v>
      </c>
      <c r="AA138" s="68">
        <f>O138*VLOOKUP($F138,'Emission Factors 2'!$A$2:$E$302,2,FALSE)</f>
        <v>0</v>
      </c>
      <c r="AB138" s="68">
        <f>P138*VLOOKUP($F138,'Emission Factors 2'!$A$2:$E$302,2,FALSE)</f>
        <v>0</v>
      </c>
      <c r="AC138" s="68">
        <f>Q138*VLOOKUP($F138,'Emission Factors 2'!$A$2:$E$302,2,FALSE)</f>
        <v>0</v>
      </c>
      <c r="AD138" s="68">
        <f>R138*VLOOKUP($F138,'Emission Factors 2'!$A$2:$E$302,2,FALSE)</f>
        <v>0</v>
      </c>
      <c r="AE138" s="68">
        <f>S138*VLOOKUP($F138,'Emission Factors 2'!$A$2:$E$302,2,FALSE)</f>
        <v>0</v>
      </c>
      <c r="AF138" s="19">
        <f t="shared" si="7"/>
        <v>0</v>
      </c>
      <c r="AG138" s="31"/>
      <c r="AH138" s="31"/>
      <c r="AI138" s="31"/>
      <c r="AJ138" s="31"/>
    </row>
    <row r="139" spans="1:36" ht="21.95" customHeight="1" outlineLevel="1" x14ac:dyDescent="0.25">
      <c r="A139" s="118"/>
      <c r="B139" s="133"/>
      <c r="C139" s="29"/>
      <c r="D139" s="27" t="s">
        <v>325</v>
      </c>
      <c r="E139" s="82" t="str">
        <f>'Index Formatting'!I$20</f>
        <v>O</v>
      </c>
      <c r="F139" s="7" t="s">
        <v>738</v>
      </c>
      <c r="G139" s="15" t="s">
        <v>82</v>
      </c>
      <c r="H139" s="67"/>
      <c r="I139" s="67"/>
      <c r="J139" s="67"/>
      <c r="K139" s="67"/>
      <c r="L139" s="67"/>
      <c r="M139" s="67"/>
      <c r="N139" s="67"/>
      <c r="O139" s="67"/>
      <c r="P139" s="67"/>
      <c r="Q139" s="67"/>
      <c r="R139" s="67"/>
      <c r="S139" s="67"/>
      <c r="T139" s="68">
        <f>H139*VLOOKUP($F139,'Emission Factors 2'!$A$2:$E$302,2,FALSE)</f>
        <v>0</v>
      </c>
      <c r="U139" s="68">
        <f>I139*VLOOKUP($F139,'Emission Factors 2'!$A$2:$E$302,2,FALSE)</f>
        <v>0</v>
      </c>
      <c r="V139" s="68">
        <f>J139*VLOOKUP($F139,'Emission Factors 2'!$A$2:$E$302,2,FALSE)</f>
        <v>0</v>
      </c>
      <c r="W139" s="68">
        <f>K139*VLOOKUP($F139,'Emission Factors 2'!$A$2:$E$302,2,FALSE)</f>
        <v>0</v>
      </c>
      <c r="X139" s="68">
        <f>L139*VLOOKUP($F139,'Emission Factors 2'!$A$2:$E$302,2,FALSE)</f>
        <v>0</v>
      </c>
      <c r="Y139" s="68">
        <f>M139*VLOOKUP($F139,'Emission Factors 2'!$A$2:$E$302,2,FALSE)</f>
        <v>0</v>
      </c>
      <c r="Z139" s="68">
        <f>N139*VLOOKUP($F139,'Emission Factors 2'!$A$2:$E$302,2,FALSE)</f>
        <v>0</v>
      </c>
      <c r="AA139" s="68">
        <f>O139*VLOOKUP($F139,'Emission Factors 2'!$A$2:$E$302,2,FALSE)</f>
        <v>0</v>
      </c>
      <c r="AB139" s="68">
        <f>P139*VLOOKUP($F139,'Emission Factors 2'!$A$2:$E$302,2,FALSE)</f>
        <v>0</v>
      </c>
      <c r="AC139" s="68">
        <f>Q139*VLOOKUP($F139,'Emission Factors 2'!$A$2:$E$302,2,FALSE)</f>
        <v>0</v>
      </c>
      <c r="AD139" s="68">
        <f>R139*VLOOKUP($F139,'Emission Factors 2'!$A$2:$E$302,2,FALSE)</f>
        <v>0</v>
      </c>
      <c r="AE139" s="68">
        <f>S139*VLOOKUP($F139,'Emission Factors 2'!$A$2:$E$302,2,FALSE)</f>
        <v>0</v>
      </c>
      <c r="AF139" s="19">
        <f t="shared" si="7"/>
        <v>0</v>
      </c>
      <c r="AG139" s="31"/>
      <c r="AH139" s="31"/>
      <c r="AI139" s="31"/>
      <c r="AJ139" s="31"/>
    </row>
    <row r="140" spans="1:36" ht="21.95" customHeight="1" outlineLevel="1" x14ac:dyDescent="0.25">
      <c r="A140" s="118"/>
      <c r="B140" s="133"/>
      <c r="C140" s="29"/>
      <c r="D140" s="27" t="s">
        <v>325</v>
      </c>
      <c r="E140" s="82" t="str">
        <f>'Index Formatting'!I$20</f>
        <v>O</v>
      </c>
      <c r="F140" s="7" t="s">
        <v>739</v>
      </c>
      <c r="G140" s="15" t="s">
        <v>82</v>
      </c>
      <c r="H140" s="67"/>
      <c r="I140" s="67"/>
      <c r="J140" s="67"/>
      <c r="K140" s="67"/>
      <c r="L140" s="67"/>
      <c r="M140" s="67"/>
      <c r="N140" s="67"/>
      <c r="O140" s="67"/>
      <c r="P140" s="67"/>
      <c r="Q140" s="67"/>
      <c r="R140" s="67"/>
      <c r="S140" s="67"/>
      <c r="T140" s="68">
        <f>H140*VLOOKUP($F140,'Emission Factors 2'!$A$2:$E$302,2,FALSE)</f>
        <v>0</v>
      </c>
      <c r="U140" s="68">
        <f>I140*VLOOKUP($F140,'Emission Factors 2'!$A$2:$E$302,2,FALSE)</f>
        <v>0</v>
      </c>
      <c r="V140" s="68">
        <f>J140*VLOOKUP($F140,'Emission Factors 2'!$A$2:$E$302,2,FALSE)</f>
        <v>0</v>
      </c>
      <c r="W140" s="68">
        <f>K140*VLOOKUP($F140,'Emission Factors 2'!$A$2:$E$302,2,FALSE)</f>
        <v>0</v>
      </c>
      <c r="X140" s="68">
        <f>L140*VLOOKUP($F140,'Emission Factors 2'!$A$2:$E$302,2,FALSE)</f>
        <v>0</v>
      </c>
      <c r="Y140" s="68">
        <f>M140*VLOOKUP($F140,'Emission Factors 2'!$A$2:$E$302,2,FALSE)</f>
        <v>0</v>
      </c>
      <c r="Z140" s="68">
        <f>N140*VLOOKUP($F140,'Emission Factors 2'!$A$2:$E$302,2,FALSE)</f>
        <v>0</v>
      </c>
      <c r="AA140" s="68">
        <f>O140*VLOOKUP($F140,'Emission Factors 2'!$A$2:$E$302,2,FALSE)</f>
        <v>0</v>
      </c>
      <c r="AB140" s="68">
        <f>P140*VLOOKUP($F140,'Emission Factors 2'!$A$2:$E$302,2,FALSE)</f>
        <v>0</v>
      </c>
      <c r="AC140" s="68">
        <f>Q140*VLOOKUP($F140,'Emission Factors 2'!$A$2:$E$302,2,FALSE)</f>
        <v>0</v>
      </c>
      <c r="AD140" s="68">
        <f>R140*VLOOKUP($F140,'Emission Factors 2'!$A$2:$E$302,2,FALSE)</f>
        <v>0</v>
      </c>
      <c r="AE140" s="68">
        <f>S140*VLOOKUP($F140,'Emission Factors 2'!$A$2:$E$302,2,FALSE)</f>
        <v>0</v>
      </c>
      <c r="AF140" s="19">
        <f t="shared" si="7"/>
        <v>0</v>
      </c>
      <c r="AG140" s="31"/>
      <c r="AH140" s="31"/>
      <c r="AI140" s="31"/>
      <c r="AJ140" s="31"/>
    </row>
    <row r="141" spans="1:36" ht="21.95" customHeight="1" outlineLevel="1" x14ac:dyDescent="0.25">
      <c r="A141" s="118"/>
      <c r="B141" s="133"/>
      <c r="C141" s="29"/>
      <c r="D141" s="27" t="s">
        <v>325</v>
      </c>
      <c r="E141" s="82" t="str">
        <f>'Index Formatting'!I$20</f>
        <v>O</v>
      </c>
      <c r="F141" s="7" t="s">
        <v>333</v>
      </c>
      <c r="G141" s="15" t="s">
        <v>82</v>
      </c>
      <c r="H141" s="67"/>
      <c r="I141" s="67"/>
      <c r="J141" s="67"/>
      <c r="K141" s="67"/>
      <c r="L141" s="67"/>
      <c r="M141" s="67"/>
      <c r="N141" s="67"/>
      <c r="O141" s="67"/>
      <c r="P141" s="67"/>
      <c r="Q141" s="67"/>
      <c r="R141" s="67"/>
      <c r="S141" s="67"/>
      <c r="T141" s="68">
        <f>H141*VLOOKUP($F141,'Emission Factors 2'!$A$2:$E$302,2,FALSE)</f>
        <v>0</v>
      </c>
      <c r="U141" s="68">
        <f>I141*VLOOKUP($F141,'Emission Factors 2'!$A$2:$E$302,2,FALSE)</f>
        <v>0</v>
      </c>
      <c r="V141" s="68">
        <f>J141*VLOOKUP($F141,'Emission Factors 2'!$A$2:$E$302,2,FALSE)</f>
        <v>0</v>
      </c>
      <c r="W141" s="68">
        <f>K141*VLOOKUP($F141,'Emission Factors 2'!$A$2:$E$302,2,FALSE)</f>
        <v>0</v>
      </c>
      <c r="X141" s="68">
        <f>L141*VLOOKUP($F141,'Emission Factors 2'!$A$2:$E$302,2,FALSE)</f>
        <v>0</v>
      </c>
      <c r="Y141" s="68">
        <f>M141*VLOOKUP($F141,'Emission Factors 2'!$A$2:$E$302,2,FALSE)</f>
        <v>0</v>
      </c>
      <c r="Z141" s="68">
        <f>N141*VLOOKUP($F141,'Emission Factors 2'!$A$2:$E$302,2,FALSE)</f>
        <v>0</v>
      </c>
      <c r="AA141" s="68">
        <f>O141*VLOOKUP($F141,'Emission Factors 2'!$A$2:$E$302,2,FALSE)</f>
        <v>0</v>
      </c>
      <c r="AB141" s="68">
        <f>P141*VLOOKUP($F141,'Emission Factors 2'!$A$2:$E$302,2,FALSE)</f>
        <v>0</v>
      </c>
      <c r="AC141" s="68">
        <f>Q141*VLOOKUP($F141,'Emission Factors 2'!$A$2:$E$302,2,FALSE)</f>
        <v>0</v>
      </c>
      <c r="AD141" s="68">
        <f>R141*VLOOKUP($F141,'Emission Factors 2'!$A$2:$E$302,2,FALSE)</f>
        <v>0</v>
      </c>
      <c r="AE141" s="68">
        <f>S141*VLOOKUP($F141,'Emission Factors 2'!$A$2:$E$302,2,FALSE)</f>
        <v>0</v>
      </c>
      <c r="AF141" s="19">
        <f t="shared" si="7"/>
        <v>0</v>
      </c>
      <c r="AG141" s="31"/>
      <c r="AH141" s="31"/>
      <c r="AI141" s="31"/>
      <c r="AJ141" s="31"/>
    </row>
    <row r="142" spans="1:36" ht="21.95" customHeight="1" x14ac:dyDescent="0.25">
      <c r="A142" s="130" t="str">
        <f>IF(COUNTIF(E144:E148,"M"),"Street Lighting", "Street Lighting (Optional)")</f>
        <v>Street Lighting</v>
      </c>
      <c r="B142" s="131"/>
      <c r="C142" s="131"/>
      <c r="D142" s="131"/>
      <c r="E142" s="131"/>
      <c r="F142" s="131"/>
      <c r="G142" s="132"/>
      <c r="H142" s="137"/>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9">
        <f>SUM(AF143, AF149)</f>
        <v>0</v>
      </c>
      <c r="AG142" s="31"/>
      <c r="AH142" s="31"/>
      <c r="AI142" s="31"/>
      <c r="AJ142" s="31"/>
    </row>
    <row r="143" spans="1:36" ht="21.95" customHeight="1" x14ac:dyDescent="0.25">
      <c r="A143" s="130" t="str">
        <f>IF(COUNTIF(E144:E148,"M"),"Street Lighting - Second Order", "Street Lighting - Second Order (Optional)")</f>
        <v>Street Lighting - Second Order</v>
      </c>
      <c r="B143" s="131"/>
      <c r="C143" s="131"/>
      <c r="D143" s="131"/>
      <c r="E143" s="131"/>
      <c r="F143" s="131"/>
      <c r="G143" s="132"/>
      <c r="H143" s="137"/>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9">
        <f>SUM(AF144:AF148)</f>
        <v>0</v>
      </c>
      <c r="AG143" s="31"/>
      <c r="AH143" s="31"/>
      <c r="AI143" s="31"/>
      <c r="AJ143" s="31"/>
    </row>
    <row r="144" spans="1:36" ht="21.95" customHeight="1" outlineLevel="1" x14ac:dyDescent="0.25">
      <c r="A144" s="118">
        <v>8</v>
      </c>
      <c r="B144" s="133" t="s">
        <v>357</v>
      </c>
      <c r="C144" s="29"/>
      <c r="D144" s="27" t="s">
        <v>355</v>
      </c>
      <c r="E144" s="82" t="str">
        <f>'Index Formatting'!I$21</f>
        <v>M</v>
      </c>
      <c r="F144" s="7" t="s">
        <v>358</v>
      </c>
      <c r="G144" s="15" t="s">
        <v>295</v>
      </c>
      <c r="H144" s="67"/>
      <c r="I144" s="67"/>
      <c r="J144" s="67"/>
      <c r="K144" s="67"/>
      <c r="L144" s="67"/>
      <c r="M144" s="67"/>
      <c r="N144" s="67"/>
      <c r="O144" s="67"/>
      <c r="P144" s="67"/>
      <c r="Q144" s="67"/>
      <c r="R144" s="67"/>
      <c r="S144" s="67"/>
      <c r="T144" s="68">
        <f>H144*VLOOKUP($F144,'Emission Factors 2'!$A$2:$E$302,2,FALSE)</f>
        <v>0</v>
      </c>
      <c r="U144" s="68">
        <f>I144*VLOOKUP($F144,'Emission Factors 2'!$A$2:$E$302,2,FALSE)</f>
        <v>0</v>
      </c>
      <c r="V144" s="68">
        <f>J144*VLOOKUP($F144,'Emission Factors 2'!$A$2:$E$302,2,FALSE)</f>
        <v>0</v>
      </c>
      <c r="W144" s="68">
        <f>K144*VLOOKUP($F144,'Emission Factors 2'!$A$2:$E$302,2,FALSE)</f>
        <v>0</v>
      </c>
      <c r="X144" s="68">
        <f>L144*VLOOKUP($F144,'Emission Factors 2'!$A$2:$E$302,2,FALSE)</f>
        <v>0</v>
      </c>
      <c r="Y144" s="68">
        <f>M144*VLOOKUP($F144,'Emission Factors 2'!$A$2:$E$302,2,FALSE)</f>
        <v>0</v>
      </c>
      <c r="Z144" s="68">
        <f>N144*VLOOKUP($F144,'Emission Factors 2'!$A$2:$E$302,2,FALSE)</f>
        <v>0</v>
      </c>
      <c r="AA144" s="68">
        <f>O144*VLOOKUP($F144,'Emission Factors 2'!$A$2:$E$302,2,FALSE)</f>
        <v>0</v>
      </c>
      <c r="AB144" s="68">
        <f>P144*VLOOKUP($F144,'Emission Factors 2'!$A$2:$E$302,2,FALSE)</f>
        <v>0</v>
      </c>
      <c r="AC144" s="68">
        <f>Q144*VLOOKUP($F144,'Emission Factors 2'!$A$2:$E$302,2,FALSE)</f>
        <v>0</v>
      </c>
      <c r="AD144" s="68">
        <f>R144*VLOOKUP($F144,'Emission Factors 2'!$A$2:$E$302,2,FALSE)</f>
        <v>0</v>
      </c>
      <c r="AE144" s="68">
        <f>S144*VLOOKUP($F144,'Emission Factors 2'!$A$2:$E$302,2,FALSE)</f>
        <v>0</v>
      </c>
      <c r="AF144" s="19">
        <f t="shared" ref="AF144:AF163" si="8">IF($H$2="Total", T144, SUM(T144:AE144))</f>
        <v>0</v>
      </c>
      <c r="AG144" s="31"/>
      <c r="AH144" s="31"/>
      <c r="AI144" s="31"/>
      <c r="AJ144" s="31"/>
    </row>
    <row r="145" spans="1:36" ht="21.95" customHeight="1" outlineLevel="1" x14ac:dyDescent="0.25">
      <c r="A145" s="118"/>
      <c r="B145" s="133"/>
      <c r="C145" s="29"/>
      <c r="D145" s="27" t="s">
        <v>355</v>
      </c>
      <c r="E145" s="82" t="str">
        <f>'Index Formatting'!I$21</f>
        <v>M</v>
      </c>
      <c r="F145" s="7" t="s">
        <v>359</v>
      </c>
      <c r="G145" s="15" t="s">
        <v>295</v>
      </c>
      <c r="H145" s="67"/>
      <c r="I145" s="67"/>
      <c r="J145" s="67"/>
      <c r="K145" s="67"/>
      <c r="L145" s="67"/>
      <c r="M145" s="67"/>
      <c r="N145" s="67"/>
      <c r="O145" s="67"/>
      <c r="P145" s="67"/>
      <c r="Q145" s="67"/>
      <c r="R145" s="67"/>
      <c r="S145" s="67"/>
      <c r="T145" s="68">
        <f>H145*VLOOKUP($F145,'Emission Factors 2'!$A$2:$E$302,2,FALSE)</f>
        <v>0</v>
      </c>
      <c r="U145" s="68">
        <f>I145*VLOOKUP($F145,'Emission Factors 2'!$A$2:$E$302,2,FALSE)</f>
        <v>0</v>
      </c>
      <c r="V145" s="68">
        <f>J145*VLOOKUP($F145,'Emission Factors 2'!$A$2:$E$302,2,FALSE)</f>
        <v>0</v>
      </c>
      <c r="W145" s="68">
        <f>K145*VLOOKUP($F145,'Emission Factors 2'!$A$2:$E$302,2,FALSE)</f>
        <v>0</v>
      </c>
      <c r="X145" s="68">
        <f>L145*VLOOKUP($F145,'Emission Factors 2'!$A$2:$E$302,2,FALSE)</f>
        <v>0</v>
      </c>
      <c r="Y145" s="68">
        <f>M145*VLOOKUP($F145,'Emission Factors 2'!$A$2:$E$302,2,FALSE)</f>
        <v>0</v>
      </c>
      <c r="Z145" s="68">
        <f>N145*VLOOKUP($F145,'Emission Factors 2'!$A$2:$E$302,2,FALSE)</f>
        <v>0</v>
      </c>
      <c r="AA145" s="68">
        <f>O145*VLOOKUP($F145,'Emission Factors 2'!$A$2:$E$302,2,FALSE)</f>
        <v>0</v>
      </c>
      <c r="AB145" s="68">
        <f>P145*VLOOKUP($F145,'Emission Factors 2'!$A$2:$E$302,2,FALSE)</f>
        <v>0</v>
      </c>
      <c r="AC145" s="68">
        <f>Q145*VLOOKUP($F145,'Emission Factors 2'!$A$2:$E$302,2,FALSE)</f>
        <v>0</v>
      </c>
      <c r="AD145" s="68">
        <f>R145*VLOOKUP($F145,'Emission Factors 2'!$A$2:$E$302,2,FALSE)</f>
        <v>0</v>
      </c>
      <c r="AE145" s="68">
        <f>S145*VLOOKUP($F145,'Emission Factors 2'!$A$2:$E$302,2,FALSE)</f>
        <v>0</v>
      </c>
      <c r="AF145" s="19">
        <f t="shared" si="8"/>
        <v>0</v>
      </c>
      <c r="AG145" s="31"/>
      <c r="AH145" s="31"/>
      <c r="AI145" s="31"/>
      <c r="AJ145" s="31"/>
    </row>
    <row r="146" spans="1:36" ht="21.95" customHeight="1" outlineLevel="1" x14ac:dyDescent="0.25">
      <c r="A146" s="118"/>
      <c r="B146" s="133"/>
      <c r="C146" s="29"/>
      <c r="D146" s="27" t="s">
        <v>355</v>
      </c>
      <c r="E146" s="82" t="str">
        <f>'Index Formatting'!I$21</f>
        <v>M</v>
      </c>
      <c r="F146" s="7" t="s">
        <v>360</v>
      </c>
      <c r="G146" s="15" t="s">
        <v>295</v>
      </c>
      <c r="H146" s="67"/>
      <c r="I146" s="67"/>
      <c r="J146" s="67"/>
      <c r="K146" s="67"/>
      <c r="L146" s="67"/>
      <c r="M146" s="67"/>
      <c r="N146" s="67"/>
      <c r="O146" s="67"/>
      <c r="P146" s="67"/>
      <c r="Q146" s="67"/>
      <c r="R146" s="67"/>
      <c r="S146" s="67"/>
      <c r="T146" s="68">
        <f>H146*VLOOKUP($F146,'Emission Factors 2'!$A$2:$E$302,2,FALSE)</f>
        <v>0</v>
      </c>
      <c r="U146" s="68">
        <f>I146*VLOOKUP($F146,'Emission Factors 2'!$A$2:$E$302,2,FALSE)</f>
        <v>0</v>
      </c>
      <c r="V146" s="68">
        <f>J146*VLOOKUP($F146,'Emission Factors 2'!$A$2:$E$302,2,FALSE)</f>
        <v>0</v>
      </c>
      <c r="W146" s="68">
        <f>K146*VLOOKUP($F146,'Emission Factors 2'!$A$2:$E$302,2,FALSE)</f>
        <v>0</v>
      </c>
      <c r="X146" s="68">
        <f>L146*VLOOKUP($F146,'Emission Factors 2'!$A$2:$E$302,2,FALSE)</f>
        <v>0</v>
      </c>
      <c r="Y146" s="68">
        <f>M146*VLOOKUP($F146,'Emission Factors 2'!$A$2:$E$302,2,FALSE)</f>
        <v>0</v>
      </c>
      <c r="Z146" s="68">
        <f>N146*VLOOKUP($F146,'Emission Factors 2'!$A$2:$E$302,2,FALSE)</f>
        <v>0</v>
      </c>
      <c r="AA146" s="68">
        <f>O146*VLOOKUP($F146,'Emission Factors 2'!$A$2:$E$302,2,FALSE)</f>
        <v>0</v>
      </c>
      <c r="AB146" s="68">
        <f>P146*VLOOKUP($F146,'Emission Factors 2'!$A$2:$E$302,2,FALSE)</f>
        <v>0</v>
      </c>
      <c r="AC146" s="68">
        <f>Q146*VLOOKUP($F146,'Emission Factors 2'!$A$2:$E$302,2,FALSE)</f>
        <v>0</v>
      </c>
      <c r="AD146" s="68">
        <f>R146*VLOOKUP($F146,'Emission Factors 2'!$A$2:$E$302,2,FALSE)</f>
        <v>0</v>
      </c>
      <c r="AE146" s="68">
        <f>S146*VLOOKUP($F146,'Emission Factors 2'!$A$2:$E$302,2,FALSE)</f>
        <v>0</v>
      </c>
      <c r="AF146" s="19">
        <f t="shared" si="8"/>
        <v>0</v>
      </c>
      <c r="AG146" s="31"/>
      <c r="AH146" s="31"/>
      <c r="AI146" s="31"/>
      <c r="AJ146" s="31"/>
    </row>
    <row r="147" spans="1:36" ht="21.95" customHeight="1" outlineLevel="1" x14ac:dyDescent="0.25">
      <c r="A147" s="118"/>
      <c r="B147" s="133"/>
      <c r="C147" s="29"/>
      <c r="D147" s="27" t="s">
        <v>355</v>
      </c>
      <c r="E147" s="82" t="str">
        <f>'Index Formatting'!I$21</f>
        <v>M</v>
      </c>
      <c r="F147" s="7" t="s">
        <v>361</v>
      </c>
      <c r="G147" s="15" t="s">
        <v>295</v>
      </c>
      <c r="H147" s="67"/>
      <c r="I147" s="67"/>
      <c r="J147" s="67"/>
      <c r="K147" s="67"/>
      <c r="L147" s="67"/>
      <c r="M147" s="67"/>
      <c r="N147" s="67"/>
      <c r="O147" s="67"/>
      <c r="P147" s="67"/>
      <c r="Q147" s="67"/>
      <c r="R147" s="67"/>
      <c r="S147" s="67"/>
      <c r="T147" s="68">
        <f>H147*VLOOKUP($F147,'Emission Factors 2'!$A$2:$E$302,2,FALSE)</f>
        <v>0</v>
      </c>
      <c r="U147" s="68">
        <f>I147*VLOOKUP($F147,'Emission Factors 2'!$A$2:$E$302,2,FALSE)</f>
        <v>0</v>
      </c>
      <c r="V147" s="68">
        <f>J147*VLOOKUP($F147,'Emission Factors 2'!$A$2:$E$302,2,FALSE)</f>
        <v>0</v>
      </c>
      <c r="W147" s="68">
        <f>K147*VLOOKUP($F147,'Emission Factors 2'!$A$2:$E$302,2,FALSE)</f>
        <v>0</v>
      </c>
      <c r="X147" s="68">
        <f>L147*VLOOKUP($F147,'Emission Factors 2'!$A$2:$E$302,2,FALSE)</f>
        <v>0</v>
      </c>
      <c r="Y147" s="68">
        <f>M147*VLOOKUP($F147,'Emission Factors 2'!$A$2:$E$302,2,FALSE)</f>
        <v>0</v>
      </c>
      <c r="Z147" s="68">
        <f>N147*VLOOKUP($F147,'Emission Factors 2'!$A$2:$E$302,2,FALSE)</f>
        <v>0</v>
      </c>
      <c r="AA147" s="68">
        <f>O147*VLOOKUP($F147,'Emission Factors 2'!$A$2:$E$302,2,FALSE)</f>
        <v>0</v>
      </c>
      <c r="AB147" s="68">
        <f>P147*VLOOKUP($F147,'Emission Factors 2'!$A$2:$E$302,2,FALSE)</f>
        <v>0</v>
      </c>
      <c r="AC147" s="68">
        <f>Q147*VLOOKUP($F147,'Emission Factors 2'!$A$2:$E$302,2,FALSE)</f>
        <v>0</v>
      </c>
      <c r="AD147" s="68">
        <f>R147*VLOOKUP($F147,'Emission Factors 2'!$A$2:$E$302,2,FALSE)</f>
        <v>0</v>
      </c>
      <c r="AE147" s="68">
        <f>S147*VLOOKUP($F147,'Emission Factors 2'!$A$2:$E$302,2,FALSE)</f>
        <v>0</v>
      </c>
      <c r="AF147" s="19">
        <f t="shared" si="8"/>
        <v>0</v>
      </c>
      <c r="AG147" s="31"/>
      <c r="AH147" s="31"/>
      <c r="AI147" s="31"/>
      <c r="AJ147" s="31"/>
    </row>
    <row r="148" spans="1:36" ht="21.95" customHeight="1" outlineLevel="1" x14ac:dyDescent="0.25">
      <c r="A148" s="118"/>
      <c r="B148" s="133"/>
      <c r="C148" s="29"/>
      <c r="D148" s="27" t="s">
        <v>357</v>
      </c>
      <c r="E148" s="82" t="str">
        <f>'Index Formatting'!I$21</f>
        <v>M</v>
      </c>
      <c r="F148" s="7" t="s">
        <v>362</v>
      </c>
      <c r="G148" s="15" t="s">
        <v>322</v>
      </c>
      <c r="H148" s="67"/>
      <c r="I148" s="67"/>
      <c r="J148" s="67"/>
      <c r="K148" s="67"/>
      <c r="L148" s="67"/>
      <c r="M148" s="67"/>
      <c r="N148" s="67"/>
      <c r="O148" s="67"/>
      <c r="P148" s="67"/>
      <c r="Q148" s="67"/>
      <c r="R148" s="67"/>
      <c r="S148" s="67"/>
      <c r="T148" s="68">
        <f>H148*VLOOKUP($F148,'Emission Factors 2'!$A$2:$E$302,2,FALSE)</f>
        <v>0</v>
      </c>
      <c r="U148" s="68">
        <f>I148*VLOOKUP($F148,'Emission Factors 2'!$A$2:$E$302,2,FALSE)</f>
        <v>0</v>
      </c>
      <c r="V148" s="68">
        <f>J148*VLOOKUP($F148,'Emission Factors 2'!$A$2:$E$302,2,FALSE)</f>
        <v>0</v>
      </c>
      <c r="W148" s="68">
        <f>K148*VLOOKUP($F148,'Emission Factors 2'!$A$2:$E$302,2,FALSE)</f>
        <v>0</v>
      </c>
      <c r="X148" s="68">
        <f>L148*VLOOKUP($F148,'Emission Factors 2'!$A$2:$E$302,2,FALSE)</f>
        <v>0</v>
      </c>
      <c r="Y148" s="68">
        <f>M148*VLOOKUP($F148,'Emission Factors 2'!$A$2:$E$302,2,FALSE)</f>
        <v>0</v>
      </c>
      <c r="Z148" s="68">
        <f>N148*VLOOKUP($F148,'Emission Factors 2'!$A$2:$E$302,2,FALSE)</f>
        <v>0</v>
      </c>
      <c r="AA148" s="68">
        <f>O148*VLOOKUP($F148,'Emission Factors 2'!$A$2:$E$302,2,FALSE)</f>
        <v>0</v>
      </c>
      <c r="AB148" s="68">
        <f>P148*VLOOKUP($F148,'Emission Factors 2'!$A$2:$E$302,2,FALSE)</f>
        <v>0</v>
      </c>
      <c r="AC148" s="68">
        <f>Q148*VLOOKUP($F148,'Emission Factors 2'!$A$2:$E$302,2,FALSE)</f>
        <v>0</v>
      </c>
      <c r="AD148" s="68">
        <f>R148*VLOOKUP($F148,'Emission Factors 2'!$A$2:$E$302,2,FALSE)</f>
        <v>0</v>
      </c>
      <c r="AE148" s="68">
        <f>S148*VLOOKUP($F148,'Emission Factors 2'!$A$2:$E$302,2,FALSE)</f>
        <v>0</v>
      </c>
      <c r="AF148" s="19">
        <f t="shared" si="8"/>
        <v>0</v>
      </c>
      <c r="AG148" s="31"/>
      <c r="AH148" s="31"/>
      <c r="AI148" s="31"/>
      <c r="AJ148" s="31"/>
    </row>
    <row r="149" spans="1:36" ht="21.95" customHeight="1" x14ac:dyDescent="0.25">
      <c r="A149" s="130" t="str">
        <f>IF(COUNTIF(E149:E163,"M"),"Street Lighting - Third Order", "Street Lighting - Third Order (Optional)")</f>
        <v>Street Lighting - Third Order (Optional)</v>
      </c>
      <c r="B149" s="131"/>
      <c r="C149" s="131"/>
      <c r="D149" s="131"/>
      <c r="E149" s="131"/>
      <c r="F149" s="131"/>
      <c r="G149" s="132"/>
      <c r="H149" s="137"/>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9">
        <f>SUM(AF150:AF163)</f>
        <v>0</v>
      </c>
      <c r="AG149" s="31"/>
      <c r="AH149" s="31"/>
      <c r="AI149" s="31"/>
      <c r="AJ149" s="31"/>
    </row>
    <row r="150" spans="1:36" ht="21.95" customHeight="1" outlineLevel="1" x14ac:dyDescent="0.25">
      <c r="A150" s="118">
        <v>8</v>
      </c>
      <c r="B150" s="133" t="s">
        <v>357</v>
      </c>
      <c r="C150" s="29"/>
      <c r="D150" s="27" t="s">
        <v>325</v>
      </c>
      <c r="E150" s="82" t="str">
        <f>'Index Formatting'!I$22</f>
        <v>O</v>
      </c>
      <c r="F150" s="7" t="s">
        <v>326</v>
      </c>
      <c r="G150" s="15" t="s">
        <v>82</v>
      </c>
      <c r="H150" s="67"/>
      <c r="I150" s="67"/>
      <c r="J150" s="67"/>
      <c r="K150" s="67"/>
      <c r="L150" s="67"/>
      <c r="M150" s="67"/>
      <c r="N150" s="67"/>
      <c r="O150" s="67"/>
      <c r="P150" s="67"/>
      <c r="Q150" s="67"/>
      <c r="R150" s="67"/>
      <c r="S150" s="67"/>
      <c r="T150" s="68">
        <f>H150*VLOOKUP($F150,'Emission Factors 2'!$A$2:$E$302,2,FALSE)</f>
        <v>0</v>
      </c>
      <c r="U150" s="68">
        <f>I150*VLOOKUP($F150,'Emission Factors 2'!$A$2:$E$302,2,FALSE)</f>
        <v>0</v>
      </c>
      <c r="V150" s="68">
        <f>J150*VLOOKUP($F150,'Emission Factors 2'!$A$2:$E$302,2,FALSE)</f>
        <v>0</v>
      </c>
      <c r="W150" s="68">
        <f>K150*VLOOKUP($F150,'Emission Factors 2'!$A$2:$E$302,2,FALSE)</f>
        <v>0</v>
      </c>
      <c r="X150" s="68">
        <f>L150*VLOOKUP($F150,'Emission Factors 2'!$A$2:$E$302,2,FALSE)</f>
        <v>0</v>
      </c>
      <c r="Y150" s="68">
        <f>M150*VLOOKUP($F150,'Emission Factors 2'!$A$2:$E$302,2,FALSE)</f>
        <v>0</v>
      </c>
      <c r="Z150" s="68">
        <f>N150*VLOOKUP($F150,'Emission Factors 2'!$A$2:$E$302,2,FALSE)</f>
        <v>0</v>
      </c>
      <c r="AA150" s="68">
        <f>O150*VLOOKUP($F150,'Emission Factors 2'!$A$2:$E$302,2,FALSE)</f>
        <v>0</v>
      </c>
      <c r="AB150" s="68">
        <f>P150*VLOOKUP($F150,'Emission Factors 2'!$A$2:$E$302,2,FALSE)</f>
        <v>0</v>
      </c>
      <c r="AC150" s="68">
        <f>Q150*VLOOKUP($F150,'Emission Factors 2'!$A$2:$E$302,2,FALSE)</f>
        <v>0</v>
      </c>
      <c r="AD150" s="68">
        <f>R150*VLOOKUP($F150,'Emission Factors 2'!$A$2:$E$302,2,FALSE)</f>
        <v>0</v>
      </c>
      <c r="AE150" s="68">
        <f>S150*VLOOKUP($F150,'Emission Factors 2'!$A$2:$E$302,2,FALSE)</f>
        <v>0</v>
      </c>
      <c r="AF150" s="19">
        <f t="shared" si="8"/>
        <v>0</v>
      </c>
      <c r="AG150" s="31"/>
      <c r="AH150" s="31"/>
      <c r="AI150" s="31"/>
      <c r="AJ150" s="31"/>
    </row>
    <row r="151" spans="1:36" ht="21.95" customHeight="1" outlineLevel="1" x14ac:dyDescent="0.25">
      <c r="A151" s="118"/>
      <c r="B151" s="133"/>
      <c r="C151" s="29"/>
      <c r="D151" s="27" t="s">
        <v>325</v>
      </c>
      <c r="E151" s="82" t="str">
        <f>'Index Formatting'!I$22</f>
        <v>O</v>
      </c>
      <c r="F151" s="7" t="s">
        <v>364</v>
      </c>
      <c r="G151" s="15" t="s">
        <v>82</v>
      </c>
      <c r="H151" s="67"/>
      <c r="I151" s="67"/>
      <c r="J151" s="67"/>
      <c r="K151" s="67"/>
      <c r="L151" s="67"/>
      <c r="M151" s="67"/>
      <c r="N151" s="67"/>
      <c r="O151" s="67"/>
      <c r="P151" s="67"/>
      <c r="Q151" s="67"/>
      <c r="R151" s="67"/>
      <c r="S151" s="67"/>
      <c r="T151" s="68">
        <f>H151*VLOOKUP($F151,'Emission Factors 2'!$A$2:$E$302,2,FALSE)</f>
        <v>0</v>
      </c>
      <c r="U151" s="68">
        <f>I151*VLOOKUP($F151,'Emission Factors 2'!$A$2:$E$302,2,FALSE)</f>
        <v>0</v>
      </c>
      <c r="V151" s="68">
        <f>J151*VLOOKUP($F151,'Emission Factors 2'!$A$2:$E$302,2,FALSE)</f>
        <v>0</v>
      </c>
      <c r="W151" s="68">
        <f>K151*VLOOKUP($F151,'Emission Factors 2'!$A$2:$E$302,2,FALSE)</f>
        <v>0</v>
      </c>
      <c r="X151" s="68">
        <f>L151*VLOOKUP($F151,'Emission Factors 2'!$A$2:$E$302,2,FALSE)</f>
        <v>0</v>
      </c>
      <c r="Y151" s="68">
        <f>M151*VLOOKUP($F151,'Emission Factors 2'!$A$2:$E$302,2,FALSE)</f>
        <v>0</v>
      </c>
      <c r="Z151" s="68">
        <f>N151*VLOOKUP($F151,'Emission Factors 2'!$A$2:$E$302,2,FALSE)</f>
        <v>0</v>
      </c>
      <c r="AA151" s="68">
        <f>O151*VLOOKUP($F151,'Emission Factors 2'!$A$2:$E$302,2,FALSE)</f>
        <v>0</v>
      </c>
      <c r="AB151" s="68">
        <f>P151*VLOOKUP($F151,'Emission Factors 2'!$A$2:$E$302,2,FALSE)</f>
        <v>0</v>
      </c>
      <c r="AC151" s="68">
        <f>Q151*VLOOKUP($F151,'Emission Factors 2'!$A$2:$E$302,2,FALSE)</f>
        <v>0</v>
      </c>
      <c r="AD151" s="68">
        <f>R151*VLOOKUP($F151,'Emission Factors 2'!$A$2:$E$302,2,FALSE)</f>
        <v>0</v>
      </c>
      <c r="AE151" s="68">
        <f>S151*VLOOKUP($F151,'Emission Factors 2'!$A$2:$E$302,2,FALSE)</f>
        <v>0</v>
      </c>
      <c r="AF151" s="19">
        <f t="shared" si="8"/>
        <v>0</v>
      </c>
      <c r="AG151" s="31"/>
      <c r="AH151" s="31"/>
      <c r="AI151" s="31"/>
      <c r="AJ151" s="31"/>
    </row>
    <row r="152" spans="1:36" ht="21.95" customHeight="1" outlineLevel="1" x14ac:dyDescent="0.25">
      <c r="A152" s="118"/>
      <c r="B152" s="133"/>
      <c r="C152" s="29"/>
      <c r="D152" s="27" t="s">
        <v>325</v>
      </c>
      <c r="E152" s="82" t="str">
        <f>'Index Formatting'!I$22</f>
        <v>O</v>
      </c>
      <c r="F152" s="7" t="s">
        <v>327</v>
      </c>
      <c r="G152" s="15" t="s">
        <v>82</v>
      </c>
      <c r="H152" s="67"/>
      <c r="I152" s="67"/>
      <c r="J152" s="67"/>
      <c r="K152" s="67"/>
      <c r="L152" s="67"/>
      <c r="M152" s="67"/>
      <c r="N152" s="67"/>
      <c r="O152" s="67"/>
      <c r="P152" s="67"/>
      <c r="Q152" s="67"/>
      <c r="R152" s="67"/>
      <c r="S152" s="67"/>
      <c r="T152" s="68">
        <f>H152*VLOOKUP($F152,'Emission Factors 2'!$A$2:$E$302,2,FALSE)</f>
        <v>0</v>
      </c>
      <c r="U152" s="68">
        <f>I152*VLOOKUP($F152,'Emission Factors 2'!$A$2:$E$302,2,FALSE)</f>
        <v>0</v>
      </c>
      <c r="V152" s="68">
        <f>J152*VLOOKUP($F152,'Emission Factors 2'!$A$2:$E$302,2,FALSE)</f>
        <v>0</v>
      </c>
      <c r="W152" s="68">
        <f>K152*VLOOKUP($F152,'Emission Factors 2'!$A$2:$E$302,2,FALSE)</f>
        <v>0</v>
      </c>
      <c r="X152" s="68">
        <f>L152*VLOOKUP($F152,'Emission Factors 2'!$A$2:$E$302,2,FALSE)</f>
        <v>0</v>
      </c>
      <c r="Y152" s="68">
        <f>M152*VLOOKUP($F152,'Emission Factors 2'!$A$2:$E$302,2,FALSE)</f>
        <v>0</v>
      </c>
      <c r="Z152" s="68">
        <f>N152*VLOOKUP($F152,'Emission Factors 2'!$A$2:$E$302,2,FALSE)</f>
        <v>0</v>
      </c>
      <c r="AA152" s="68">
        <f>O152*VLOOKUP($F152,'Emission Factors 2'!$A$2:$E$302,2,FALSE)</f>
        <v>0</v>
      </c>
      <c r="AB152" s="68">
        <f>P152*VLOOKUP($F152,'Emission Factors 2'!$A$2:$E$302,2,FALSE)</f>
        <v>0</v>
      </c>
      <c r="AC152" s="68">
        <f>Q152*VLOOKUP($F152,'Emission Factors 2'!$A$2:$E$302,2,FALSE)</f>
        <v>0</v>
      </c>
      <c r="AD152" s="68">
        <f>R152*VLOOKUP($F152,'Emission Factors 2'!$A$2:$E$302,2,FALSE)</f>
        <v>0</v>
      </c>
      <c r="AE152" s="68">
        <f>S152*VLOOKUP($F152,'Emission Factors 2'!$A$2:$E$302,2,FALSE)</f>
        <v>0</v>
      </c>
      <c r="AF152" s="19">
        <f t="shared" si="8"/>
        <v>0</v>
      </c>
      <c r="AG152" s="31"/>
      <c r="AH152" s="31"/>
      <c r="AI152" s="31"/>
      <c r="AJ152" s="31"/>
    </row>
    <row r="153" spans="1:36" ht="21.95" customHeight="1" outlineLevel="1" x14ac:dyDescent="0.25">
      <c r="A153" s="118"/>
      <c r="B153" s="133"/>
      <c r="C153" s="29"/>
      <c r="D153" s="27" t="s">
        <v>325</v>
      </c>
      <c r="E153" s="82" t="str">
        <f>'Index Formatting'!I$22</f>
        <v>O</v>
      </c>
      <c r="F153" s="7" t="s">
        <v>328</v>
      </c>
      <c r="G153" s="15" t="s">
        <v>82</v>
      </c>
      <c r="H153" s="67"/>
      <c r="I153" s="67"/>
      <c r="J153" s="67"/>
      <c r="K153" s="67"/>
      <c r="L153" s="67"/>
      <c r="M153" s="67"/>
      <c r="N153" s="67"/>
      <c r="O153" s="67"/>
      <c r="P153" s="67"/>
      <c r="Q153" s="67"/>
      <c r="R153" s="67"/>
      <c r="S153" s="67"/>
      <c r="T153" s="68">
        <f>H153*VLOOKUP($F153,'Emission Factors 2'!$A$2:$E$302,2,FALSE)</f>
        <v>0</v>
      </c>
      <c r="U153" s="68">
        <f>I153*VLOOKUP($F153,'Emission Factors 2'!$A$2:$E$302,2,FALSE)</f>
        <v>0</v>
      </c>
      <c r="V153" s="68">
        <f>J153*VLOOKUP($F153,'Emission Factors 2'!$A$2:$E$302,2,FALSE)</f>
        <v>0</v>
      </c>
      <c r="W153" s="68">
        <f>K153*VLOOKUP($F153,'Emission Factors 2'!$A$2:$E$302,2,FALSE)</f>
        <v>0</v>
      </c>
      <c r="X153" s="68">
        <f>L153*VLOOKUP($F153,'Emission Factors 2'!$A$2:$E$302,2,FALSE)</f>
        <v>0</v>
      </c>
      <c r="Y153" s="68">
        <f>M153*VLOOKUP($F153,'Emission Factors 2'!$A$2:$E$302,2,FALSE)</f>
        <v>0</v>
      </c>
      <c r="Z153" s="68">
        <f>N153*VLOOKUP($F153,'Emission Factors 2'!$A$2:$E$302,2,FALSE)</f>
        <v>0</v>
      </c>
      <c r="AA153" s="68">
        <f>O153*VLOOKUP($F153,'Emission Factors 2'!$A$2:$E$302,2,FALSE)</f>
        <v>0</v>
      </c>
      <c r="AB153" s="68">
        <f>P153*VLOOKUP($F153,'Emission Factors 2'!$A$2:$E$302,2,FALSE)</f>
        <v>0</v>
      </c>
      <c r="AC153" s="68">
        <f>Q153*VLOOKUP($F153,'Emission Factors 2'!$A$2:$E$302,2,FALSE)</f>
        <v>0</v>
      </c>
      <c r="AD153" s="68">
        <f>R153*VLOOKUP($F153,'Emission Factors 2'!$A$2:$E$302,2,FALSE)</f>
        <v>0</v>
      </c>
      <c r="AE153" s="68">
        <f>S153*VLOOKUP($F153,'Emission Factors 2'!$A$2:$E$302,2,FALSE)</f>
        <v>0</v>
      </c>
      <c r="AF153" s="19">
        <f t="shared" si="8"/>
        <v>0</v>
      </c>
      <c r="AG153" s="31"/>
      <c r="AH153" s="31"/>
      <c r="AI153" s="31"/>
      <c r="AJ153" s="31"/>
    </row>
    <row r="154" spans="1:36" ht="21.95" customHeight="1" outlineLevel="1" x14ac:dyDescent="0.25">
      <c r="A154" s="118"/>
      <c r="B154" s="133"/>
      <c r="C154" s="29"/>
      <c r="D154" s="27" t="s">
        <v>325</v>
      </c>
      <c r="E154" s="82" t="str">
        <f>'Index Formatting'!I$22</f>
        <v>O</v>
      </c>
      <c r="F154" s="7" t="s">
        <v>329</v>
      </c>
      <c r="G154" s="15" t="s">
        <v>82</v>
      </c>
      <c r="H154" s="67"/>
      <c r="I154" s="67"/>
      <c r="J154" s="67"/>
      <c r="K154" s="67"/>
      <c r="L154" s="67"/>
      <c r="M154" s="67"/>
      <c r="N154" s="67"/>
      <c r="O154" s="67"/>
      <c r="P154" s="67"/>
      <c r="Q154" s="67"/>
      <c r="R154" s="67"/>
      <c r="S154" s="67"/>
      <c r="T154" s="68">
        <f>H154*VLOOKUP($F154,'Emission Factors 2'!$A$2:$E$302,2,FALSE)</f>
        <v>0</v>
      </c>
      <c r="U154" s="68">
        <f>I154*VLOOKUP($F154,'Emission Factors 2'!$A$2:$E$302,2,FALSE)</f>
        <v>0</v>
      </c>
      <c r="V154" s="68">
        <f>J154*VLOOKUP($F154,'Emission Factors 2'!$A$2:$E$302,2,FALSE)</f>
        <v>0</v>
      </c>
      <c r="W154" s="68">
        <f>K154*VLOOKUP($F154,'Emission Factors 2'!$A$2:$E$302,2,FALSE)</f>
        <v>0</v>
      </c>
      <c r="X154" s="68">
        <f>L154*VLOOKUP($F154,'Emission Factors 2'!$A$2:$E$302,2,FALSE)</f>
        <v>0</v>
      </c>
      <c r="Y154" s="68">
        <f>M154*VLOOKUP($F154,'Emission Factors 2'!$A$2:$E$302,2,FALSE)</f>
        <v>0</v>
      </c>
      <c r="Z154" s="68">
        <f>N154*VLOOKUP($F154,'Emission Factors 2'!$A$2:$E$302,2,FALSE)</f>
        <v>0</v>
      </c>
      <c r="AA154" s="68">
        <f>O154*VLOOKUP($F154,'Emission Factors 2'!$A$2:$E$302,2,FALSE)</f>
        <v>0</v>
      </c>
      <c r="AB154" s="68">
        <f>P154*VLOOKUP($F154,'Emission Factors 2'!$A$2:$E$302,2,FALSE)</f>
        <v>0</v>
      </c>
      <c r="AC154" s="68">
        <f>Q154*VLOOKUP($F154,'Emission Factors 2'!$A$2:$E$302,2,FALSE)</f>
        <v>0</v>
      </c>
      <c r="AD154" s="68">
        <f>R154*VLOOKUP($F154,'Emission Factors 2'!$A$2:$E$302,2,FALSE)</f>
        <v>0</v>
      </c>
      <c r="AE154" s="68">
        <f>S154*VLOOKUP($F154,'Emission Factors 2'!$A$2:$E$302,2,FALSE)</f>
        <v>0</v>
      </c>
      <c r="AF154" s="19">
        <f t="shared" si="8"/>
        <v>0</v>
      </c>
      <c r="AG154" s="31"/>
      <c r="AH154" s="31"/>
      <c r="AI154" s="31"/>
      <c r="AJ154" s="31"/>
    </row>
    <row r="155" spans="1:36" ht="21.95" customHeight="1" outlineLevel="1" x14ac:dyDescent="0.25">
      <c r="A155" s="118"/>
      <c r="B155" s="133"/>
      <c r="C155" s="29"/>
      <c r="D155" s="27" t="s">
        <v>325</v>
      </c>
      <c r="E155" s="82" t="str">
        <f>'Index Formatting'!I$22</f>
        <v>O</v>
      </c>
      <c r="F155" s="7" t="s">
        <v>330</v>
      </c>
      <c r="G155" s="15" t="s">
        <v>82</v>
      </c>
      <c r="H155" s="67"/>
      <c r="I155" s="67"/>
      <c r="J155" s="67"/>
      <c r="K155" s="67"/>
      <c r="L155" s="67"/>
      <c r="M155" s="67"/>
      <c r="N155" s="67"/>
      <c r="O155" s="67"/>
      <c r="P155" s="67"/>
      <c r="Q155" s="67"/>
      <c r="R155" s="67"/>
      <c r="S155" s="67"/>
      <c r="T155" s="68">
        <f>H155*VLOOKUP($F155,'Emission Factors 2'!$A$2:$E$302,2,FALSE)</f>
        <v>0</v>
      </c>
      <c r="U155" s="68">
        <f>I155*VLOOKUP($F155,'Emission Factors 2'!$A$2:$E$302,2,FALSE)</f>
        <v>0</v>
      </c>
      <c r="V155" s="68">
        <f>J155*VLOOKUP($F155,'Emission Factors 2'!$A$2:$E$302,2,FALSE)</f>
        <v>0</v>
      </c>
      <c r="W155" s="68">
        <f>K155*VLOOKUP($F155,'Emission Factors 2'!$A$2:$E$302,2,FALSE)</f>
        <v>0</v>
      </c>
      <c r="X155" s="68">
        <f>L155*VLOOKUP($F155,'Emission Factors 2'!$A$2:$E$302,2,FALSE)</f>
        <v>0</v>
      </c>
      <c r="Y155" s="68">
        <f>M155*VLOOKUP($F155,'Emission Factors 2'!$A$2:$E$302,2,FALSE)</f>
        <v>0</v>
      </c>
      <c r="Z155" s="68">
        <f>N155*VLOOKUP($F155,'Emission Factors 2'!$A$2:$E$302,2,FALSE)</f>
        <v>0</v>
      </c>
      <c r="AA155" s="68">
        <f>O155*VLOOKUP($F155,'Emission Factors 2'!$A$2:$E$302,2,FALSE)</f>
        <v>0</v>
      </c>
      <c r="AB155" s="68">
        <f>P155*VLOOKUP($F155,'Emission Factors 2'!$A$2:$E$302,2,FALSE)</f>
        <v>0</v>
      </c>
      <c r="AC155" s="68">
        <f>Q155*VLOOKUP($F155,'Emission Factors 2'!$A$2:$E$302,2,FALSE)</f>
        <v>0</v>
      </c>
      <c r="AD155" s="68">
        <f>R155*VLOOKUP($F155,'Emission Factors 2'!$A$2:$E$302,2,FALSE)</f>
        <v>0</v>
      </c>
      <c r="AE155" s="68">
        <f>S155*VLOOKUP($F155,'Emission Factors 2'!$A$2:$E$302,2,FALSE)</f>
        <v>0</v>
      </c>
      <c r="AF155" s="19">
        <f t="shared" si="8"/>
        <v>0</v>
      </c>
      <c r="AG155" s="31"/>
      <c r="AH155" s="31"/>
      <c r="AI155" s="31"/>
      <c r="AJ155" s="31"/>
    </row>
    <row r="156" spans="1:36" ht="21.95" customHeight="1" outlineLevel="1" x14ac:dyDescent="0.25">
      <c r="A156" s="118"/>
      <c r="B156" s="133"/>
      <c r="C156" s="29"/>
      <c r="D156" s="27" t="s">
        <v>325</v>
      </c>
      <c r="E156" s="82" t="str">
        <f>'Index Formatting'!I$22</f>
        <v>O</v>
      </c>
      <c r="F156" s="7" t="s">
        <v>331</v>
      </c>
      <c r="G156" s="15" t="s">
        <v>82</v>
      </c>
      <c r="H156" s="67"/>
      <c r="I156" s="67"/>
      <c r="J156" s="67"/>
      <c r="K156" s="67"/>
      <c r="L156" s="67"/>
      <c r="M156" s="67"/>
      <c r="N156" s="67"/>
      <c r="O156" s="67"/>
      <c r="P156" s="67"/>
      <c r="Q156" s="67"/>
      <c r="R156" s="67"/>
      <c r="S156" s="67"/>
      <c r="T156" s="68">
        <f>H156*VLOOKUP($F156,'Emission Factors 2'!$A$2:$E$302,2,FALSE)</f>
        <v>0</v>
      </c>
      <c r="U156" s="68">
        <f>I156*VLOOKUP($F156,'Emission Factors 2'!$A$2:$E$302,2,FALSE)</f>
        <v>0</v>
      </c>
      <c r="V156" s="68">
        <f>J156*VLOOKUP($F156,'Emission Factors 2'!$A$2:$E$302,2,FALSE)</f>
        <v>0</v>
      </c>
      <c r="W156" s="68">
        <f>K156*VLOOKUP($F156,'Emission Factors 2'!$A$2:$E$302,2,FALSE)</f>
        <v>0</v>
      </c>
      <c r="X156" s="68">
        <f>L156*VLOOKUP($F156,'Emission Factors 2'!$A$2:$E$302,2,FALSE)</f>
        <v>0</v>
      </c>
      <c r="Y156" s="68">
        <f>M156*VLOOKUP($F156,'Emission Factors 2'!$A$2:$E$302,2,FALSE)</f>
        <v>0</v>
      </c>
      <c r="Z156" s="68">
        <f>N156*VLOOKUP($F156,'Emission Factors 2'!$A$2:$E$302,2,FALSE)</f>
        <v>0</v>
      </c>
      <c r="AA156" s="68">
        <f>O156*VLOOKUP($F156,'Emission Factors 2'!$A$2:$E$302,2,FALSE)</f>
        <v>0</v>
      </c>
      <c r="AB156" s="68">
        <f>P156*VLOOKUP($F156,'Emission Factors 2'!$A$2:$E$302,2,FALSE)</f>
        <v>0</v>
      </c>
      <c r="AC156" s="68">
        <f>Q156*VLOOKUP($F156,'Emission Factors 2'!$A$2:$E$302,2,FALSE)</f>
        <v>0</v>
      </c>
      <c r="AD156" s="68">
        <f>R156*VLOOKUP($F156,'Emission Factors 2'!$A$2:$E$302,2,FALSE)</f>
        <v>0</v>
      </c>
      <c r="AE156" s="68">
        <f>S156*VLOOKUP($F156,'Emission Factors 2'!$A$2:$E$302,2,FALSE)</f>
        <v>0</v>
      </c>
      <c r="AF156" s="19">
        <f t="shared" si="8"/>
        <v>0</v>
      </c>
      <c r="AG156" s="31"/>
      <c r="AH156" s="31"/>
      <c r="AI156" s="31"/>
      <c r="AJ156" s="31"/>
    </row>
    <row r="157" spans="1:36" ht="21.95" customHeight="1" outlineLevel="1" x14ac:dyDescent="0.25">
      <c r="A157" s="118"/>
      <c r="B157" s="133"/>
      <c r="C157" s="29"/>
      <c r="D157" s="27" t="s">
        <v>325</v>
      </c>
      <c r="E157" s="82" t="str">
        <f>'Index Formatting'!I$22</f>
        <v>O</v>
      </c>
      <c r="F157" s="7" t="s">
        <v>332</v>
      </c>
      <c r="G157" s="15" t="s">
        <v>82</v>
      </c>
      <c r="H157" s="67"/>
      <c r="I157" s="67"/>
      <c r="J157" s="67"/>
      <c r="K157" s="67"/>
      <c r="L157" s="67"/>
      <c r="M157" s="67"/>
      <c r="N157" s="67"/>
      <c r="O157" s="67"/>
      <c r="P157" s="67"/>
      <c r="Q157" s="67"/>
      <c r="R157" s="67"/>
      <c r="S157" s="67"/>
      <c r="T157" s="68">
        <f>H157*VLOOKUP($F157,'Emission Factors 2'!$A$2:$E$302,2,FALSE)</f>
        <v>0</v>
      </c>
      <c r="U157" s="68">
        <f>I157*VLOOKUP($F157,'Emission Factors 2'!$A$2:$E$302,2,FALSE)</f>
        <v>0</v>
      </c>
      <c r="V157" s="68">
        <f>J157*VLOOKUP($F157,'Emission Factors 2'!$A$2:$E$302,2,FALSE)</f>
        <v>0</v>
      </c>
      <c r="W157" s="68">
        <f>K157*VLOOKUP($F157,'Emission Factors 2'!$A$2:$E$302,2,FALSE)</f>
        <v>0</v>
      </c>
      <c r="X157" s="68">
        <f>L157*VLOOKUP($F157,'Emission Factors 2'!$A$2:$E$302,2,FALSE)</f>
        <v>0</v>
      </c>
      <c r="Y157" s="68">
        <f>M157*VLOOKUP($F157,'Emission Factors 2'!$A$2:$E$302,2,FALSE)</f>
        <v>0</v>
      </c>
      <c r="Z157" s="68">
        <f>N157*VLOOKUP($F157,'Emission Factors 2'!$A$2:$E$302,2,FALSE)</f>
        <v>0</v>
      </c>
      <c r="AA157" s="68">
        <f>O157*VLOOKUP($F157,'Emission Factors 2'!$A$2:$E$302,2,FALSE)</f>
        <v>0</v>
      </c>
      <c r="AB157" s="68">
        <f>P157*VLOOKUP($F157,'Emission Factors 2'!$A$2:$E$302,2,FALSE)</f>
        <v>0</v>
      </c>
      <c r="AC157" s="68">
        <f>Q157*VLOOKUP($F157,'Emission Factors 2'!$A$2:$E$302,2,FALSE)</f>
        <v>0</v>
      </c>
      <c r="AD157" s="68">
        <f>R157*VLOOKUP($F157,'Emission Factors 2'!$A$2:$E$302,2,FALSE)</f>
        <v>0</v>
      </c>
      <c r="AE157" s="68">
        <f>S157*VLOOKUP($F157,'Emission Factors 2'!$A$2:$E$302,2,FALSE)</f>
        <v>0</v>
      </c>
      <c r="AF157" s="19">
        <f t="shared" si="8"/>
        <v>0</v>
      </c>
      <c r="AG157" s="31"/>
      <c r="AH157" s="31"/>
      <c r="AI157" s="31"/>
      <c r="AJ157" s="31"/>
    </row>
    <row r="158" spans="1:36" ht="21.95" customHeight="1" outlineLevel="1" x14ac:dyDescent="0.25">
      <c r="A158" s="118"/>
      <c r="B158" s="133"/>
      <c r="C158" s="29"/>
      <c r="D158" s="27" t="s">
        <v>325</v>
      </c>
      <c r="E158" s="82" t="str">
        <f>'Index Formatting'!I$22</f>
        <v>O</v>
      </c>
      <c r="F158" s="7" t="s">
        <v>740</v>
      </c>
      <c r="G158" s="15" t="s">
        <v>82</v>
      </c>
      <c r="H158" s="67"/>
      <c r="I158" s="67"/>
      <c r="J158" s="67"/>
      <c r="K158" s="67"/>
      <c r="L158" s="67"/>
      <c r="M158" s="67"/>
      <c r="N158" s="67"/>
      <c r="O158" s="67"/>
      <c r="P158" s="67"/>
      <c r="Q158" s="67"/>
      <c r="R158" s="67"/>
      <c r="S158" s="67"/>
      <c r="T158" s="68">
        <f>H158*VLOOKUP($F158,'Emission Factors 2'!$A$2:$E$302,2,FALSE)</f>
        <v>0</v>
      </c>
      <c r="U158" s="68">
        <f>I158*VLOOKUP($F158,'Emission Factors 2'!$A$2:$E$302,2,FALSE)</f>
        <v>0</v>
      </c>
      <c r="V158" s="68">
        <f>J158*VLOOKUP($F158,'Emission Factors 2'!$A$2:$E$302,2,FALSE)</f>
        <v>0</v>
      </c>
      <c r="W158" s="68">
        <f>K158*VLOOKUP($F158,'Emission Factors 2'!$A$2:$E$302,2,FALSE)</f>
        <v>0</v>
      </c>
      <c r="X158" s="68">
        <f>L158*VLOOKUP($F158,'Emission Factors 2'!$A$2:$E$302,2,FALSE)</f>
        <v>0</v>
      </c>
      <c r="Y158" s="68">
        <f>M158*VLOOKUP($F158,'Emission Factors 2'!$A$2:$E$302,2,FALSE)</f>
        <v>0</v>
      </c>
      <c r="Z158" s="68">
        <f>N158*VLOOKUP($F158,'Emission Factors 2'!$A$2:$E$302,2,FALSE)</f>
        <v>0</v>
      </c>
      <c r="AA158" s="68">
        <f>O158*VLOOKUP($F158,'Emission Factors 2'!$A$2:$E$302,2,FALSE)</f>
        <v>0</v>
      </c>
      <c r="AB158" s="68">
        <f>P158*VLOOKUP($F158,'Emission Factors 2'!$A$2:$E$302,2,FALSE)</f>
        <v>0</v>
      </c>
      <c r="AC158" s="68">
        <f>Q158*VLOOKUP($F158,'Emission Factors 2'!$A$2:$E$302,2,FALSE)</f>
        <v>0</v>
      </c>
      <c r="AD158" s="68">
        <f>R158*VLOOKUP($F158,'Emission Factors 2'!$A$2:$E$302,2,FALSE)</f>
        <v>0</v>
      </c>
      <c r="AE158" s="68">
        <f>S158*VLOOKUP($F158,'Emission Factors 2'!$A$2:$E$302,2,FALSE)</f>
        <v>0</v>
      </c>
      <c r="AF158" s="19">
        <f t="shared" si="8"/>
        <v>0</v>
      </c>
      <c r="AG158" s="31"/>
      <c r="AH158" s="31"/>
      <c r="AI158" s="31"/>
      <c r="AJ158" s="31"/>
    </row>
    <row r="159" spans="1:36" ht="21.95" customHeight="1" outlineLevel="1" x14ac:dyDescent="0.25">
      <c r="A159" s="118"/>
      <c r="B159" s="133"/>
      <c r="C159" s="29"/>
      <c r="D159" s="27" t="s">
        <v>325</v>
      </c>
      <c r="E159" s="82" t="str">
        <f>'Index Formatting'!I$22</f>
        <v>O</v>
      </c>
      <c r="F159" s="7" t="s">
        <v>740</v>
      </c>
      <c r="G159" s="15" t="s">
        <v>82</v>
      </c>
      <c r="H159" s="67"/>
      <c r="I159" s="67"/>
      <c r="J159" s="67"/>
      <c r="K159" s="67"/>
      <c r="L159" s="67"/>
      <c r="M159" s="67"/>
      <c r="N159" s="67"/>
      <c r="O159" s="67"/>
      <c r="P159" s="67"/>
      <c r="Q159" s="67"/>
      <c r="R159" s="67"/>
      <c r="S159" s="67"/>
      <c r="T159" s="68">
        <f>H159*VLOOKUP($F159,'Emission Factors 2'!$A$2:$E$302,2,FALSE)</f>
        <v>0</v>
      </c>
      <c r="U159" s="68">
        <f>I159*VLOOKUP($F159,'Emission Factors 2'!$A$2:$E$302,2,FALSE)</f>
        <v>0</v>
      </c>
      <c r="V159" s="68">
        <f>J159*VLOOKUP($F159,'Emission Factors 2'!$A$2:$E$302,2,FALSE)</f>
        <v>0</v>
      </c>
      <c r="W159" s="68">
        <f>K159*VLOOKUP($F159,'Emission Factors 2'!$A$2:$E$302,2,FALSE)</f>
        <v>0</v>
      </c>
      <c r="X159" s="68">
        <f>L159*VLOOKUP($F159,'Emission Factors 2'!$A$2:$E$302,2,FALSE)</f>
        <v>0</v>
      </c>
      <c r="Y159" s="68">
        <f>M159*VLOOKUP($F159,'Emission Factors 2'!$A$2:$E$302,2,FALSE)</f>
        <v>0</v>
      </c>
      <c r="Z159" s="68">
        <f>N159*VLOOKUP($F159,'Emission Factors 2'!$A$2:$E$302,2,FALSE)</f>
        <v>0</v>
      </c>
      <c r="AA159" s="68">
        <f>O159*VLOOKUP($F159,'Emission Factors 2'!$A$2:$E$302,2,FALSE)</f>
        <v>0</v>
      </c>
      <c r="AB159" s="68">
        <f>P159*VLOOKUP($F159,'Emission Factors 2'!$A$2:$E$302,2,FALSE)</f>
        <v>0</v>
      </c>
      <c r="AC159" s="68">
        <f>Q159*VLOOKUP($F159,'Emission Factors 2'!$A$2:$E$302,2,FALSE)</f>
        <v>0</v>
      </c>
      <c r="AD159" s="68">
        <f>R159*VLOOKUP($F159,'Emission Factors 2'!$A$2:$E$302,2,FALSE)</f>
        <v>0</v>
      </c>
      <c r="AE159" s="68">
        <f>S159*VLOOKUP($F159,'Emission Factors 2'!$A$2:$E$302,2,FALSE)</f>
        <v>0</v>
      </c>
      <c r="AF159" s="19">
        <f t="shared" si="8"/>
        <v>0</v>
      </c>
      <c r="AG159" s="31"/>
      <c r="AH159" s="31"/>
      <c r="AI159" s="31"/>
      <c r="AJ159" s="31"/>
    </row>
    <row r="160" spans="1:36" ht="21.95" customHeight="1" outlineLevel="1" x14ac:dyDescent="0.25">
      <c r="A160" s="118"/>
      <c r="B160" s="133"/>
      <c r="C160" s="29"/>
      <c r="D160" s="27" t="s">
        <v>325</v>
      </c>
      <c r="E160" s="82" t="str">
        <f>'Index Formatting'!I$22</f>
        <v>O</v>
      </c>
      <c r="F160" s="7" t="s">
        <v>739</v>
      </c>
      <c r="G160" s="15" t="s">
        <v>82</v>
      </c>
      <c r="H160" s="67"/>
      <c r="I160" s="67"/>
      <c r="J160" s="67"/>
      <c r="K160" s="67"/>
      <c r="L160" s="67"/>
      <c r="M160" s="67"/>
      <c r="N160" s="67"/>
      <c r="O160" s="67"/>
      <c r="P160" s="67"/>
      <c r="Q160" s="67"/>
      <c r="R160" s="67"/>
      <c r="S160" s="67"/>
      <c r="T160" s="68">
        <f>H160*VLOOKUP($F160,'Emission Factors 2'!$A$2:$E$302,2,FALSE)</f>
        <v>0</v>
      </c>
      <c r="U160" s="68">
        <f>I160*VLOOKUP($F160,'Emission Factors 2'!$A$2:$E$302,2,FALSE)</f>
        <v>0</v>
      </c>
      <c r="V160" s="68">
        <f>J160*VLOOKUP($F160,'Emission Factors 2'!$A$2:$E$302,2,FALSE)</f>
        <v>0</v>
      </c>
      <c r="W160" s="68">
        <f>K160*VLOOKUP($F160,'Emission Factors 2'!$A$2:$E$302,2,FALSE)</f>
        <v>0</v>
      </c>
      <c r="X160" s="68">
        <f>L160*VLOOKUP($F160,'Emission Factors 2'!$A$2:$E$302,2,FALSE)</f>
        <v>0</v>
      </c>
      <c r="Y160" s="68">
        <f>M160*VLOOKUP($F160,'Emission Factors 2'!$A$2:$E$302,2,FALSE)</f>
        <v>0</v>
      </c>
      <c r="Z160" s="68">
        <f>N160*VLOOKUP($F160,'Emission Factors 2'!$A$2:$E$302,2,FALSE)</f>
        <v>0</v>
      </c>
      <c r="AA160" s="68">
        <f>O160*VLOOKUP($F160,'Emission Factors 2'!$A$2:$E$302,2,FALSE)</f>
        <v>0</v>
      </c>
      <c r="AB160" s="68">
        <f>P160*VLOOKUP($F160,'Emission Factors 2'!$A$2:$E$302,2,FALSE)</f>
        <v>0</v>
      </c>
      <c r="AC160" s="68">
        <f>Q160*VLOOKUP($F160,'Emission Factors 2'!$A$2:$E$302,2,FALSE)</f>
        <v>0</v>
      </c>
      <c r="AD160" s="68">
        <f>R160*VLOOKUP($F160,'Emission Factors 2'!$A$2:$E$302,2,FALSE)</f>
        <v>0</v>
      </c>
      <c r="AE160" s="68">
        <f>S160*VLOOKUP($F160,'Emission Factors 2'!$A$2:$E$302,2,FALSE)</f>
        <v>0</v>
      </c>
      <c r="AF160" s="19">
        <f t="shared" si="8"/>
        <v>0</v>
      </c>
      <c r="AG160" s="31"/>
      <c r="AH160" s="31"/>
      <c r="AI160" s="31"/>
      <c r="AJ160" s="31"/>
    </row>
    <row r="161" spans="1:36" ht="21.95" customHeight="1" outlineLevel="1" x14ac:dyDescent="0.25">
      <c r="A161" s="118"/>
      <c r="B161" s="133"/>
      <c r="C161" s="29"/>
      <c r="D161" s="27" t="s">
        <v>325</v>
      </c>
      <c r="E161" s="82" t="str">
        <f>'Index Formatting'!I$22</f>
        <v>O</v>
      </c>
      <c r="F161" s="7" t="s">
        <v>738</v>
      </c>
      <c r="G161" s="15" t="s">
        <v>82</v>
      </c>
      <c r="H161" s="67"/>
      <c r="I161" s="67"/>
      <c r="J161" s="67"/>
      <c r="K161" s="67"/>
      <c r="L161" s="67"/>
      <c r="M161" s="67"/>
      <c r="N161" s="67"/>
      <c r="O161" s="67"/>
      <c r="P161" s="67"/>
      <c r="Q161" s="67"/>
      <c r="R161" s="67"/>
      <c r="S161" s="67"/>
      <c r="T161" s="68">
        <f>H161*VLOOKUP($F161,'Emission Factors 2'!$A$2:$E$302,2,FALSE)</f>
        <v>0</v>
      </c>
      <c r="U161" s="68">
        <f>I161*VLOOKUP($F161,'Emission Factors 2'!$A$2:$E$302,2,FALSE)</f>
        <v>0</v>
      </c>
      <c r="V161" s="68">
        <f>J161*VLOOKUP($F161,'Emission Factors 2'!$A$2:$E$302,2,FALSE)</f>
        <v>0</v>
      </c>
      <c r="W161" s="68">
        <f>K161*VLOOKUP($F161,'Emission Factors 2'!$A$2:$E$302,2,FALSE)</f>
        <v>0</v>
      </c>
      <c r="X161" s="68">
        <f>L161*VLOOKUP($F161,'Emission Factors 2'!$A$2:$E$302,2,FALSE)</f>
        <v>0</v>
      </c>
      <c r="Y161" s="68">
        <f>M161*VLOOKUP($F161,'Emission Factors 2'!$A$2:$E$302,2,FALSE)</f>
        <v>0</v>
      </c>
      <c r="Z161" s="68">
        <f>N161*VLOOKUP($F161,'Emission Factors 2'!$A$2:$E$302,2,FALSE)</f>
        <v>0</v>
      </c>
      <c r="AA161" s="68">
        <f>O161*VLOOKUP($F161,'Emission Factors 2'!$A$2:$E$302,2,FALSE)</f>
        <v>0</v>
      </c>
      <c r="AB161" s="68">
        <f>P161*VLOOKUP($F161,'Emission Factors 2'!$A$2:$E$302,2,FALSE)</f>
        <v>0</v>
      </c>
      <c r="AC161" s="68">
        <f>Q161*VLOOKUP($F161,'Emission Factors 2'!$A$2:$E$302,2,FALSE)</f>
        <v>0</v>
      </c>
      <c r="AD161" s="68">
        <f>R161*VLOOKUP($F161,'Emission Factors 2'!$A$2:$E$302,2,FALSE)</f>
        <v>0</v>
      </c>
      <c r="AE161" s="68">
        <f>S161*VLOOKUP($F161,'Emission Factors 2'!$A$2:$E$302,2,FALSE)</f>
        <v>0</v>
      </c>
      <c r="AF161" s="19">
        <f t="shared" si="8"/>
        <v>0</v>
      </c>
      <c r="AG161" s="31"/>
      <c r="AH161" s="31"/>
      <c r="AI161" s="31"/>
      <c r="AJ161" s="31"/>
    </row>
    <row r="162" spans="1:36" ht="21.95" customHeight="1" outlineLevel="1" x14ac:dyDescent="0.25">
      <c r="A162" s="118"/>
      <c r="B162" s="133"/>
      <c r="C162" s="29"/>
      <c r="D162" s="27" t="s">
        <v>325</v>
      </c>
      <c r="E162" s="82" t="str">
        <f>'Index Formatting'!I$22</f>
        <v>O</v>
      </c>
      <c r="F162" s="7" t="s">
        <v>738</v>
      </c>
      <c r="G162" s="15" t="s">
        <v>82</v>
      </c>
      <c r="H162" s="67"/>
      <c r="I162" s="67"/>
      <c r="J162" s="67"/>
      <c r="K162" s="67"/>
      <c r="L162" s="67"/>
      <c r="M162" s="67"/>
      <c r="N162" s="67"/>
      <c r="O162" s="67"/>
      <c r="P162" s="67"/>
      <c r="Q162" s="67"/>
      <c r="R162" s="67"/>
      <c r="S162" s="67"/>
      <c r="T162" s="68">
        <f>H162*VLOOKUP($F162,'Emission Factors 2'!$A$2:$E$302,2,FALSE)</f>
        <v>0</v>
      </c>
      <c r="U162" s="68">
        <f>I162*VLOOKUP($F162,'Emission Factors 2'!$A$2:$E$302,2,FALSE)</f>
        <v>0</v>
      </c>
      <c r="V162" s="68">
        <f>J162*VLOOKUP($F162,'Emission Factors 2'!$A$2:$E$302,2,FALSE)</f>
        <v>0</v>
      </c>
      <c r="W162" s="68">
        <f>K162*VLOOKUP($F162,'Emission Factors 2'!$A$2:$E$302,2,FALSE)</f>
        <v>0</v>
      </c>
      <c r="X162" s="68">
        <f>L162*VLOOKUP($F162,'Emission Factors 2'!$A$2:$E$302,2,FALSE)</f>
        <v>0</v>
      </c>
      <c r="Y162" s="68">
        <f>M162*VLOOKUP($F162,'Emission Factors 2'!$A$2:$E$302,2,FALSE)</f>
        <v>0</v>
      </c>
      <c r="Z162" s="68">
        <f>N162*VLOOKUP($F162,'Emission Factors 2'!$A$2:$E$302,2,FALSE)</f>
        <v>0</v>
      </c>
      <c r="AA162" s="68">
        <f>O162*VLOOKUP($F162,'Emission Factors 2'!$A$2:$E$302,2,FALSE)</f>
        <v>0</v>
      </c>
      <c r="AB162" s="68">
        <f>P162*VLOOKUP($F162,'Emission Factors 2'!$A$2:$E$302,2,FALSE)</f>
        <v>0</v>
      </c>
      <c r="AC162" s="68">
        <f>Q162*VLOOKUP($F162,'Emission Factors 2'!$A$2:$E$302,2,FALSE)</f>
        <v>0</v>
      </c>
      <c r="AD162" s="68">
        <f>R162*VLOOKUP($F162,'Emission Factors 2'!$A$2:$E$302,2,FALSE)</f>
        <v>0</v>
      </c>
      <c r="AE162" s="68">
        <f>S162*VLOOKUP($F162,'Emission Factors 2'!$A$2:$E$302,2,FALSE)</f>
        <v>0</v>
      </c>
      <c r="AF162" s="19">
        <f t="shared" si="8"/>
        <v>0</v>
      </c>
      <c r="AG162" s="31"/>
      <c r="AH162" s="31"/>
      <c r="AI162" s="31"/>
      <c r="AJ162" s="31"/>
    </row>
    <row r="163" spans="1:36" ht="21.95" customHeight="1" outlineLevel="1" x14ac:dyDescent="0.25">
      <c r="A163" s="118"/>
      <c r="B163" s="133"/>
      <c r="C163" s="29"/>
      <c r="D163" s="27" t="s">
        <v>325</v>
      </c>
      <c r="E163" s="82" t="str">
        <f>'Index Formatting'!I$22</f>
        <v>O</v>
      </c>
      <c r="F163" s="7" t="s">
        <v>739</v>
      </c>
      <c r="G163" s="15" t="s">
        <v>82</v>
      </c>
      <c r="H163" s="67"/>
      <c r="I163" s="67"/>
      <c r="J163" s="67"/>
      <c r="K163" s="67"/>
      <c r="L163" s="67"/>
      <c r="M163" s="67"/>
      <c r="N163" s="67"/>
      <c r="O163" s="67"/>
      <c r="P163" s="67"/>
      <c r="Q163" s="67"/>
      <c r="R163" s="67"/>
      <c r="S163" s="67"/>
      <c r="T163" s="68">
        <f>H163*VLOOKUP($F163,'Emission Factors 2'!$A$2:$E$302,2,FALSE)</f>
        <v>0</v>
      </c>
      <c r="U163" s="68">
        <f>I163*VLOOKUP($F163,'Emission Factors 2'!$A$2:$E$302,2,FALSE)</f>
        <v>0</v>
      </c>
      <c r="V163" s="68">
        <f>J163*VLOOKUP($F163,'Emission Factors 2'!$A$2:$E$302,2,FALSE)</f>
        <v>0</v>
      </c>
      <c r="W163" s="68">
        <f>K163*VLOOKUP($F163,'Emission Factors 2'!$A$2:$E$302,2,FALSE)</f>
        <v>0</v>
      </c>
      <c r="X163" s="68">
        <f>L163*VLOOKUP($F163,'Emission Factors 2'!$A$2:$E$302,2,FALSE)</f>
        <v>0</v>
      </c>
      <c r="Y163" s="68">
        <f>M163*VLOOKUP($F163,'Emission Factors 2'!$A$2:$E$302,2,FALSE)</f>
        <v>0</v>
      </c>
      <c r="Z163" s="68">
        <f>N163*VLOOKUP($F163,'Emission Factors 2'!$A$2:$E$302,2,FALSE)</f>
        <v>0</v>
      </c>
      <c r="AA163" s="68">
        <f>O163*VLOOKUP($F163,'Emission Factors 2'!$A$2:$E$302,2,FALSE)</f>
        <v>0</v>
      </c>
      <c r="AB163" s="68">
        <f>P163*VLOOKUP($F163,'Emission Factors 2'!$A$2:$E$302,2,FALSE)</f>
        <v>0</v>
      </c>
      <c r="AC163" s="68">
        <f>Q163*VLOOKUP($F163,'Emission Factors 2'!$A$2:$E$302,2,FALSE)</f>
        <v>0</v>
      </c>
      <c r="AD163" s="68">
        <f>R163*VLOOKUP($F163,'Emission Factors 2'!$A$2:$E$302,2,FALSE)</f>
        <v>0</v>
      </c>
      <c r="AE163" s="68">
        <f>S163*VLOOKUP($F163,'Emission Factors 2'!$A$2:$E$302,2,FALSE)</f>
        <v>0</v>
      </c>
      <c r="AF163" s="19">
        <f t="shared" si="8"/>
        <v>0</v>
      </c>
      <c r="AG163" s="31"/>
      <c r="AH163" s="31"/>
      <c r="AI163" s="31"/>
      <c r="AJ163" s="31"/>
    </row>
    <row r="164" spans="1:36" ht="21.95" customHeight="1" x14ac:dyDescent="0.25">
      <c r="A164" s="130" t="str">
        <f>IF(COUNTIF(E166:E188,"M"),"Safety, Barriers and Fencing", "Safety, Barriers and Fencing (Optional)")</f>
        <v>Safety, Barriers and Fencing</v>
      </c>
      <c r="B164" s="131"/>
      <c r="C164" s="131"/>
      <c r="D164" s="131"/>
      <c r="E164" s="131"/>
      <c r="F164" s="131"/>
      <c r="G164" s="132"/>
      <c r="H164" s="137"/>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9">
        <f>SUM(AF165,AF174)</f>
        <v>0</v>
      </c>
      <c r="AG164" s="31"/>
      <c r="AH164" s="31"/>
      <c r="AI164" s="31"/>
      <c r="AJ164" s="31"/>
    </row>
    <row r="165" spans="1:36" ht="21.95" customHeight="1" x14ac:dyDescent="0.25">
      <c r="A165" s="130" t="str">
        <f>IF(COUNTIF(E166:E173,"M"),"Safety, Barriers and Fencing -  Second Order", "Safety, Barriers and Fencing -  Second Order (Optional)")</f>
        <v>Safety, Barriers and Fencing -  Second Order</v>
      </c>
      <c r="B165" s="131"/>
      <c r="C165" s="131"/>
      <c r="D165" s="131"/>
      <c r="E165" s="131"/>
      <c r="F165" s="131"/>
      <c r="G165" s="132"/>
      <c r="H165" s="137"/>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9">
        <f>SUM(AF166:AF173)</f>
        <v>0</v>
      </c>
      <c r="AG165" s="31"/>
      <c r="AH165" s="31"/>
      <c r="AI165" s="31"/>
      <c r="AJ165" s="31"/>
    </row>
    <row r="166" spans="1:36" ht="21.95" customHeight="1" outlineLevel="1" x14ac:dyDescent="0.25">
      <c r="A166" s="118">
        <v>9</v>
      </c>
      <c r="B166" s="133" t="s">
        <v>367</v>
      </c>
      <c r="C166" s="29"/>
      <c r="D166" s="27" t="s">
        <v>368</v>
      </c>
      <c r="E166" s="82" t="str">
        <f>'Index Formatting'!I$23</f>
        <v>M</v>
      </c>
      <c r="F166" s="7" t="s">
        <v>369</v>
      </c>
      <c r="G166" s="15" t="s">
        <v>109</v>
      </c>
      <c r="H166" s="67"/>
      <c r="I166" s="67"/>
      <c r="J166" s="67"/>
      <c r="K166" s="67"/>
      <c r="L166" s="67"/>
      <c r="M166" s="67"/>
      <c r="N166" s="67"/>
      <c r="O166" s="67"/>
      <c r="P166" s="67"/>
      <c r="Q166" s="67"/>
      <c r="R166" s="67"/>
      <c r="S166" s="67"/>
      <c r="T166" s="68">
        <f>H166*VLOOKUP($F166,'Emission Factors 2'!$A$2:$E$302,2,FALSE)</f>
        <v>0</v>
      </c>
      <c r="U166" s="68">
        <f>I166*VLOOKUP($F166,'Emission Factors 2'!$A$2:$E$302,2,FALSE)</f>
        <v>0</v>
      </c>
      <c r="V166" s="68">
        <f>J166*VLOOKUP($F166,'Emission Factors 2'!$A$2:$E$302,2,FALSE)</f>
        <v>0</v>
      </c>
      <c r="W166" s="68">
        <f>K166*VLOOKUP($F166,'Emission Factors 2'!$A$2:$E$302,2,FALSE)</f>
        <v>0</v>
      </c>
      <c r="X166" s="68">
        <f>L166*VLOOKUP($F166,'Emission Factors 2'!$A$2:$E$302,2,FALSE)</f>
        <v>0</v>
      </c>
      <c r="Y166" s="68">
        <f>M166*VLOOKUP($F166,'Emission Factors 2'!$A$2:$E$302,2,FALSE)</f>
        <v>0</v>
      </c>
      <c r="Z166" s="68">
        <f>N166*VLOOKUP($F166,'Emission Factors 2'!$A$2:$E$302,2,FALSE)</f>
        <v>0</v>
      </c>
      <c r="AA166" s="68">
        <f>O166*VLOOKUP($F166,'Emission Factors 2'!$A$2:$E$302,2,FALSE)</f>
        <v>0</v>
      </c>
      <c r="AB166" s="68">
        <f>P166*VLOOKUP($F166,'Emission Factors 2'!$A$2:$E$302,2,FALSE)</f>
        <v>0</v>
      </c>
      <c r="AC166" s="68">
        <f>Q166*VLOOKUP($F166,'Emission Factors 2'!$A$2:$E$302,2,FALSE)</f>
        <v>0</v>
      </c>
      <c r="AD166" s="68">
        <f>R166*VLOOKUP($F166,'Emission Factors 2'!$A$2:$E$302,2,FALSE)</f>
        <v>0</v>
      </c>
      <c r="AE166" s="68">
        <f>S166*VLOOKUP($F166,'Emission Factors 2'!$A$2:$E$302,2,FALSE)</f>
        <v>0</v>
      </c>
      <c r="AF166" s="19">
        <f t="shared" ref="AF166:AF196" si="9">IF($H$2="Total", T166, SUM(T166:AE166))</f>
        <v>0</v>
      </c>
      <c r="AG166" s="31"/>
      <c r="AH166" s="31"/>
      <c r="AI166" s="31"/>
      <c r="AJ166" s="31"/>
    </row>
    <row r="167" spans="1:36" ht="21.95" customHeight="1" outlineLevel="1" x14ac:dyDescent="0.25">
      <c r="A167" s="118"/>
      <c r="B167" s="133"/>
      <c r="C167" s="29"/>
      <c r="D167" s="27" t="s">
        <v>368</v>
      </c>
      <c r="E167" s="82" t="str">
        <f>'Index Formatting'!I$23</f>
        <v>M</v>
      </c>
      <c r="F167" s="7" t="s">
        <v>370</v>
      </c>
      <c r="G167" s="15" t="s">
        <v>109</v>
      </c>
      <c r="H167" s="67"/>
      <c r="I167" s="67"/>
      <c r="J167" s="67"/>
      <c r="K167" s="67"/>
      <c r="L167" s="67"/>
      <c r="M167" s="67"/>
      <c r="N167" s="67"/>
      <c r="O167" s="67"/>
      <c r="P167" s="67"/>
      <c r="Q167" s="67"/>
      <c r="R167" s="67"/>
      <c r="S167" s="67"/>
      <c r="T167" s="68">
        <f>H167*VLOOKUP($F167,'Emission Factors 2'!$A$2:$E$302,2,FALSE)</f>
        <v>0</v>
      </c>
      <c r="U167" s="68">
        <f>I167*VLOOKUP($F167,'Emission Factors 2'!$A$2:$E$302,2,FALSE)</f>
        <v>0</v>
      </c>
      <c r="V167" s="68">
        <f>J167*VLOOKUP($F167,'Emission Factors 2'!$A$2:$E$302,2,FALSE)</f>
        <v>0</v>
      </c>
      <c r="W167" s="68">
        <f>K167*VLOOKUP($F167,'Emission Factors 2'!$A$2:$E$302,2,FALSE)</f>
        <v>0</v>
      </c>
      <c r="X167" s="68">
        <f>L167*VLOOKUP($F167,'Emission Factors 2'!$A$2:$E$302,2,FALSE)</f>
        <v>0</v>
      </c>
      <c r="Y167" s="68">
        <f>M167*VLOOKUP($F167,'Emission Factors 2'!$A$2:$E$302,2,FALSE)</f>
        <v>0</v>
      </c>
      <c r="Z167" s="68">
        <f>N167*VLOOKUP($F167,'Emission Factors 2'!$A$2:$E$302,2,FALSE)</f>
        <v>0</v>
      </c>
      <c r="AA167" s="68">
        <f>O167*VLOOKUP($F167,'Emission Factors 2'!$A$2:$E$302,2,FALSE)</f>
        <v>0</v>
      </c>
      <c r="AB167" s="68">
        <f>P167*VLOOKUP($F167,'Emission Factors 2'!$A$2:$E$302,2,FALSE)</f>
        <v>0</v>
      </c>
      <c r="AC167" s="68">
        <f>Q167*VLOOKUP($F167,'Emission Factors 2'!$A$2:$E$302,2,FALSE)</f>
        <v>0</v>
      </c>
      <c r="AD167" s="68">
        <f>R167*VLOOKUP($F167,'Emission Factors 2'!$A$2:$E$302,2,FALSE)</f>
        <v>0</v>
      </c>
      <c r="AE167" s="68">
        <f>S167*VLOOKUP($F167,'Emission Factors 2'!$A$2:$E$302,2,FALSE)</f>
        <v>0</v>
      </c>
      <c r="AF167" s="19">
        <f t="shared" si="9"/>
        <v>0</v>
      </c>
      <c r="AG167" s="31"/>
      <c r="AH167" s="31"/>
      <c r="AI167" s="31"/>
      <c r="AJ167" s="31"/>
    </row>
    <row r="168" spans="1:36" ht="21.95" customHeight="1" outlineLevel="1" x14ac:dyDescent="0.25">
      <c r="A168" s="118"/>
      <c r="B168" s="133"/>
      <c r="C168" s="29"/>
      <c r="D168" s="27" t="s">
        <v>368</v>
      </c>
      <c r="E168" s="82" t="str">
        <f>'Index Formatting'!I$23</f>
        <v>M</v>
      </c>
      <c r="F168" s="7" t="s">
        <v>371</v>
      </c>
      <c r="G168" s="15" t="s">
        <v>109</v>
      </c>
      <c r="H168" s="67"/>
      <c r="I168" s="67"/>
      <c r="J168" s="67"/>
      <c r="K168" s="67"/>
      <c r="L168" s="67"/>
      <c r="M168" s="67"/>
      <c r="N168" s="67"/>
      <c r="O168" s="67"/>
      <c r="P168" s="67"/>
      <c r="Q168" s="67"/>
      <c r="R168" s="67"/>
      <c r="S168" s="67"/>
      <c r="T168" s="68">
        <f>H168*VLOOKUP($F168,'Emission Factors 2'!$A$2:$E$302,2,FALSE)</f>
        <v>0</v>
      </c>
      <c r="U168" s="68">
        <f>I168*VLOOKUP($F168,'Emission Factors 2'!$A$2:$E$302,2,FALSE)</f>
        <v>0</v>
      </c>
      <c r="V168" s="68">
        <f>J168*VLOOKUP($F168,'Emission Factors 2'!$A$2:$E$302,2,FALSE)</f>
        <v>0</v>
      </c>
      <c r="W168" s="68">
        <f>K168*VLOOKUP($F168,'Emission Factors 2'!$A$2:$E$302,2,FALSE)</f>
        <v>0</v>
      </c>
      <c r="X168" s="68">
        <f>L168*VLOOKUP($F168,'Emission Factors 2'!$A$2:$E$302,2,FALSE)</f>
        <v>0</v>
      </c>
      <c r="Y168" s="68">
        <f>M168*VLOOKUP($F168,'Emission Factors 2'!$A$2:$E$302,2,FALSE)</f>
        <v>0</v>
      </c>
      <c r="Z168" s="68">
        <f>N168*VLOOKUP($F168,'Emission Factors 2'!$A$2:$E$302,2,FALSE)</f>
        <v>0</v>
      </c>
      <c r="AA168" s="68">
        <f>O168*VLOOKUP($F168,'Emission Factors 2'!$A$2:$E$302,2,FALSE)</f>
        <v>0</v>
      </c>
      <c r="AB168" s="68">
        <f>P168*VLOOKUP($F168,'Emission Factors 2'!$A$2:$E$302,2,FALSE)</f>
        <v>0</v>
      </c>
      <c r="AC168" s="68">
        <f>Q168*VLOOKUP($F168,'Emission Factors 2'!$A$2:$E$302,2,FALSE)</f>
        <v>0</v>
      </c>
      <c r="AD168" s="68">
        <f>R168*VLOOKUP($F168,'Emission Factors 2'!$A$2:$E$302,2,FALSE)</f>
        <v>0</v>
      </c>
      <c r="AE168" s="68">
        <f>S168*VLOOKUP($F168,'Emission Factors 2'!$A$2:$E$302,2,FALSE)</f>
        <v>0</v>
      </c>
      <c r="AF168" s="19">
        <f t="shared" si="9"/>
        <v>0</v>
      </c>
      <c r="AG168" s="31"/>
      <c r="AH168" s="31"/>
      <c r="AI168" s="31"/>
      <c r="AJ168" s="31"/>
    </row>
    <row r="169" spans="1:36" ht="21.95" customHeight="1" outlineLevel="1" x14ac:dyDescent="0.25">
      <c r="A169" s="118"/>
      <c r="B169" s="133"/>
      <c r="C169" s="29"/>
      <c r="D169" s="27" t="s">
        <v>368</v>
      </c>
      <c r="E169" s="82" t="str">
        <f>'Index Formatting'!I$23</f>
        <v>M</v>
      </c>
      <c r="F169" s="7" t="s">
        <v>372</v>
      </c>
      <c r="G169" s="15" t="s">
        <v>109</v>
      </c>
      <c r="H169" s="67"/>
      <c r="I169" s="67"/>
      <c r="J169" s="67"/>
      <c r="K169" s="67"/>
      <c r="L169" s="67"/>
      <c r="M169" s="67"/>
      <c r="N169" s="67"/>
      <c r="O169" s="67"/>
      <c r="P169" s="67"/>
      <c r="Q169" s="67"/>
      <c r="R169" s="67"/>
      <c r="S169" s="67"/>
      <c r="T169" s="68">
        <f>H169*VLOOKUP($F169,'Emission Factors 2'!$A$2:$E$302,2,FALSE)</f>
        <v>0</v>
      </c>
      <c r="U169" s="68">
        <f>I169*VLOOKUP($F169,'Emission Factors 2'!$A$2:$E$302,2,FALSE)</f>
        <v>0</v>
      </c>
      <c r="V169" s="68">
        <f>J169*VLOOKUP($F169,'Emission Factors 2'!$A$2:$E$302,2,FALSE)</f>
        <v>0</v>
      </c>
      <c r="W169" s="68">
        <f>K169*VLOOKUP($F169,'Emission Factors 2'!$A$2:$E$302,2,FALSE)</f>
        <v>0</v>
      </c>
      <c r="X169" s="68">
        <f>L169*VLOOKUP($F169,'Emission Factors 2'!$A$2:$E$302,2,FALSE)</f>
        <v>0</v>
      </c>
      <c r="Y169" s="68">
        <f>M169*VLOOKUP($F169,'Emission Factors 2'!$A$2:$E$302,2,FALSE)</f>
        <v>0</v>
      </c>
      <c r="Z169" s="68">
        <f>N169*VLOOKUP($F169,'Emission Factors 2'!$A$2:$E$302,2,FALSE)</f>
        <v>0</v>
      </c>
      <c r="AA169" s="68">
        <f>O169*VLOOKUP($F169,'Emission Factors 2'!$A$2:$E$302,2,FALSE)</f>
        <v>0</v>
      </c>
      <c r="AB169" s="68">
        <f>P169*VLOOKUP($F169,'Emission Factors 2'!$A$2:$E$302,2,FALSE)</f>
        <v>0</v>
      </c>
      <c r="AC169" s="68">
        <f>Q169*VLOOKUP($F169,'Emission Factors 2'!$A$2:$E$302,2,FALSE)</f>
        <v>0</v>
      </c>
      <c r="AD169" s="68">
        <f>R169*VLOOKUP($F169,'Emission Factors 2'!$A$2:$E$302,2,FALSE)</f>
        <v>0</v>
      </c>
      <c r="AE169" s="68">
        <f>S169*VLOOKUP($F169,'Emission Factors 2'!$A$2:$E$302,2,FALSE)</f>
        <v>0</v>
      </c>
      <c r="AF169" s="19">
        <f t="shared" si="9"/>
        <v>0</v>
      </c>
      <c r="AG169" s="31"/>
      <c r="AH169" s="31"/>
      <c r="AI169" s="31"/>
      <c r="AJ169" s="31"/>
    </row>
    <row r="170" spans="1:36" ht="21.95" customHeight="1" outlineLevel="1" x14ac:dyDescent="0.25">
      <c r="A170" s="118"/>
      <c r="B170" s="133"/>
      <c r="C170" s="29"/>
      <c r="D170" s="27" t="s">
        <v>373</v>
      </c>
      <c r="E170" s="82" t="str">
        <f>'Index Formatting'!I$23</f>
        <v>M</v>
      </c>
      <c r="F170" s="7" t="s">
        <v>374</v>
      </c>
      <c r="G170" s="15" t="s">
        <v>109</v>
      </c>
      <c r="H170" s="67"/>
      <c r="I170" s="67"/>
      <c r="J170" s="67"/>
      <c r="K170" s="67"/>
      <c r="L170" s="67"/>
      <c r="M170" s="67"/>
      <c r="N170" s="67"/>
      <c r="O170" s="67"/>
      <c r="P170" s="67"/>
      <c r="Q170" s="67"/>
      <c r="R170" s="67"/>
      <c r="S170" s="67"/>
      <c r="T170" s="68">
        <f>H170*VLOOKUP($F170,'Emission Factors 2'!$A$2:$E$302,2,FALSE)</f>
        <v>0</v>
      </c>
      <c r="U170" s="68">
        <f>I170*VLOOKUP($F170,'Emission Factors 2'!$A$2:$E$302,2,FALSE)</f>
        <v>0</v>
      </c>
      <c r="V170" s="68">
        <f>J170*VLOOKUP($F170,'Emission Factors 2'!$A$2:$E$302,2,FALSE)</f>
        <v>0</v>
      </c>
      <c r="W170" s="68">
        <f>K170*VLOOKUP($F170,'Emission Factors 2'!$A$2:$E$302,2,FALSE)</f>
        <v>0</v>
      </c>
      <c r="X170" s="68">
        <f>L170*VLOOKUP($F170,'Emission Factors 2'!$A$2:$E$302,2,FALSE)</f>
        <v>0</v>
      </c>
      <c r="Y170" s="68">
        <f>M170*VLOOKUP($F170,'Emission Factors 2'!$A$2:$E$302,2,FALSE)</f>
        <v>0</v>
      </c>
      <c r="Z170" s="68">
        <f>N170*VLOOKUP($F170,'Emission Factors 2'!$A$2:$E$302,2,FALSE)</f>
        <v>0</v>
      </c>
      <c r="AA170" s="68">
        <f>O170*VLOOKUP($F170,'Emission Factors 2'!$A$2:$E$302,2,FALSE)</f>
        <v>0</v>
      </c>
      <c r="AB170" s="68">
        <f>P170*VLOOKUP($F170,'Emission Factors 2'!$A$2:$E$302,2,FALSE)</f>
        <v>0</v>
      </c>
      <c r="AC170" s="68">
        <f>Q170*VLOOKUP($F170,'Emission Factors 2'!$A$2:$E$302,2,FALSE)</f>
        <v>0</v>
      </c>
      <c r="AD170" s="68">
        <f>R170*VLOOKUP($F170,'Emission Factors 2'!$A$2:$E$302,2,FALSE)</f>
        <v>0</v>
      </c>
      <c r="AE170" s="68">
        <f>S170*VLOOKUP($F170,'Emission Factors 2'!$A$2:$E$302,2,FALSE)</f>
        <v>0</v>
      </c>
      <c r="AF170" s="19">
        <f t="shared" si="9"/>
        <v>0</v>
      </c>
      <c r="AG170" s="31"/>
      <c r="AH170" s="31"/>
      <c r="AI170" s="31"/>
      <c r="AJ170" s="31"/>
    </row>
    <row r="171" spans="1:36" ht="21.95" customHeight="1" outlineLevel="1" x14ac:dyDescent="0.25">
      <c r="A171" s="118"/>
      <c r="B171" s="133"/>
      <c r="C171" s="29"/>
      <c r="D171" s="27" t="s">
        <v>375</v>
      </c>
      <c r="E171" s="82" t="str">
        <f>'Index Formatting'!I$23</f>
        <v>M</v>
      </c>
      <c r="F171" s="7" t="s">
        <v>376</v>
      </c>
      <c r="G171" s="15" t="s">
        <v>109</v>
      </c>
      <c r="H171" s="67"/>
      <c r="I171" s="67"/>
      <c r="J171" s="67"/>
      <c r="K171" s="67"/>
      <c r="L171" s="67"/>
      <c r="M171" s="67"/>
      <c r="N171" s="67"/>
      <c r="O171" s="67"/>
      <c r="P171" s="67"/>
      <c r="Q171" s="67"/>
      <c r="R171" s="67"/>
      <c r="S171" s="67"/>
      <c r="T171" s="68">
        <f>H171*VLOOKUP($F171,'Emission Factors 2'!$A$2:$E$302,2,FALSE)</f>
        <v>0</v>
      </c>
      <c r="U171" s="68">
        <f>I171*VLOOKUP($F171,'Emission Factors 2'!$A$2:$E$302,2,FALSE)</f>
        <v>0</v>
      </c>
      <c r="V171" s="68">
        <f>J171*VLOOKUP($F171,'Emission Factors 2'!$A$2:$E$302,2,FALSE)</f>
        <v>0</v>
      </c>
      <c r="W171" s="68">
        <f>K171*VLOOKUP($F171,'Emission Factors 2'!$A$2:$E$302,2,FALSE)</f>
        <v>0</v>
      </c>
      <c r="X171" s="68">
        <f>L171*VLOOKUP($F171,'Emission Factors 2'!$A$2:$E$302,2,FALSE)</f>
        <v>0</v>
      </c>
      <c r="Y171" s="68">
        <f>M171*VLOOKUP($F171,'Emission Factors 2'!$A$2:$E$302,2,FALSE)</f>
        <v>0</v>
      </c>
      <c r="Z171" s="68">
        <f>N171*VLOOKUP($F171,'Emission Factors 2'!$A$2:$E$302,2,FALSE)</f>
        <v>0</v>
      </c>
      <c r="AA171" s="68">
        <f>O171*VLOOKUP($F171,'Emission Factors 2'!$A$2:$E$302,2,FALSE)</f>
        <v>0</v>
      </c>
      <c r="AB171" s="68">
        <f>P171*VLOOKUP($F171,'Emission Factors 2'!$A$2:$E$302,2,FALSE)</f>
        <v>0</v>
      </c>
      <c r="AC171" s="68">
        <f>Q171*VLOOKUP($F171,'Emission Factors 2'!$A$2:$E$302,2,FALSE)</f>
        <v>0</v>
      </c>
      <c r="AD171" s="68">
        <f>R171*VLOOKUP($F171,'Emission Factors 2'!$A$2:$E$302,2,FALSE)</f>
        <v>0</v>
      </c>
      <c r="AE171" s="68">
        <f>S171*VLOOKUP($F171,'Emission Factors 2'!$A$2:$E$302,2,FALSE)</f>
        <v>0</v>
      </c>
      <c r="AF171" s="19">
        <f t="shared" si="9"/>
        <v>0</v>
      </c>
      <c r="AG171" s="31"/>
      <c r="AH171" s="31"/>
      <c r="AI171" s="31"/>
      <c r="AJ171" s="31"/>
    </row>
    <row r="172" spans="1:36" ht="21.95" customHeight="1" outlineLevel="1" x14ac:dyDescent="0.25">
      <c r="A172" s="118"/>
      <c r="B172" s="133"/>
      <c r="C172" s="29"/>
      <c r="D172" s="27" t="s">
        <v>375</v>
      </c>
      <c r="E172" s="82" t="str">
        <f>'Index Formatting'!I$23</f>
        <v>M</v>
      </c>
      <c r="F172" s="7" t="s">
        <v>377</v>
      </c>
      <c r="G172" s="15" t="s">
        <v>109</v>
      </c>
      <c r="H172" s="67"/>
      <c r="I172" s="67"/>
      <c r="J172" s="67"/>
      <c r="K172" s="67"/>
      <c r="L172" s="67"/>
      <c r="M172" s="67"/>
      <c r="N172" s="67"/>
      <c r="O172" s="67"/>
      <c r="P172" s="67"/>
      <c r="Q172" s="67"/>
      <c r="R172" s="67"/>
      <c r="S172" s="67"/>
      <c r="T172" s="68">
        <f>H172*VLOOKUP($F172,'Emission Factors 2'!$A$2:$E$302,2,FALSE)</f>
        <v>0</v>
      </c>
      <c r="U172" s="68">
        <f>I172*VLOOKUP($F172,'Emission Factors 2'!$A$2:$E$302,2,FALSE)</f>
        <v>0</v>
      </c>
      <c r="V172" s="68">
        <f>J172*VLOOKUP($F172,'Emission Factors 2'!$A$2:$E$302,2,FALSE)</f>
        <v>0</v>
      </c>
      <c r="W172" s="68">
        <f>K172*VLOOKUP($F172,'Emission Factors 2'!$A$2:$E$302,2,FALSE)</f>
        <v>0</v>
      </c>
      <c r="X172" s="68">
        <f>L172*VLOOKUP($F172,'Emission Factors 2'!$A$2:$E$302,2,FALSE)</f>
        <v>0</v>
      </c>
      <c r="Y172" s="68">
        <f>M172*VLOOKUP($F172,'Emission Factors 2'!$A$2:$E$302,2,FALSE)</f>
        <v>0</v>
      </c>
      <c r="Z172" s="68">
        <f>N172*VLOOKUP($F172,'Emission Factors 2'!$A$2:$E$302,2,FALSE)</f>
        <v>0</v>
      </c>
      <c r="AA172" s="68">
        <f>O172*VLOOKUP($F172,'Emission Factors 2'!$A$2:$E$302,2,FALSE)</f>
        <v>0</v>
      </c>
      <c r="AB172" s="68">
        <f>P172*VLOOKUP($F172,'Emission Factors 2'!$A$2:$E$302,2,FALSE)</f>
        <v>0</v>
      </c>
      <c r="AC172" s="68">
        <f>Q172*VLOOKUP($F172,'Emission Factors 2'!$A$2:$E$302,2,FALSE)</f>
        <v>0</v>
      </c>
      <c r="AD172" s="68">
        <f>R172*VLOOKUP($F172,'Emission Factors 2'!$A$2:$E$302,2,FALSE)</f>
        <v>0</v>
      </c>
      <c r="AE172" s="68">
        <f>S172*VLOOKUP($F172,'Emission Factors 2'!$A$2:$E$302,2,FALSE)</f>
        <v>0</v>
      </c>
      <c r="AF172" s="19">
        <f t="shared" si="9"/>
        <v>0</v>
      </c>
      <c r="AG172" s="31"/>
      <c r="AH172" s="31"/>
      <c r="AI172" s="31"/>
      <c r="AJ172" s="31"/>
    </row>
    <row r="173" spans="1:36" ht="21.95" customHeight="1" outlineLevel="1" x14ac:dyDescent="0.25">
      <c r="A173" s="118"/>
      <c r="B173" s="133"/>
      <c r="C173" s="29"/>
      <c r="D173" s="27" t="s">
        <v>375</v>
      </c>
      <c r="E173" s="82" t="str">
        <f>'Index Formatting'!I$23</f>
        <v>M</v>
      </c>
      <c r="F173" s="7" t="s">
        <v>378</v>
      </c>
      <c r="G173" s="15" t="s">
        <v>109</v>
      </c>
      <c r="H173" s="67"/>
      <c r="I173" s="67"/>
      <c r="J173" s="67"/>
      <c r="K173" s="67"/>
      <c r="L173" s="67"/>
      <c r="M173" s="67"/>
      <c r="N173" s="67"/>
      <c r="O173" s="67"/>
      <c r="P173" s="67"/>
      <c r="Q173" s="67"/>
      <c r="R173" s="67"/>
      <c r="S173" s="67"/>
      <c r="T173" s="68">
        <f>H173*VLOOKUP($F173,'Emission Factors 2'!$A$2:$E$302,2,FALSE)</f>
        <v>0</v>
      </c>
      <c r="U173" s="68">
        <f>I173*VLOOKUP($F173,'Emission Factors 2'!$A$2:$E$302,2,FALSE)</f>
        <v>0</v>
      </c>
      <c r="V173" s="68">
        <f>J173*VLOOKUP($F173,'Emission Factors 2'!$A$2:$E$302,2,FALSE)</f>
        <v>0</v>
      </c>
      <c r="W173" s="68">
        <f>K173*VLOOKUP($F173,'Emission Factors 2'!$A$2:$E$302,2,FALSE)</f>
        <v>0</v>
      </c>
      <c r="X173" s="68">
        <f>L173*VLOOKUP($F173,'Emission Factors 2'!$A$2:$E$302,2,FALSE)</f>
        <v>0</v>
      </c>
      <c r="Y173" s="68">
        <f>M173*VLOOKUP($F173,'Emission Factors 2'!$A$2:$E$302,2,FALSE)</f>
        <v>0</v>
      </c>
      <c r="Z173" s="68">
        <f>N173*VLOOKUP($F173,'Emission Factors 2'!$A$2:$E$302,2,FALSE)</f>
        <v>0</v>
      </c>
      <c r="AA173" s="68">
        <f>O173*VLOOKUP($F173,'Emission Factors 2'!$A$2:$E$302,2,FALSE)</f>
        <v>0</v>
      </c>
      <c r="AB173" s="68">
        <f>P173*VLOOKUP($F173,'Emission Factors 2'!$A$2:$E$302,2,FALSE)</f>
        <v>0</v>
      </c>
      <c r="AC173" s="68">
        <f>Q173*VLOOKUP($F173,'Emission Factors 2'!$A$2:$E$302,2,FALSE)</f>
        <v>0</v>
      </c>
      <c r="AD173" s="68">
        <f>R173*VLOOKUP($F173,'Emission Factors 2'!$A$2:$E$302,2,FALSE)</f>
        <v>0</v>
      </c>
      <c r="AE173" s="68">
        <f>S173*VLOOKUP($F173,'Emission Factors 2'!$A$2:$E$302,2,FALSE)</f>
        <v>0</v>
      </c>
      <c r="AF173" s="19">
        <f t="shared" si="9"/>
        <v>0</v>
      </c>
      <c r="AG173" s="31"/>
      <c r="AH173" s="31"/>
      <c r="AI173" s="31"/>
      <c r="AJ173" s="31"/>
    </row>
    <row r="174" spans="1:36" ht="21.95" customHeight="1" x14ac:dyDescent="0.25">
      <c r="A174" s="130" t="str">
        <f>IF(COUNTIF(E175:E188,"M"),"Safety, Barriers and Fencing -  Third Order", "Safety, Barriers and Fencing -  Third Order (Optional)")</f>
        <v>Safety, Barriers and Fencing -  Third Order (Optional)</v>
      </c>
      <c r="B174" s="131"/>
      <c r="C174" s="131"/>
      <c r="D174" s="131"/>
      <c r="E174" s="131"/>
      <c r="F174" s="131"/>
      <c r="G174" s="132"/>
      <c r="H174" s="137"/>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9">
        <f>SUM(AF175:AF188)</f>
        <v>0</v>
      </c>
      <c r="AG174" s="31"/>
      <c r="AH174" s="31"/>
      <c r="AI174" s="31"/>
      <c r="AJ174" s="31"/>
    </row>
    <row r="175" spans="1:36" ht="21.95" customHeight="1" outlineLevel="1" x14ac:dyDescent="0.25">
      <c r="A175" s="118">
        <v>9</v>
      </c>
      <c r="B175" s="133" t="s">
        <v>367</v>
      </c>
      <c r="C175" s="29"/>
      <c r="D175" s="27" t="s">
        <v>325</v>
      </c>
      <c r="E175" s="82" t="str">
        <f>'Index Formatting'!I$24</f>
        <v>O</v>
      </c>
      <c r="F175" s="7" t="s">
        <v>326</v>
      </c>
      <c r="G175" s="15" t="s">
        <v>82</v>
      </c>
      <c r="H175" s="67"/>
      <c r="I175" s="67"/>
      <c r="J175" s="67"/>
      <c r="K175" s="67"/>
      <c r="L175" s="67"/>
      <c r="M175" s="67"/>
      <c r="N175" s="67"/>
      <c r="O175" s="67"/>
      <c r="P175" s="67"/>
      <c r="Q175" s="67"/>
      <c r="R175" s="67"/>
      <c r="S175" s="67"/>
      <c r="T175" s="68">
        <f>H175*VLOOKUP($F175,'Emission Factors 2'!$A$2:$E$302,2,FALSE)</f>
        <v>0</v>
      </c>
      <c r="U175" s="68">
        <f>I175*VLOOKUP($F175,'Emission Factors 2'!$A$2:$E$302,2,FALSE)</f>
        <v>0</v>
      </c>
      <c r="V175" s="68">
        <f>J175*VLOOKUP($F175,'Emission Factors 2'!$A$2:$E$302,2,FALSE)</f>
        <v>0</v>
      </c>
      <c r="W175" s="68">
        <f>K175*VLOOKUP($F175,'Emission Factors 2'!$A$2:$E$302,2,FALSE)</f>
        <v>0</v>
      </c>
      <c r="X175" s="68">
        <f>L175*VLOOKUP($F175,'Emission Factors 2'!$A$2:$E$302,2,FALSE)</f>
        <v>0</v>
      </c>
      <c r="Y175" s="68">
        <f>M175*VLOOKUP($F175,'Emission Factors 2'!$A$2:$E$302,2,FALSE)</f>
        <v>0</v>
      </c>
      <c r="Z175" s="68">
        <f>N175*VLOOKUP($F175,'Emission Factors 2'!$A$2:$E$302,2,FALSE)</f>
        <v>0</v>
      </c>
      <c r="AA175" s="68">
        <f>O175*VLOOKUP($F175,'Emission Factors 2'!$A$2:$E$302,2,FALSE)</f>
        <v>0</v>
      </c>
      <c r="AB175" s="68">
        <f>P175*VLOOKUP($F175,'Emission Factors 2'!$A$2:$E$302,2,FALSE)</f>
        <v>0</v>
      </c>
      <c r="AC175" s="68">
        <f>Q175*VLOOKUP($F175,'Emission Factors 2'!$A$2:$E$302,2,FALSE)</f>
        <v>0</v>
      </c>
      <c r="AD175" s="68">
        <f>R175*VLOOKUP($F175,'Emission Factors 2'!$A$2:$E$302,2,FALSE)</f>
        <v>0</v>
      </c>
      <c r="AE175" s="68">
        <f>S175*VLOOKUP($F175,'Emission Factors 2'!$A$2:$E$302,2,FALSE)</f>
        <v>0</v>
      </c>
      <c r="AF175" s="19">
        <f t="shared" si="9"/>
        <v>0</v>
      </c>
      <c r="AG175" s="31"/>
      <c r="AH175" s="31"/>
      <c r="AI175" s="31"/>
      <c r="AJ175" s="31"/>
    </row>
    <row r="176" spans="1:36" ht="21.95" customHeight="1" outlineLevel="1" x14ac:dyDescent="0.25">
      <c r="A176" s="118"/>
      <c r="B176" s="133"/>
      <c r="C176" s="29"/>
      <c r="D176" s="27" t="s">
        <v>325</v>
      </c>
      <c r="E176" s="82" t="str">
        <f>'Index Formatting'!I$24</f>
        <v>O</v>
      </c>
      <c r="F176" s="7" t="s">
        <v>364</v>
      </c>
      <c r="G176" s="15" t="s">
        <v>82</v>
      </c>
      <c r="H176" s="67"/>
      <c r="I176" s="67"/>
      <c r="J176" s="67"/>
      <c r="K176" s="67"/>
      <c r="L176" s="67"/>
      <c r="M176" s="67"/>
      <c r="N176" s="67"/>
      <c r="O176" s="67"/>
      <c r="P176" s="67"/>
      <c r="Q176" s="67"/>
      <c r="R176" s="67"/>
      <c r="S176" s="67"/>
      <c r="T176" s="68">
        <f>H176*VLOOKUP($F176,'Emission Factors 2'!$A$2:$E$302,2,FALSE)</f>
        <v>0</v>
      </c>
      <c r="U176" s="68">
        <f>I176*VLOOKUP($F176,'Emission Factors 2'!$A$2:$E$302,2,FALSE)</f>
        <v>0</v>
      </c>
      <c r="V176" s="68">
        <f>J176*VLOOKUP($F176,'Emission Factors 2'!$A$2:$E$302,2,FALSE)</f>
        <v>0</v>
      </c>
      <c r="W176" s="68">
        <f>K176*VLOOKUP($F176,'Emission Factors 2'!$A$2:$E$302,2,FALSE)</f>
        <v>0</v>
      </c>
      <c r="X176" s="68">
        <f>L176*VLOOKUP($F176,'Emission Factors 2'!$A$2:$E$302,2,FALSE)</f>
        <v>0</v>
      </c>
      <c r="Y176" s="68">
        <f>M176*VLOOKUP($F176,'Emission Factors 2'!$A$2:$E$302,2,FALSE)</f>
        <v>0</v>
      </c>
      <c r="Z176" s="68">
        <f>N176*VLOOKUP($F176,'Emission Factors 2'!$A$2:$E$302,2,FALSE)</f>
        <v>0</v>
      </c>
      <c r="AA176" s="68">
        <f>O176*VLOOKUP($F176,'Emission Factors 2'!$A$2:$E$302,2,FALSE)</f>
        <v>0</v>
      </c>
      <c r="AB176" s="68">
        <f>P176*VLOOKUP($F176,'Emission Factors 2'!$A$2:$E$302,2,FALSE)</f>
        <v>0</v>
      </c>
      <c r="AC176" s="68">
        <f>Q176*VLOOKUP($F176,'Emission Factors 2'!$A$2:$E$302,2,FALSE)</f>
        <v>0</v>
      </c>
      <c r="AD176" s="68">
        <f>R176*VLOOKUP($F176,'Emission Factors 2'!$A$2:$E$302,2,FALSE)</f>
        <v>0</v>
      </c>
      <c r="AE176" s="68">
        <f>S176*VLOOKUP($F176,'Emission Factors 2'!$A$2:$E$302,2,FALSE)</f>
        <v>0</v>
      </c>
      <c r="AF176" s="19">
        <f t="shared" si="9"/>
        <v>0</v>
      </c>
      <c r="AG176" s="31"/>
      <c r="AH176" s="31"/>
      <c r="AI176" s="31"/>
      <c r="AJ176" s="31"/>
    </row>
    <row r="177" spans="1:36" ht="21.95" customHeight="1" outlineLevel="1" x14ac:dyDescent="0.25">
      <c r="A177" s="118"/>
      <c r="B177" s="133"/>
      <c r="C177" s="29"/>
      <c r="D177" s="27" t="s">
        <v>325</v>
      </c>
      <c r="E177" s="82" t="str">
        <f>'Index Formatting'!I$24</f>
        <v>O</v>
      </c>
      <c r="F177" s="7" t="s">
        <v>327</v>
      </c>
      <c r="G177" s="15" t="s">
        <v>82</v>
      </c>
      <c r="H177" s="67"/>
      <c r="I177" s="67"/>
      <c r="J177" s="67"/>
      <c r="K177" s="67"/>
      <c r="L177" s="67"/>
      <c r="M177" s="67"/>
      <c r="N177" s="67"/>
      <c r="O177" s="67"/>
      <c r="P177" s="67"/>
      <c r="Q177" s="67"/>
      <c r="R177" s="67"/>
      <c r="S177" s="67"/>
      <c r="T177" s="68">
        <f>H177*VLOOKUP($F177,'Emission Factors 2'!$A$2:$E$302,2,FALSE)</f>
        <v>0</v>
      </c>
      <c r="U177" s="68">
        <f>I177*VLOOKUP($F177,'Emission Factors 2'!$A$2:$E$302,2,FALSE)</f>
        <v>0</v>
      </c>
      <c r="V177" s="68">
        <f>J177*VLOOKUP($F177,'Emission Factors 2'!$A$2:$E$302,2,FALSE)</f>
        <v>0</v>
      </c>
      <c r="W177" s="68">
        <f>K177*VLOOKUP($F177,'Emission Factors 2'!$A$2:$E$302,2,FALSE)</f>
        <v>0</v>
      </c>
      <c r="X177" s="68">
        <f>L177*VLOOKUP($F177,'Emission Factors 2'!$A$2:$E$302,2,FALSE)</f>
        <v>0</v>
      </c>
      <c r="Y177" s="68">
        <f>M177*VLOOKUP($F177,'Emission Factors 2'!$A$2:$E$302,2,FALSE)</f>
        <v>0</v>
      </c>
      <c r="Z177" s="68">
        <f>N177*VLOOKUP($F177,'Emission Factors 2'!$A$2:$E$302,2,FALSE)</f>
        <v>0</v>
      </c>
      <c r="AA177" s="68">
        <f>O177*VLOOKUP($F177,'Emission Factors 2'!$A$2:$E$302,2,FALSE)</f>
        <v>0</v>
      </c>
      <c r="AB177" s="68">
        <f>P177*VLOOKUP($F177,'Emission Factors 2'!$A$2:$E$302,2,FALSE)</f>
        <v>0</v>
      </c>
      <c r="AC177" s="68">
        <f>Q177*VLOOKUP($F177,'Emission Factors 2'!$A$2:$E$302,2,FALSE)</f>
        <v>0</v>
      </c>
      <c r="AD177" s="68">
        <f>R177*VLOOKUP($F177,'Emission Factors 2'!$A$2:$E$302,2,FALSE)</f>
        <v>0</v>
      </c>
      <c r="AE177" s="68">
        <f>S177*VLOOKUP($F177,'Emission Factors 2'!$A$2:$E$302,2,FALSE)</f>
        <v>0</v>
      </c>
      <c r="AF177" s="19">
        <f t="shared" si="9"/>
        <v>0</v>
      </c>
      <c r="AG177" s="31"/>
      <c r="AH177" s="31"/>
      <c r="AI177" s="31"/>
      <c r="AJ177" s="31"/>
    </row>
    <row r="178" spans="1:36" ht="21.95" customHeight="1" outlineLevel="1" x14ac:dyDescent="0.25">
      <c r="A178" s="118"/>
      <c r="B178" s="133"/>
      <c r="C178" s="29"/>
      <c r="D178" s="27" t="s">
        <v>325</v>
      </c>
      <c r="E178" s="82" t="str">
        <f>'Index Formatting'!I$24</f>
        <v>O</v>
      </c>
      <c r="F178" s="7" t="s">
        <v>328</v>
      </c>
      <c r="G178" s="15" t="s">
        <v>82</v>
      </c>
      <c r="H178" s="67"/>
      <c r="I178" s="67"/>
      <c r="J178" s="67"/>
      <c r="K178" s="67"/>
      <c r="L178" s="67"/>
      <c r="M178" s="67"/>
      <c r="N178" s="67"/>
      <c r="O178" s="67"/>
      <c r="P178" s="67"/>
      <c r="Q178" s="67"/>
      <c r="R178" s="67"/>
      <c r="S178" s="67"/>
      <c r="T178" s="68">
        <f>H178*VLOOKUP($F178,'Emission Factors 2'!$A$2:$E$302,2,FALSE)</f>
        <v>0</v>
      </c>
      <c r="U178" s="68">
        <f>I178*VLOOKUP($F178,'Emission Factors 2'!$A$2:$E$302,2,FALSE)</f>
        <v>0</v>
      </c>
      <c r="V178" s="68">
        <f>J178*VLOOKUP($F178,'Emission Factors 2'!$A$2:$E$302,2,FALSE)</f>
        <v>0</v>
      </c>
      <c r="W178" s="68">
        <f>K178*VLOOKUP($F178,'Emission Factors 2'!$A$2:$E$302,2,FALSE)</f>
        <v>0</v>
      </c>
      <c r="X178" s="68">
        <f>L178*VLOOKUP($F178,'Emission Factors 2'!$A$2:$E$302,2,FALSE)</f>
        <v>0</v>
      </c>
      <c r="Y178" s="68">
        <f>M178*VLOOKUP($F178,'Emission Factors 2'!$A$2:$E$302,2,FALSE)</f>
        <v>0</v>
      </c>
      <c r="Z178" s="68">
        <f>N178*VLOOKUP($F178,'Emission Factors 2'!$A$2:$E$302,2,FALSE)</f>
        <v>0</v>
      </c>
      <c r="AA178" s="68">
        <f>O178*VLOOKUP($F178,'Emission Factors 2'!$A$2:$E$302,2,FALSE)</f>
        <v>0</v>
      </c>
      <c r="AB178" s="68">
        <f>P178*VLOOKUP($F178,'Emission Factors 2'!$A$2:$E$302,2,FALSE)</f>
        <v>0</v>
      </c>
      <c r="AC178" s="68">
        <f>Q178*VLOOKUP($F178,'Emission Factors 2'!$A$2:$E$302,2,FALSE)</f>
        <v>0</v>
      </c>
      <c r="AD178" s="68">
        <f>R178*VLOOKUP($F178,'Emission Factors 2'!$A$2:$E$302,2,FALSE)</f>
        <v>0</v>
      </c>
      <c r="AE178" s="68">
        <f>S178*VLOOKUP($F178,'Emission Factors 2'!$A$2:$E$302,2,FALSE)</f>
        <v>0</v>
      </c>
      <c r="AF178" s="19">
        <f t="shared" si="9"/>
        <v>0</v>
      </c>
      <c r="AG178" s="31"/>
      <c r="AH178" s="31"/>
      <c r="AI178" s="31"/>
      <c r="AJ178" s="31"/>
    </row>
    <row r="179" spans="1:36" ht="21.95" customHeight="1" outlineLevel="1" x14ac:dyDescent="0.25">
      <c r="A179" s="118"/>
      <c r="B179" s="133"/>
      <c r="C179" s="29"/>
      <c r="D179" s="27" t="s">
        <v>325</v>
      </c>
      <c r="E179" s="82" t="str">
        <f>'Index Formatting'!I$24</f>
        <v>O</v>
      </c>
      <c r="F179" s="7" t="s">
        <v>329</v>
      </c>
      <c r="G179" s="15" t="s">
        <v>82</v>
      </c>
      <c r="H179" s="67"/>
      <c r="I179" s="67"/>
      <c r="J179" s="67"/>
      <c r="K179" s="67"/>
      <c r="L179" s="67"/>
      <c r="M179" s="67"/>
      <c r="N179" s="67"/>
      <c r="O179" s="67"/>
      <c r="P179" s="67"/>
      <c r="Q179" s="67"/>
      <c r="R179" s="67"/>
      <c r="S179" s="67"/>
      <c r="T179" s="68">
        <f>H179*VLOOKUP($F179,'Emission Factors 2'!$A$2:$E$302,2,FALSE)</f>
        <v>0</v>
      </c>
      <c r="U179" s="68">
        <f>I179*VLOOKUP($F179,'Emission Factors 2'!$A$2:$E$302,2,FALSE)</f>
        <v>0</v>
      </c>
      <c r="V179" s="68">
        <f>J179*VLOOKUP($F179,'Emission Factors 2'!$A$2:$E$302,2,FALSE)</f>
        <v>0</v>
      </c>
      <c r="W179" s="68">
        <f>K179*VLOOKUP($F179,'Emission Factors 2'!$A$2:$E$302,2,FALSE)</f>
        <v>0</v>
      </c>
      <c r="X179" s="68">
        <f>L179*VLOOKUP($F179,'Emission Factors 2'!$A$2:$E$302,2,FALSE)</f>
        <v>0</v>
      </c>
      <c r="Y179" s="68">
        <f>M179*VLOOKUP($F179,'Emission Factors 2'!$A$2:$E$302,2,FALSE)</f>
        <v>0</v>
      </c>
      <c r="Z179" s="68">
        <f>N179*VLOOKUP($F179,'Emission Factors 2'!$A$2:$E$302,2,FALSE)</f>
        <v>0</v>
      </c>
      <c r="AA179" s="68">
        <f>O179*VLOOKUP($F179,'Emission Factors 2'!$A$2:$E$302,2,FALSE)</f>
        <v>0</v>
      </c>
      <c r="AB179" s="68">
        <f>P179*VLOOKUP($F179,'Emission Factors 2'!$A$2:$E$302,2,FALSE)</f>
        <v>0</v>
      </c>
      <c r="AC179" s="68">
        <f>Q179*VLOOKUP($F179,'Emission Factors 2'!$A$2:$E$302,2,FALSE)</f>
        <v>0</v>
      </c>
      <c r="AD179" s="68">
        <f>R179*VLOOKUP($F179,'Emission Factors 2'!$A$2:$E$302,2,FALSE)</f>
        <v>0</v>
      </c>
      <c r="AE179" s="68">
        <f>S179*VLOOKUP($F179,'Emission Factors 2'!$A$2:$E$302,2,FALSE)</f>
        <v>0</v>
      </c>
      <c r="AF179" s="19">
        <f t="shared" si="9"/>
        <v>0</v>
      </c>
      <c r="AG179" s="31"/>
      <c r="AH179" s="31"/>
      <c r="AI179" s="31"/>
      <c r="AJ179" s="31"/>
    </row>
    <row r="180" spans="1:36" ht="21.95" customHeight="1" outlineLevel="1" x14ac:dyDescent="0.25">
      <c r="A180" s="118"/>
      <c r="B180" s="133"/>
      <c r="C180" s="29"/>
      <c r="D180" s="27" t="s">
        <v>325</v>
      </c>
      <c r="E180" s="82" t="str">
        <f>'Index Formatting'!I$24</f>
        <v>O</v>
      </c>
      <c r="F180" s="7" t="s">
        <v>330</v>
      </c>
      <c r="G180" s="15" t="s">
        <v>82</v>
      </c>
      <c r="H180" s="67"/>
      <c r="I180" s="67"/>
      <c r="J180" s="67"/>
      <c r="K180" s="67"/>
      <c r="L180" s="67"/>
      <c r="M180" s="67"/>
      <c r="N180" s="67"/>
      <c r="O180" s="67"/>
      <c r="P180" s="67"/>
      <c r="Q180" s="67"/>
      <c r="R180" s="67"/>
      <c r="S180" s="67"/>
      <c r="T180" s="68">
        <f>H180*VLOOKUP($F180,'Emission Factors 2'!$A$2:$E$302,2,FALSE)</f>
        <v>0</v>
      </c>
      <c r="U180" s="68">
        <f>I180*VLOOKUP($F180,'Emission Factors 2'!$A$2:$E$302,2,FALSE)</f>
        <v>0</v>
      </c>
      <c r="V180" s="68">
        <f>J180*VLOOKUP($F180,'Emission Factors 2'!$A$2:$E$302,2,FALSE)</f>
        <v>0</v>
      </c>
      <c r="W180" s="68">
        <f>K180*VLOOKUP($F180,'Emission Factors 2'!$A$2:$E$302,2,FALSE)</f>
        <v>0</v>
      </c>
      <c r="X180" s="68">
        <f>L180*VLOOKUP($F180,'Emission Factors 2'!$A$2:$E$302,2,FALSE)</f>
        <v>0</v>
      </c>
      <c r="Y180" s="68">
        <f>M180*VLOOKUP($F180,'Emission Factors 2'!$A$2:$E$302,2,FALSE)</f>
        <v>0</v>
      </c>
      <c r="Z180" s="68">
        <f>N180*VLOOKUP($F180,'Emission Factors 2'!$A$2:$E$302,2,FALSE)</f>
        <v>0</v>
      </c>
      <c r="AA180" s="68">
        <f>O180*VLOOKUP($F180,'Emission Factors 2'!$A$2:$E$302,2,FALSE)</f>
        <v>0</v>
      </c>
      <c r="AB180" s="68">
        <f>P180*VLOOKUP($F180,'Emission Factors 2'!$A$2:$E$302,2,FALSE)</f>
        <v>0</v>
      </c>
      <c r="AC180" s="68">
        <f>Q180*VLOOKUP($F180,'Emission Factors 2'!$A$2:$E$302,2,FALSE)</f>
        <v>0</v>
      </c>
      <c r="AD180" s="68">
        <f>R180*VLOOKUP($F180,'Emission Factors 2'!$A$2:$E$302,2,FALSE)</f>
        <v>0</v>
      </c>
      <c r="AE180" s="68">
        <f>S180*VLOOKUP($F180,'Emission Factors 2'!$A$2:$E$302,2,FALSE)</f>
        <v>0</v>
      </c>
      <c r="AF180" s="19">
        <f t="shared" si="9"/>
        <v>0</v>
      </c>
      <c r="AG180" s="31"/>
      <c r="AH180" s="31"/>
      <c r="AI180" s="31"/>
      <c r="AJ180" s="31"/>
    </row>
    <row r="181" spans="1:36" ht="21.95" customHeight="1" outlineLevel="1" x14ac:dyDescent="0.25">
      <c r="A181" s="118"/>
      <c r="B181" s="133"/>
      <c r="C181" s="29"/>
      <c r="D181" s="27" t="s">
        <v>325</v>
      </c>
      <c r="E181" s="82" t="str">
        <f>'Index Formatting'!I$24</f>
        <v>O</v>
      </c>
      <c r="F181" s="7" t="s">
        <v>331</v>
      </c>
      <c r="G181" s="15" t="s">
        <v>82</v>
      </c>
      <c r="H181" s="67"/>
      <c r="I181" s="67"/>
      <c r="J181" s="67"/>
      <c r="K181" s="67"/>
      <c r="L181" s="67"/>
      <c r="M181" s="67"/>
      <c r="N181" s="67"/>
      <c r="O181" s="67"/>
      <c r="P181" s="67"/>
      <c r="Q181" s="67"/>
      <c r="R181" s="67"/>
      <c r="S181" s="67"/>
      <c r="T181" s="68">
        <f>H181*VLOOKUP($F181,'Emission Factors 2'!$A$2:$E$302,2,FALSE)</f>
        <v>0</v>
      </c>
      <c r="U181" s="68">
        <f>I181*VLOOKUP($F181,'Emission Factors 2'!$A$2:$E$302,2,FALSE)</f>
        <v>0</v>
      </c>
      <c r="V181" s="68">
        <f>J181*VLOOKUP($F181,'Emission Factors 2'!$A$2:$E$302,2,FALSE)</f>
        <v>0</v>
      </c>
      <c r="W181" s="68">
        <f>K181*VLOOKUP($F181,'Emission Factors 2'!$A$2:$E$302,2,FALSE)</f>
        <v>0</v>
      </c>
      <c r="X181" s="68">
        <f>L181*VLOOKUP($F181,'Emission Factors 2'!$A$2:$E$302,2,FALSE)</f>
        <v>0</v>
      </c>
      <c r="Y181" s="68">
        <f>M181*VLOOKUP($F181,'Emission Factors 2'!$A$2:$E$302,2,FALSE)</f>
        <v>0</v>
      </c>
      <c r="Z181" s="68">
        <f>N181*VLOOKUP($F181,'Emission Factors 2'!$A$2:$E$302,2,FALSE)</f>
        <v>0</v>
      </c>
      <c r="AA181" s="68">
        <f>O181*VLOOKUP($F181,'Emission Factors 2'!$A$2:$E$302,2,FALSE)</f>
        <v>0</v>
      </c>
      <c r="AB181" s="68">
        <f>P181*VLOOKUP($F181,'Emission Factors 2'!$A$2:$E$302,2,FALSE)</f>
        <v>0</v>
      </c>
      <c r="AC181" s="68">
        <f>Q181*VLOOKUP($F181,'Emission Factors 2'!$A$2:$E$302,2,FALSE)</f>
        <v>0</v>
      </c>
      <c r="AD181" s="68">
        <f>R181*VLOOKUP($F181,'Emission Factors 2'!$A$2:$E$302,2,FALSE)</f>
        <v>0</v>
      </c>
      <c r="AE181" s="68">
        <f>S181*VLOOKUP($F181,'Emission Factors 2'!$A$2:$E$302,2,FALSE)</f>
        <v>0</v>
      </c>
      <c r="AF181" s="19">
        <f t="shared" si="9"/>
        <v>0</v>
      </c>
      <c r="AG181" s="31"/>
      <c r="AH181" s="31"/>
      <c r="AI181" s="31"/>
      <c r="AJ181" s="31"/>
    </row>
    <row r="182" spans="1:36" ht="21.95" customHeight="1" outlineLevel="1" x14ac:dyDescent="0.25">
      <c r="A182" s="118"/>
      <c r="B182" s="133"/>
      <c r="C182" s="29"/>
      <c r="D182" s="27" t="s">
        <v>325</v>
      </c>
      <c r="E182" s="82" t="str">
        <f>'Index Formatting'!I$24</f>
        <v>O</v>
      </c>
      <c r="F182" s="7" t="s">
        <v>332</v>
      </c>
      <c r="G182" s="15" t="s">
        <v>82</v>
      </c>
      <c r="H182" s="67"/>
      <c r="I182" s="67"/>
      <c r="J182" s="67"/>
      <c r="K182" s="67"/>
      <c r="L182" s="67"/>
      <c r="M182" s="67"/>
      <c r="N182" s="67"/>
      <c r="O182" s="67"/>
      <c r="P182" s="67"/>
      <c r="Q182" s="67"/>
      <c r="R182" s="67"/>
      <c r="S182" s="67"/>
      <c r="T182" s="68">
        <f>H182*VLOOKUP($F182,'Emission Factors 2'!$A$2:$E$302,2,FALSE)</f>
        <v>0</v>
      </c>
      <c r="U182" s="68">
        <f>I182*VLOOKUP($F182,'Emission Factors 2'!$A$2:$E$302,2,FALSE)</f>
        <v>0</v>
      </c>
      <c r="V182" s="68">
        <f>J182*VLOOKUP($F182,'Emission Factors 2'!$A$2:$E$302,2,FALSE)</f>
        <v>0</v>
      </c>
      <c r="W182" s="68">
        <f>K182*VLOOKUP($F182,'Emission Factors 2'!$A$2:$E$302,2,FALSE)</f>
        <v>0</v>
      </c>
      <c r="X182" s="68">
        <f>L182*VLOOKUP($F182,'Emission Factors 2'!$A$2:$E$302,2,FALSE)</f>
        <v>0</v>
      </c>
      <c r="Y182" s="68">
        <f>M182*VLOOKUP($F182,'Emission Factors 2'!$A$2:$E$302,2,FALSE)</f>
        <v>0</v>
      </c>
      <c r="Z182" s="68">
        <f>N182*VLOOKUP($F182,'Emission Factors 2'!$A$2:$E$302,2,FALSE)</f>
        <v>0</v>
      </c>
      <c r="AA182" s="68">
        <f>O182*VLOOKUP($F182,'Emission Factors 2'!$A$2:$E$302,2,FALSE)</f>
        <v>0</v>
      </c>
      <c r="AB182" s="68">
        <f>P182*VLOOKUP($F182,'Emission Factors 2'!$A$2:$E$302,2,FALSE)</f>
        <v>0</v>
      </c>
      <c r="AC182" s="68">
        <f>Q182*VLOOKUP($F182,'Emission Factors 2'!$A$2:$E$302,2,FALSE)</f>
        <v>0</v>
      </c>
      <c r="AD182" s="68">
        <f>R182*VLOOKUP($F182,'Emission Factors 2'!$A$2:$E$302,2,FALSE)</f>
        <v>0</v>
      </c>
      <c r="AE182" s="68">
        <f>S182*VLOOKUP($F182,'Emission Factors 2'!$A$2:$E$302,2,FALSE)</f>
        <v>0</v>
      </c>
      <c r="AF182" s="19">
        <f t="shared" si="9"/>
        <v>0</v>
      </c>
      <c r="AG182" s="31"/>
      <c r="AH182" s="31"/>
      <c r="AI182" s="31"/>
      <c r="AJ182" s="31"/>
    </row>
    <row r="183" spans="1:36" ht="21.95" customHeight="1" outlineLevel="1" x14ac:dyDescent="0.25">
      <c r="A183" s="118"/>
      <c r="B183" s="133"/>
      <c r="C183" s="29"/>
      <c r="D183" s="27" t="s">
        <v>325</v>
      </c>
      <c r="E183" s="82" t="str">
        <f>'Index Formatting'!I$24</f>
        <v>O</v>
      </c>
      <c r="F183" s="7" t="s">
        <v>738</v>
      </c>
      <c r="G183" s="15" t="s">
        <v>82</v>
      </c>
      <c r="H183" s="67"/>
      <c r="I183" s="67"/>
      <c r="J183" s="67"/>
      <c r="K183" s="67"/>
      <c r="L183" s="67"/>
      <c r="M183" s="67"/>
      <c r="N183" s="67"/>
      <c r="O183" s="67"/>
      <c r="P183" s="67"/>
      <c r="Q183" s="67"/>
      <c r="R183" s="67"/>
      <c r="S183" s="67"/>
      <c r="T183" s="68">
        <f>H183*VLOOKUP($F183,'Emission Factors 2'!$A$2:$E$302,2,FALSE)</f>
        <v>0</v>
      </c>
      <c r="U183" s="68">
        <f>I183*VLOOKUP($F183,'Emission Factors 2'!$A$2:$E$302,2,FALSE)</f>
        <v>0</v>
      </c>
      <c r="V183" s="68">
        <f>J183*VLOOKUP($F183,'Emission Factors 2'!$A$2:$E$302,2,FALSE)</f>
        <v>0</v>
      </c>
      <c r="W183" s="68">
        <f>K183*VLOOKUP($F183,'Emission Factors 2'!$A$2:$E$302,2,FALSE)</f>
        <v>0</v>
      </c>
      <c r="X183" s="68">
        <f>L183*VLOOKUP($F183,'Emission Factors 2'!$A$2:$E$302,2,FALSE)</f>
        <v>0</v>
      </c>
      <c r="Y183" s="68">
        <f>M183*VLOOKUP($F183,'Emission Factors 2'!$A$2:$E$302,2,FALSE)</f>
        <v>0</v>
      </c>
      <c r="Z183" s="68">
        <f>N183*VLOOKUP($F183,'Emission Factors 2'!$A$2:$E$302,2,FALSE)</f>
        <v>0</v>
      </c>
      <c r="AA183" s="68">
        <f>O183*VLOOKUP($F183,'Emission Factors 2'!$A$2:$E$302,2,FALSE)</f>
        <v>0</v>
      </c>
      <c r="AB183" s="68">
        <f>P183*VLOOKUP($F183,'Emission Factors 2'!$A$2:$E$302,2,FALSE)</f>
        <v>0</v>
      </c>
      <c r="AC183" s="68">
        <f>Q183*VLOOKUP($F183,'Emission Factors 2'!$A$2:$E$302,2,FALSE)</f>
        <v>0</v>
      </c>
      <c r="AD183" s="68">
        <f>R183*VLOOKUP($F183,'Emission Factors 2'!$A$2:$E$302,2,FALSE)</f>
        <v>0</v>
      </c>
      <c r="AE183" s="68">
        <f>S183*VLOOKUP($F183,'Emission Factors 2'!$A$2:$E$302,2,FALSE)</f>
        <v>0</v>
      </c>
      <c r="AF183" s="19">
        <f t="shared" si="9"/>
        <v>0</v>
      </c>
      <c r="AG183" s="31"/>
      <c r="AH183" s="31"/>
      <c r="AI183" s="31"/>
      <c r="AJ183" s="31"/>
    </row>
    <row r="184" spans="1:36" ht="21.95" customHeight="1" outlineLevel="1" x14ac:dyDescent="0.25">
      <c r="A184" s="118"/>
      <c r="B184" s="133"/>
      <c r="C184" s="29"/>
      <c r="D184" s="27" t="s">
        <v>325</v>
      </c>
      <c r="E184" s="82" t="str">
        <f>'Index Formatting'!I$24</f>
        <v>O</v>
      </c>
      <c r="F184" s="7" t="s">
        <v>738</v>
      </c>
      <c r="G184" s="15" t="s">
        <v>82</v>
      </c>
      <c r="H184" s="67"/>
      <c r="I184" s="67"/>
      <c r="J184" s="67"/>
      <c r="K184" s="67"/>
      <c r="L184" s="67"/>
      <c r="M184" s="67"/>
      <c r="N184" s="67"/>
      <c r="O184" s="67"/>
      <c r="P184" s="67"/>
      <c r="Q184" s="67"/>
      <c r="R184" s="67"/>
      <c r="S184" s="67"/>
      <c r="T184" s="68">
        <f>H184*VLOOKUP($F184,'Emission Factors 2'!$A$2:$E$302,2,FALSE)</f>
        <v>0</v>
      </c>
      <c r="U184" s="68">
        <f>I184*VLOOKUP($F184,'Emission Factors 2'!$A$2:$E$302,2,FALSE)</f>
        <v>0</v>
      </c>
      <c r="V184" s="68">
        <f>J184*VLOOKUP($F184,'Emission Factors 2'!$A$2:$E$302,2,FALSE)</f>
        <v>0</v>
      </c>
      <c r="W184" s="68">
        <f>K184*VLOOKUP($F184,'Emission Factors 2'!$A$2:$E$302,2,FALSE)</f>
        <v>0</v>
      </c>
      <c r="X184" s="68">
        <f>L184*VLOOKUP($F184,'Emission Factors 2'!$A$2:$E$302,2,FALSE)</f>
        <v>0</v>
      </c>
      <c r="Y184" s="68">
        <f>M184*VLOOKUP($F184,'Emission Factors 2'!$A$2:$E$302,2,FALSE)</f>
        <v>0</v>
      </c>
      <c r="Z184" s="68">
        <f>N184*VLOOKUP($F184,'Emission Factors 2'!$A$2:$E$302,2,FALSE)</f>
        <v>0</v>
      </c>
      <c r="AA184" s="68">
        <f>O184*VLOOKUP($F184,'Emission Factors 2'!$A$2:$E$302,2,FALSE)</f>
        <v>0</v>
      </c>
      <c r="AB184" s="68">
        <f>P184*VLOOKUP($F184,'Emission Factors 2'!$A$2:$E$302,2,FALSE)</f>
        <v>0</v>
      </c>
      <c r="AC184" s="68">
        <f>Q184*VLOOKUP($F184,'Emission Factors 2'!$A$2:$E$302,2,FALSE)</f>
        <v>0</v>
      </c>
      <c r="AD184" s="68">
        <f>R184*VLOOKUP($F184,'Emission Factors 2'!$A$2:$E$302,2,FALSE)</f>
        <v>0</v>
      </c>
      <c r="AE184" s="68">
        <f>S184*VLOOKUP($F184,'Emission Factors 2'!$A$2:$E$302,2,FALSE)</f>
        <v>0</v>
      </c>
      <c r="AF184" s="19">
        <f t="shared" si="9"/>
        <v>0</v>
      </c>
      <c r="AG184" s="31"/>
      <c r="AH184" s="31"/>
      <c r="AI184" s="31"/>
      <c r="AJ184" s="31"/>
    </row>
    <row r="185" spans="1:36" ht="21.95" customHeight="1" outlineLevel="1" x14ac:dyDescent="0.25">
      <c r="A185" s="118"/>
      <c r="B185" s="133"/>
      <c r="C185" s="29"/>
      <c r="D185" s="27" t="s">
        <v>325</v>
      </c>
      <c r="E185" s="82" t="str">
        <f>'Index Formatting'!I$24</f>
        <v>O</v>
      </c>
      <c r="F185" s="7" t="s">
        <v>738</v>
      </c>
      <c r="G185" s="15" t="s">
        <v>82</v>
      </c>
      <c r="H185" s="67"/>
      <c r="I185" s="67"/>
      <c r="J185" s="67"/>
      <c r="K185" s="67"/>
      <c r="L185" s="67"/>
      <c r="M185" s="67"/>
      <c r="N185" s="67"/>
      <c r="O185" s="67"/>
      <c r="P185" s="67"/>
      <c r="Q185" s="67"/>
      <c r="R185" s="67"/>
      <c r="S185" s="67"/>
      <c r="T185" s="68">
        <f>H185*VLOOKUP($F185,'Emission Factors 2'!$A$2:$E$302,2,FALSE)</f>
        <v>0</v>
      </c>
      <c r="U185" s="68">
        <f>I185*VLOOKUP($F185,'Emission Factors 2'!$A$2:$E$302,2,FALSE)</f>
        <v>0</v>
      </c>
      <c r="V185" s="68">
        <f>J185*VLOOKUP($F185,'Emission Factors 2'!$A$2:$E$302,2,FALSE)</f>
        <v>0</v>
      </c>
      <c r="W185" s="68">
        <f>K185*VLOOKUP($F185,'Emission Factors 2'!$A$2:$E$302,2,FALSE)</f>
        <v>0</v>
      </c>
      <c r="X185" s="68">
        <f>L185*VLOOKUP($F185,'Emission Factors 2'!$A$2:$E$302,2,FALSE)</f>
        <v>0</v>
      </c>
      <c r="Y185" s="68">
        <f>M185*VLOOKUP($F185,'Emission Factors 2'!$A$2:$E$302,2,FALSE)</f>
        <v>0</v>
      </c>
      <c r="Z185" s="68">
        <f>N185*VLOOKUP($F185,'Emission Factors 2'!$A$2:$E$302,2,FALSE)</f>
        <v>0</v>
      </c>
      <c r="AA185" s="68">
        <f>O185*VLOOKUP($F185,'Emission Factors 2'!$A$2:$E$302,2,FALSE)</f>
        <v>0</v>
      </c>
      <c r="AB185" s="68">
        <f>P185*VLOOKUP($F185,'Emission Factors 2'!$A$2:$E$302,2,FALSE)</f>
        <v>0</v>
      </c>
      <c r="AC185" s="68">
        <f>Q185*VLOOKUP($F185,'Emission Factors 2'!$A$2:$E$302,2,FALSE)</f>
        <v>0</v>
      </c>
      <c r="AD185" s="68">
        <f>R185*VLOOKUP($F185,'Emission Factors 2'!$A$2:$E$302,2,FALSE)</f>
        <v>0</v>
      </c>
      <c r="AE185" s="68">
        <f>S185*VLOOKUP($F185,'Emission Factors 2'!$A$2:$E$302,2,FALSE)</f>
        <v>0</v>
      </c>
      <c r="AF185" s="19">
        <f t="shared" si="9"/>
        <v>0</v>
      </c>
      <c r="AG185" s="31"/>
      <c r="AH185" s="31"/>
      <c r="AI185" s="31"/>
      <c r="AJ185" s="31"/>
    </row>
    <row r="186" spans="1:36" ht="21.95" customHeight="1" outlineLevel="1" x14ac:dyDescent="0.25">
      <c r="A186" s="118"/>
      <c r="B186" s="133"/>
      <c r="C186" s="29"/>
      <c r="D186" s="27" t="s">
        <v>325</v>
      </c>
      <c r="E186" s="82" t="str">
        <f>'Index Formatting'!I$24</f>
        <v>O</v>
      </c>
      <c r="F186" s="7" t="s">
        <v>738</v>
      </c>
      <c r="G186" s="15" t="s">
        <v>82</v>
      </c>
      <c r="H186" s="67"/>
      <c r="I186" s="67"/>
      <c r="J186" s="67"/>
      <c r="K186" s="67"/>
      <c r="L186" s="67"/>
      <c r="M186" s="67"/>
      <c r="N186" s="67"/>
      <c r="O186" s="67"/>
      <c r="P186" s="67"/>
      <c r="Q186" s="67"/>
      <c r="R186" s="67"/>
      <c r="S186" s="67"/>
      <c r="T186" s="68">
        <f>H186*VLOOKUP($F186,'Emission Factors 2'!$A$2:$E$302,2,FALSE)</f>
        <v>0</v>
      </c>
      <c r="U186" s="68">
        <f>I186*VLOOKUP($F186,'Emission Factors 2'!$A$2:$E$302,2,FALSE)</f>
        <v>0</v>
      </c>
      <c r="V186" s="68">
        <f>J186*VLOOKUP($F186,'Emission Factors 2'!$A$2:$E$302,2,FALSE)</f>
        <v>0</v>
      </c>
      <c r="W186" s="68">
        <f>K186*VLOOKUP($F186,'Emission Factors 2'!$A$2:$E$302,2,FALSE)</f>
        <v>0</v>
      </c>
      <c r="X186" s="68">
        <f>L186*VLOOKUP($F186,'Emission Factors 2'!$A$2:$E$302,2,FALSE)</f>
        <v>0</v>
      </c>
      <c r="Y186" s="68">
        <f>M186*VLOOKUP($F186,'Emission Factors 2'!$A$2:$E$302,2,FALSE)</f>
        <v>0</v>
      </c>
      <c r="Z186" s="68">
        <f>N186*VLOOKUP($F186,'Emission Factors 2'!$A$2:$E$302,2,FALSE)</f>
        <v>0</v>
      </c>
      <c r="AA186" s="68">
        <f>O186*VLOOKUP($F186,'Emission Factors 2'!$A$2:$E$302,2,FALSE)</f>
        <v>0</v>
      </c>
      <c r="AB186" s="68">
        <f>P186*VLOOKUP($F186,'Emission Factors 2'!$A$2:$E$302,2,FALSE)</f>
        <v>0</v>
      </c>
      <c r="AC186" s="68">
        <f>Q186*VLOOKUP($F186,'Emission Factors 2'!$A$2:$E$302,2,FALSE)</f>
        <v>0</v>
      </c>
      <c r="AD186" s="68">
        <f>R186*VLOOKUP($F186,'Emission Factors 2'!$A$2:$E$302,2,FALSE)</f>
        <v>0</v>
      </c>
      <c r="AE186" s="68">
        <f>S186*VLOOKUP($F186,'Emission Factors 2'!$A$2:$E$302,2,FALSE)</f>
        <v>0</v>
      </c>
      <c r="AF186" s="19">
        <f t="shared" si="9"/>
        <v>0</v>
      </c>
      <c r="AG186" s="31"/>
      <c r="AH186" s="31"/>
      <c r="AI186" s="31"/>
      <c r="AJ186" s="31"/>
    </row>
    <row r="187" spans="1:36" ht="21.95" customHeight="1" outlineLevel="1" x14ac:dyDescent="0.25">
      <c r="A187" s="118"/>
      <c r="B187" s="133"/>
      <c r="C187" s="29"/>
      <c r="D187" s="27" t="s">
        <v>325</v>
      </c>
      <c r="E187" s="82" t="str">
        <f>'Index Formatting'!I$24</f>
        <v>O</v>
      </c>
      <c r="F187" s="7" t="s">
        <v>738</v>
      </c>
      <c r="G187" s="15" t="s">
        <v>82</v>
      </c>
      <c r="H187" s="67"/>
      <c r="I187" s="67"/>
      <c r="J187" s="67"/>
      <c r="K187" s="67"/>
      <c r="L187" s="67"/>
      <c r="M187" s="67"/>
      <c r="N187" s="67"/>
      <c r="O187" s="67"/>
      <c r="P187" s="67"/>
      <c r="Q187" s="67"/>
      <c r="R187" s="67"/>
      <c r="S187" s="67"/>
      <c r="T187" s="68">
        <f>H187*VLOOKUP($F187,'Emission Factors 2'!$A$2:$E$302,2,FALSE)</f>
        <v>0</v>
      </c>
      <c r="U187" s="68">
        <f>I187*VLOOKUP($F187,'Emission Factors 2'!$A$2:$E$302,2,FALSE)</f>
        <v>0</v>
      </c>
      <c r="V187" s="68">
        <f>J187*VLOOKUP($F187,'Emission Factors 2'!$A$2:$E$302,2,FALSE)</f>
        <v>0</v>
      </c>
      <c r="W187" s="68">
        <f>K187*VLOOKUP($F187,'Emission Factors 2'!$A$2:$E$302,2,FALSE)</f>
        <v>0</v>
      </c>
      <c r="X187" s="68">
        <f>L187*VLOOKUP($F187,'Emission Factors 2'!$A$2:$E$302,2,FALSE)</f>
        <v>0</v>
      </c>
      <c r="Y187" s="68">
        <f>M187*VLOOKUP($F187,'Emission Factors 2'!$A$2:$E$302,2,FALSE)</f>
        <v>0</v>
      </c>
      <c r="Z187" s="68">
        <f>N187*VLOOKUP($F187,'Emission Factors 2'!$A$2:$E$302,2,FALSE)</f>
        <v>0</v>
      </c>
      <c r="AA187" s="68">
        <f>O187*VLOOKUP($F187,'Emission Factors 2'!$A$2:$E$302,2,FALSE)</f>
        <v>0</v>
      </c>
      <c r="AB187" s="68">
        <f>P187*VLOOKUP($F187,'Emission Factors 2'!$A$2:$E$302,2,FALSE)</f>
        <v>0</v>
      </c>
      <c r="AC187" s="68">
        <f>Q187*VLOOKUP($F187,'Emission Factors 2'!$A$2:$E$302,2,FALSE)</f>
        <v>0</v>
      </c>
      <c r="AD187" s="68">
        <f>R187*VLOOKUP($F187,'Emission Factors 2'!$A$2:$E$302,2,FALSE)</f>
        <v>0</v>
      </c>
      <c r="AE187" s="68">
        <f>S187*VLOOKUP($F187,'Emission Factors 2'!$A$2:$E$302,2,FALSE)</f>
        <v>0</v>
      </c>
      <c r="AF187" s="19">
        <f t="shared" si="9"/>
        <v>0</v>
      </c>
      <c r="AG187" s="31"/>
      <c r="AH187" s="31"/>
      <c r="AI187" s="31"/>
      <c r="AJ187" s="31"/>
    </row>
    <row r="188" spans="1:36" ht="21.95" customHeight="1" outlineLevel="1" x14ac:dyDescent="0.25">
      <c r="A188" s="118"/>
      <c r="B188" s="133"/>
      <c r="C188" s="29"/>
      <c r="D188" s="27" t="s">
        <v>325</v>
      </c>
      <c r="E188" s="82" t="str">
        <f>'Index Formatting'!I$24</f>
        <v>O</v>
      </c>
      <c r="F188" s="7" t="s">
        <v>738</v>
      </c>
      <c r="G188" s="15" t="s">
        <v>82</v>
      </c>
      <c r="H188" s="67"/>
      <c r="I188" s="67"/>
      <c r="J188" s="67"/>
      <c r="K188" s="67"/>
      <c r="L188" s="67"/>
      <c r="M188" s="67"/>
      <c r="N188" s="67"/>
      <c r="O188" s="67"/>
      <c r="P188" s="67"/>
      <c r="Q188" s="67"/>
      <c r="R188" s="67"/>
      <c r="S188" s="67"/>
      <c r="T188" s="68">
        <f>H188*VLOOKUP($F188,'Emission Factors 2'!$A$2:$E$302,2,FALSE)</f>
        <v>0</v>
      </c>
      <c r="U188" s="68">
        <f>I188*VLOOKUP($F188,'Emission Factors 2'!$A$2:$E$302,2,FALSE)</f>
        <v>0</v>
      </c>
      <c r="V188" s="68">
        <f>J188*VLOOKUP($F188,'Emission Factors 2'!$A$2:$E$302,2,FALSE)</f>
        <v>0</v>
      </c>
      <c r="W188" s="68">
        <f>K188*VLOOKUP($F188,'Emission Factors 2'!$A$2:$E$302,2,FALSE)</f>
        <v>0</v>
      </c>
      <c r="X188" s="68">
        <f>L188*VLOOKUP($F188,'Emission Factors 2'!$A$2:$E$302,2,FALSE)</f>
        <v>0</v>
      </c>
      <c r="Y188" s="68">
        <f>M188*VLOOKUP($F188,'Emission Factors 2'!$A$2:$E$302,2,FALSE)</f>
        <v>0</v>
      </c>
      <c r="Z188" s="68">
        <f>N188*VLOOKUP($F188,'Emission Factors 2'!$A$2:$E$302,2,FALSE)</f>
        <v>0</v>
      </c>
      <c r="AA188" s="68">
        <f>O188*VLOOKUP($F188,'Emission Factors 2'!$A$2:$E$302,2,FALSE)</f>
        <v>0</v>
      </c>
      <c r="AB188" s="68">
        <f>P188*VLOOKUP($F188,'Emission Factors 2'!$A$2:$E$302,2,FALSE)</f>
        <v>0</v>
      </c>
      <c r="AC188" s="68">
        <f>Q188*VLOOKUP($F188,'Emission Factors 2'!$A$2:$E$302,2,FALSE)</f>
        <v>0</v>
      </c>
      <c r="AD188" s="68">
        <f>R188*VLOOKUP($F188,'Emission Factors 2'!$A$2:$E$302,2,FALSE)</f>
        <v>0</v>
      </c>
      <c r="AE188" s="68">
        <f>S188*VLOOKUP($F188,'Emission Factors 2'!$A$2:$E$302,2,FALSE)</f>
        <v>0</v>
      </c>
      <c r="AF188" s="19">
        <f t="shared" si="9"/>
        <v>0</v>
      </c>
      <c r="AG188" s="31"/>
      <c r="AH188" s="31"/>
      <c r="AI188" s="31"/>
      <c r="AJ188" s="31"/>
    </row>
    <row r="189" spans="1:36" ht="21.95" customHeight="1" x14ac:dyDescent="0.25">
      <c r="A189" s="130" t="str">
        <f>IF(COUNTIF(E190:E196,"M"),"Signage", "Signage (Optional)")</f>
        <v>Signage (Optional)</v>
      </c>
      <c r="B189" s="131"/>
      <c r="C189" s="131"/>
      <c r="D189" s="131"/>
      <c r="E189" s="131"/>
      <c r="F189" s="131"/>
      <c r="G189" s="132"/>
      <c r="H189" s="137"/>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9">
        <f>SUM(AF190:AF196)</f>
        <v>0</v>
      </c>
      <c r="AG189" s="31"/>
      <c r="AH189" s="31"/>
      <c r="AI189" s="31"/>
      <c r="AJ189" s="31"/>
    </row>
    <row r="190" spans="1:36" ht="21.95" customHeight="1" outlineLevel="1" x14ac:dyDescent="0.25">
      <c r="A190" s="118">
        <v>10</v>
      </c>
      <c r="B190" s="133" t="s">
        <v>380</v>
      </c>
      <c r="C190" s="29"/>
      <c r="D190" s="27" t="s">
        <v>381</v>
      </c>
      <c r="E190" s="82" t="str">
        <f>'Index Formatting'!I$25</f>
        <v>O</v>
      </c>
      <c r="F190" s="7" t="s">
        <v>382</v>
      </c>
      <c r="G190" s="15" t="s">
        <v>295</v>
      </c>
      <c r="H190" s="67"/>
      <c r="I190" s="67"/>
      <c r="J190" s="67"/>
      <c r="K190" s="67"/>
      <c r="L190" s="67"/>
      <c r="M190" s="67"/>
      <c r="N190" s="67"/>
      <c r="O190" s="67"/>
      <c r="P190" s="67"/>
      <c r="Q190" s="67"/>
      <c r="R190" s="67"/>
      <c r="S190" s="67"/>
      <c r="T190" s="68">
        <f>H190*VLOOKUP($F190,'Emission Factors 2'!$A$2:$E$302,2,FALSE)</f>
        <v>0</v>
      </c>
      <c r="U190" s="68">
        <f>I190*VLOOKUP($F190,'Emission Factors 2'!$A$2:$E$302,2,FALSE)</f>
        <v>0</v>
      </c>
      <c r="V190" s="68">
        <f>J190*VLOOKUP($F190,'Emission Factors 2'!$A$2:$E$302,2,FALSE)</f>
        <v>0</v>
      </c>
      <c r="W190" s="68">
        <f>K190*VLOOKUP($F190,'Emission Factors 2'!$A$2:$E$302,2,FALSE)</f>
        <v>0</v>
      </c>
      <c r="X190" s="68">
        <f>L190*VLOOKUP($F190,'Emission Factors 2'!$A$2:$E$302,2,FALSE)</f>
        <v>0</v>
      </c>
      <c r="Y190" s="68">
        <f>M190*VLOOKUP($F190,'Emission Factors 2'!$A$2:$E$302,2,FALSE)</f>
        <v>0</v>
      </c>
      <c r="Z190" s="68">
        <f>N190*VLOOKUP($F190,'Emission Factors 2'!$A$2:$E$302,2,FALSE)</f>
        <v>0</v>
      </c>
      <c r="AA190" s="68">
        <f>O190*VLOOKUP($F190,'Emission Factors 2'!$A$2:$E$302,2,FALSE)</f>
        <v>0</v>
      </c>
      <c r="AB190" s="68">
        <f>P190*VLOOKUP($F190,'Emission Factors 2'!$A$2:$E$302,2,FALSE)</f>
        <v>0</v>
      </c>
      <c r="AC190" s="68">
        <f>Q190*VLOOKUP($F190,'Emission Factors 2'!$A$2:$E$302,2,FALSE)</f>
        <v>0</v>
      </c>
      <c r="AD190" s="68">
        <f>R190*VLOOKUP($F190,'Emission Factors 2'!$A$2:$E$302,2,FALSE)</f>
        <v>0</v>
      </c>
      <c r="AE190" s="68">
        <f>S190*VLOOKUP($F190,'Emission Factors 2'!$A$2:$E$302,2,FALSE)</f>
        <v>0</v>
      </c>
      <c r="AF190" s="19">
        <f t="shared" si="9"/>
        <v>0</v>
      </c>
      <c r="AG190" s="31"/>
      <c r="AH190" s="31"/>
      <c r="AI190" s="31"/>
      <c r="AJ190" s="31"/>
    </row>
    <row r="191" spans="1:36" ht="21.95" customHeight="1" outlineLevel="1" x14ac:dyDescent="0.25">
      <c r="A191" s="118"/>
      <c r="B191" s="133"/>
      <c r="C191" s="29"/>
      <c r="D191" s="27" t="s">
        <v>381</v>
      </c>
      <c r="E191" s="82" t="str">
        <f>'Index Formatting'!I$25</f>
        <v>O</v>
      </c>
      <c r="F191" s="7" t="s">
        <v>383</v>
      </c>
      <c r="G191" s="15" t="s">
        <v>295</v>
      </c>
      <c r="H191" s="67"/>
      <c r="I191" s="67"/>
      <c r="J191" s="67"/>
      <c r="K191" s="67"/>
      <c r="L191" s="67"/>
      <c r="M191" s="67"/>
      <c r="N191" s="67"/>
      <c r="O191" s="67"/>
      <c r="P191" s="67"/>
      <c r="Q191" s="67"/>
      <c r="R191" s="67"/>
      <c r="S191" s="67"/>
      <c r="T191" s="68">
        <f>H191*VLOOKUP($F191,'Emission Factors 2'!$A$2:$E$302,2,FALSE)</f>
        <v>0</v>
      </c>
      <c r="U191" s="68">
        <f>I191*VLOOKUP($F191,'Emission Factors 2'!$A$2:$E$302,2,FALSE)</f>
        <v>0</v>
      </c>
      <c r="V191" s="68">
        <f>J191*VLOOKUP($F191,'Emission Factors 2'!$A$2:$E$302,2,FALSE)</f>
        <v>0</v>
      </c>
      <c r="W191" s="68">
        <f>K191*VLOOKUP($F191,'Emission Factors 2'!$A$2:$E$302,2,FALSE)</f>
        <v>0</v>
      </c>
      <c r="X191" s="68">
        <f>L191*VLOOKUP($F191,'Emission Factors 2'!$A$2:$E$302,2,FALSE)</f>
        <v>0</v>
      </c>
      <c r="Y191" s="68">
        <f>M191*VLOOKUP($F191,'Emission Factors 2'!$A$2:$E$302,2,FALSE)</f>
        <v>0</v>
      </c>
      <c r="Z191" s="68">
        <f>N191*VLOOKUP($F191,'Emission Factors 2'!$A$2:$E$302,2,FALSE)</f>
        <v>0</v>
      </c>
      <c r="AA191" s="68">
        <f>O191*VLOOKUP($F191,'Emission Factors 2'!$A$2:$E$302,2,FALSE)</f>
        <v>0</v>
      </c>
      <c r="AB191" s="68">
        <f>P191*VLOOKUP($F191,'Emission Factors 2'!$A$2:$E$302,2,FALSE)</f>
        <v>0</v>
      </c>
      <c r="AC191" s="68">
        <f>Q191*VLOOKUP($F191,'Emission Factors 2'!$A$2:$E$302,2,FALSE)</f>
        <v>0</v>
      </c>
      <c r="AD191" s="68">
        <f>R191*VLOOKUP($F191,'Emission Factors 2'!$A$2:$E$302,2,FALSE)</f>
        <v>0</v>
      </c>
      <c r="AE191" s="68">
        <f>S191*VLOOKUP($F191,'Emission Factors 2'!$A$2:$E$302,2,FALSE)</f>
        <v>0</v>
      </c>
      <c r="AF191" s="19">
        <f t="shared" si="9"/>
        <v>0</v>
      </c>
      <c r="AG191" s="31"/>
      <c r="AH191" s="31"/>
      <c r="AI191" s="31"/>
      <c r="AJ191" s="31"/>
    </row>
    <row r="192" spans="1:36" ht="21.95" customHeight="1" outlineLevel="1" x14ac:dyDescent="0.25">
      <c r="A192" s="118"/>
      <c r="B192" s="133"/>
      <c r="C192" s="29"/>
      <c r="D192" s="27" t="s">
        <v>384</v>
      </c>
      <c r="E192" s="82" t="str">
        <f>'Index Formatting'!I$25</f>
        <v>O</v>
      </c>
      <c r="F192" s="7" t="s">
        <v>385</v>
      </c>
      <c r="G192" s="15" t="s">
        <v>295</v>
      </c>
      <c r="H192" s="67"/>
      <c r="I192" s="67"/>
      <c r="J192" s="67"/>
      <c r="K192" s="67"/>
      <c r="L192" s="67"/>
      <c r="M192" s="67"/>
      <c r="N192" s="67"/>
      <c r="O192" s="67"/>
      <c r="P192" s="67"/>
      <c r="Q192" s="67"/>
      <c r="R192" s="67"/>
      <c r="S192" s="67"/>
      <c r="T192" s="68">
        <f>H192*VLOOKUP($F192,'Emission Factors 2'!$A$2:$E$302,2,FALSE)</f>
        <v>0</v>
      </c>
      <c r="U192" s="68">
        <f>I192*VLOOKUP($F192,'Emission Factors 2'!$A$2:$E$302,2,FALSE)</f>
        <v>0</v>
      </c>
      <c r="V192" s="68">
        <f>J192*VLOOKUP($F192,'Emission Factors 2'!$A$2:$E$302,2,FALSE)</f>
        <v>0</v>
      </c>
      <c r="W192" s="68">
        <f>K192*VLOOKUP($F192,'Emission Factors 2'!$A$2:$E$302,2,FALSE)</f>
        <v>0</v>
      </c>
      <c r="X192" s="68">
        <f>L192*VLOOKUP($F192,'Emission Factors 2'!$A$2:$E$302,2,FALSE)</f>
        <v>0</v>
      </c>
      <c r="Y192" s="68">
        <f>M192*VLOOKUP($F192,'Emission Factors 2'!$A$2:$E$302,2,FALSE)</f>
        <v>0</v>
      </c>
      <c r="Z192" s="68">
        <f>N192*VLOOKUP($F192,'Emission Factors 2'!$A$2:$E$302,2,FALSE)</f>
        <v>0</v>
      </c>
      <c r="AA192" s="68">
        <f>O192*VLOOKUP($F192,'Emission Factors 2'!$A$2:$E$302,2,FALSE)</f>
        <v>0</v>
      </c>
      <c r="AB192" s="68">
        <f>P192*VLOOKUP($F192,'Emission Factors 2'!$A$2:$E$302,2,FALSE)</f>
        <v>0</v>
      </c>
      <c r="AC192" s="68">
        <f>Q192*VLOOKUP($F192,'Emission Factors 2'!$A$2:$E$302,2,FALSE)</f>
        <v>0</v>
      </c>
      <c r="AD192" s="68">
        <f>R192*VLOOKUP($F192,'Emission Factors 2'!$A$2:$E$302,2,FALSE)</f>
        <v>0</v>
      </c>
      <c r="AE192" s="68">
        <f>S192*VLOOKUP($F192,'Emission Factors 2'!$A$2:$E$302,2,FALSE)</f>
        <v>0</v>
      </c>
      <c r="AF192" s="19">
        <f t="shared" si="9"/>
        <v>0</v>
      </c>
      <c r="AG192" s="31"/>
      <c r="AH192" s="31"/>
      <c r="AI192" s="31"/>
      <c r="AJ192" s="31"/>
    </row>
    <row r="193" spans="1:36" ht="21.95" customHeight="1" outlineLevel="1" x14ac:dyDescent="0.25">
      <c r="A193" s="118"/>
      <c r="B193" s="133"/>
      <c r="C193" s="29"/>
      <c r="D193" s="27" t="s">
        <v>384</v>
      </c>
      <c r="E193" s="82" t="str">
        <f>'Index Formatting'!I$25</f>
        <v>O</v>
      </c>
      <c r="F193" s="7" t="s">
        <v>386</v>
      </c>
      <c r="G193" s="15" t="s">
        <v>295</v>
      </c>
      <c r="H193" s="67"/>
      <c r="I193" s="67"/>
      <c r="J193" s="67"/>
      <c r="K193" s="67"/>
      <c r="L193" s="67"/>
      <c r="M193" s="67"/>
      <c r="N193" s="67"/>
      <c r="O193" s="67"/>
      <c r="P193" s="67"/>
      <c r="Q193" s="67"/>
      <c r="R193" s="67"/>
      <c r="S193" s="67"/>
      <c r="T193" s="68">
        <f>H193*VLOOKUP($F193,'Emission Factors 2'!$A$2:$E$302,2,FALSE)</f>
        <v>0</v>
      </c>
      <c r="U193" s="68">
        <f>I193*VLOOKUP($F193,'Emission Factors 2'!$A$2:$E$302,2,FALSE)</f>
        <v>0</v>
      </c>
      <c r="V193" s="68">
        <f>J193*VLOOKUP($F193,'Emission Factors 2'!$A$2:$E$302,2,FALSE)</f>
        <v>0</v>
      </c>
      <c r="W193" s="68">
        <f>K193*VLOOKUP($F193,'Emission Factors 2'!$A$2:$E$302,2,FALSE)</f>
        <v>0</v>
      </c>
      <c r="X193" s="68">
        <f>L193*VLOOKUP($F193,'Emission Factors 2'!$A$2:$E$302,2,FALSE)</f>
        <v>0</v>
      </c>
      <c r="Y193" s="68">
        <f>M193*VLOOKUP($F193,'Emission Factors 2'!$A$2:$E$302,2,FALSE)</f>
        <v>0</v>
      </c>
      <c r="Z193" s="68">
        <f>N193*VLOOKUP($F193,'Emission Factors 2'!$A$2:$E$302,2,FALSE)</f>
        <v>0</v>
      </c>
      <c r="AA193" s="68">
        <f>O193*VLOOKUP($F193,'Emission Factors 2'!$A$2:$E$302,2,FALSE)</f>
        <v>0</v>
      </c>
      <c r="AB193" s="68">
        <f>P193*VLOOKUP($F193,'Emission Factors 2'!$A$2:$E$302,2,FALSE)</f>
        <v>0</v>
      </c>
      <c r="AC193" s="68">
        <f>Q193*VLOOKUP($F193,'Emission Factors 2'!$A$2:$E$302,2,FALSE)</f>
        <v>0</v>
      </c>
      <c r="AD193" s="68">
        <f>R193*VLOOKUP($F193,'Emission Factors 2'!$A$2:$E$302,2,FALSE)</f>
        <v>0</v>
      </c>
      <c r="AE193" s="68">
        <f>S193*VLOOKUP($F193,'Emission Factors 2'!$A$2:$E$302,2,FALSE)</f>
        <v>0</v>
      </c>
      <c r="AF193" s="19">
        <f t="shared" si="9"/>
        <v>0</v>
      </c>
      <c r="AG193" s="31"/>
      <c r="AH193" s="31"/>
      <c r="AI193" s="31"/>
      <c r="AJ193" s="31"/>
    </row>
    <row r="194" spans="1:36" ht="21.95" customHeight="1" outlineLevel="1" x14ac:dyDescent="0.25">
      <c r="A194" s="118"/>
      <c r="B194" s="133"/>
      <c r="C194" s="29"/>
      <c r="D194" s="27" t="s">
        <v>384</v>
      </c>
      <c r="E194" s="82" t="str">
        <f>'Index Formatting'!I$25</f>
        <v>O</v>
      </c>
      <c r="F194" s="7" t="s">
        <v>937</v>
      </c>
      <c r="G194" s="15" t="s">
        <v>295</v>
      </c>
      <c r="H194" s="67"/>
      <c r="I194" s="67"/>
      <c r="J194" s="67"/>
      <c r="K194" s="67"/>
      <c r="L194" s="67"/>
      <c r="M194" s="67"/>
      <c r="N194" s="67"/>
      <c r="O194" s="67"/>
      <c r="P194" s="67"/>
      <c r="Q194" s="67"/>
      <c r="R194" s="67"/>
      <c r="S194" s="67"/>
      <c r="T194" s="68">
        <f>H194*VLOOKUP($F194,'Emission Factors 2'!$A$2:$E$314,2,FALSE)</f>
        <v>0</v>
      </c>
      <c r="U194" s="68">
        <f>I194*VLOOKUP($F194,'Emission Factors 2'!$A$2:$E$314,2,FALSE)</f>
        <v>0</v>
      </c>
      <c r="V194" s="68">
        <f>J194*VLOOKUP($F194,'Emission Factors 2'!$A$2:$E$314,2,FALSE)</f>
        <v>0</v>
      </c>
      <c r="W194" s="68">
        <f>K194*VLOOKUP($F194,'Emission Factors 2'!$A$2:$E$314,2,FALSE)</f>
        <v>0</v>
      </c>
      <c r="X194" s="68">
        <f>L194*VLOOKUP($F194,'Emission Factors 2'!$A$2:$E$314,2,FALSE)</f>
        <v>0</v>
      </c>
      <c r="Y194" s="68">
        <f>M194*VLOOKUP($F194,'Emission Factors 2'!$A$2:$E$314,2,FALSE)</f>
        <v>0</v>
      </c>
      <c r="Z194" s="68">
        <f>N194*VLOOKUP($F194,'Emission Factors 2'!$A$2:$E$314,2,FALSE)</f>
        <v>0</v>
      </c>
      <c r="AA194" s="68">
        <f>O194*VLOOKUP($F194,'Emission Factors 2'!$A$2:$E$314,2,FALSE)</f>
        <v>0</v>
      </c>
      <c r="AB194" s="68">
        <f>P194*VLOOKUP($F194,'Emission Factors 2'!$A$2:$E$314,2,FALSE)</f>
        <v>0</v>
      </c>
      <c r="AC194" s="68">
        <f>Q194*VLOOKUP($F194,'Emission Factors 2'!$A$2:$E$314,2,FALSE)</f>
        <v>0</v>
      </c>
      <c r="AD194" s="68">
        <f>R194*VLOOKUP($F194,'Emission Factors 2'!$A$2:$E$314,2,FALSE)</f>
        <v>0</v>
      </c>
      <c r="AE194" s="68">
        <f>S194*VLOOKUP($F194,'Emission Factors 2'!$A$2:$E$314,2,FALSE)</f>
        <v>0</v>
      </c>
      <c r="AF194" s="19">
        <f t="shared" si="9"/>
        <v>0</v>
      </c>
      <c r="AG194" s="31"/>
      <c r="AH194" s="31"/>
      <c r="AI194" s="31"/>
      <c r="AJ194" s="31"/>
    </row>
    <row r="195" spans="1:36" ht="21.95" customHeight="1" outlineLevel="1" x14ac:dyDescent="0.25">
      <c r="A195" s="118"/>
      <c r="B195" s="133"/>
      <c r="C195" s="29"/>
      <c r="D195" s="27" t="s">
        <v>387</v>
      </c>
      <c r="E195" s="82" t="str">
        <f>'Index Formatting'!I$25</f>
        <v>O</v>
      </c>
      <c r="F195" s="7" t="s">
        <v>388</v>
      </c>
      <c r="G195" s="15" t="s">
        <v>295</v>
      </c>
      <c r="H195" s="67"/>
      <c r="I195" s="67"/>
      <c r="J195" s="67"/>
      <c r="K195" s="67"/>
      <c r="L195" s="67"/>
      <c r="M195" s="67"/>
      <c r="N195" s="67"/>
      <c r="O195" s="67"/>
      <c r="P195" s="67"/>
      <c r="Q195" s="67"/>
      <c r="R195" s="67"/>
      <c r="S195" s="67"/>
      <c r="T195" s="68">
        <f>H195*VLOOKUP($F195,'Emission Factors 2'!$A$2:$E$302,2,FALSE)</f>
        <v>0</v>
      </c>
      <c r="U195" s="68">
        <f>I195*VLOOKUP($F195,'Emission Factors 2'!$A$2:$E$302,2,FALSE)</f>
        <v>0</v>
      </c>
      <c r="V195" s="68">
        <f>J195*VLOOKUP($F195,'Emission Factors 2'!$A$2:$E$302,2,FALSE)</f>
        <v>0</v>
      </c>
      <c r="W195" s="68">
        <f>K195*VLOOKUP($F195,'Emission Factors 2'!$A$2:$E$302,2,FALSE)</f>
        <v>0</v>
      </c>
      <c r="X195" s="68">
        <f>L195*VLOOKUP($F195,'Emission Factors 2'!$A$2:$E$302,2,FALSE)</f>
        <v>0</v>
      </c>
      <c r="Y195" s="68">
        <f>M195*VLOOKUP($F195,'Emission Factors 2'!$A$2:$E$302,2,FALSE)</f>
        <v>0</v>
      </c>
      <c r="Z195" s="68">
        <f>N195*VLOOKUP($F195,'Emission Factors 2'!$A$2:$E$302,2,FALSE)</f>
        <v>0</v>
      </c>
      <c r="AA195" s="68">
        <f>O195*VLOOKUP($F195,'Emission Factors 2'!$A$2:$E$302,2,FALSE)</f>
        <v>0</v>
      </c>
      <c r="AB195" s="68">
        <f>P195*VLOOKUP($F195,'Emission Factors 2'!$A$2:$E$302,2,FALSE)</f>
        <v>0</v>
      </c>
      <c r="AC195" s="68">
        <f>Q195*VLOOKUP($F195,'Emission Factors 2'!$A$2:$E$302,2,FALSE)</f>
        <v>0</v>
      </c>
      <c r="AD195" s="68">
        <f>R195*VLOOKUP($F195,'Emission Factors 2'!$A$2:$E$302,2,FALSE)</f>
        <v>0</v>
      </c>
      <c r="AE195" s="68">
        <f>S195*VLOOKUP($F195,'Emission Factors 2'!$A$2:$E$302,2,FALSE)</f>
        <v>0</v>
      </c>
      <c r="AF195" s="19">
        <f t="shared" si="9"/>
        <v>0</v>
      </c>
      <c r="AG195" s="31"/>
      <c r="AH195" s="31"/>
      <c r="AI195" s="31"/>
      <c r="AJ195" s="31"/>
    </row>
    <row r="196" spans="1:36" ht="21.95" customHeight="1" outlineLevel="1" x14ac:dyDescent="0.25">
      <c r="A196" s="118"/>
      <c r="B196" s="133"/>
      <c r="C196" s="29"/>
      <c r="D196" s="27" t="s">
        <v>387</v>
      </c>
      <c r="E196" s="82" t="str">
        <f>'Index Formatting'!I$25</f>
        <v>O</v>
      </c>
      <c r="F196" s="7" t="s">
        <v>389</v>
      </c>
      <c r="G196" s="15" t="s">
        <v>295</v>
      </c>
      <c r="H196" s="67"/>
      <c r="I196" s="67"/>
      <c r="J196" s="67"/>
      <c r="K196" s="67"/>
      <c r="L196" s="67"/>
      <c r="M196" s="67"/>
      <c r="N196" s="67"/>
      <c r="O196" s="67"/>
      <c r="P196" s="67"/>
      <c r="Q196" s="67"/>
      <c r="R196" s="67"/>
      <c r="S196" s="67"/>
      <c r="T196" s="68">
        <f>H196*VLOOKUP($F196,'Emission Factors 2'!$A$2:$E$302,2,FALSE)</f>
        <v>0</v>
      </c>
      <c r="U196" s="68">
        <f>I196*VLOOKUP($F196,'Emission Factors 2'!$A$2:$E$302,2,FALSE)</f>
        <v>0</v>
      </c>
      <c r="V196" s="68">
        <f>J196*VLOOKUP($F196,'Emission Factors 2'!$A$2:$E$302,2,FALSE)</f>
        <v>0</v>
      </c>
      <c r="W196" s="68">
        <f>K196*VLOOKUP($F196,'Emission Factors 2'!$A$2:$E$302,2,FALSE)</f>
        <v>0</v>
      </c>
      <c r="X196" s="68">
        <f>L196*VLOOKUP($F196,'Emission Factors 2'!$A$2:$E$302,2,FALSE)</f>
        <v>0</v>
      </c>
      <c r="Y196" s="68">
        <f>M196*VLOOKUP($F196,'Emission Factors 2'!$A$2:$E$302,2,FALSE)</f>
        <v>0</v>
      </c>
      <c r="Z196" s="68">
        <f>N196*VLOOKUP($F196,'Emission Factors 2'!$A$2:$E$302,2,FALSE)</f>
        <v>0</v>
      </c>
      <c r="AA196" s="68">
        <f>O196*VLOOKUP($F196,'Emission Factors 2'!$A$2:$E$302,2,FALSE)</f>
        <v>0</v>
      </c>
      <c r="AB196" s="68">
        <f>P196*VLOOKUP($F196,'Emission Factors 2'!$A$2:$E$302,2,FALSE)</f>
        <v>0</v>
      </c>
      <c r="AC196" s="68">
        <f>Q196*VLOOKUP($F196,'Emission Factors 2'!$A$2:$E$302,2,FALSE)</f>
        <v>0</v>
      </c>
      <c r="AD196" s="68">
        <f>R196*VLOOKUP($F196,'Emission Factors 2'!$A$2:$E$302,2,FALSE)</f>
        <v>0</v>
      </c>
      <c r="AE196" s="68">
        <f>S196*VLOOKUP($F196,'Emission Factors 2'!$A$2:$E$302,2,FALSE)</f>
        <v>0</v>
      </c>
      <c r="AF196" s="19">
        <f t="shared" si="9"/>
        <v>0</v>
      </c>
      <c r="AG196" s="31"/>
      <c r="AH196" s="31"/>
      <c r="AI196" s="31"/>
      <c r="AJ196" s="31"/>
    </row>
    <row r="197" spans="1:36" ht="21.95" customHeight="1" x14ac:dyDescent="0.25">
      <c r="A197" s="130" t="str">
        <f>IF(COUNTIF(E199:E220,"M"),"Street Furniture", "Street Furniture (Optional)")</f>
        <v>Street Furniture (Optional)</v>
      </c>
      <c r="B197" s="131"/>
      <c r="C197" s="131"/>
      <c r="D197" s="131"/>
      <c r="E197" s="131"/>
      <c r="F197" s="131"/>
      <c r="G197" s="132"/>
      <c r="H197" s="137"/>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9">
        <f>SUM(AF198,AF206)</f>
        <v>0</v>
      </c>
      <c r="AG197" s="31"/>
      <c r="AH197" s="31"/>
      <c r="AI197" s="31"/>
      <c r="AJ197" s="31"/>
    </row>
    <row r="198" spans="1:36" ht="21.95" customHeight="1" x14ac:dyDescent="0.25">
      <c r="A198" s="130" t="str">
        <f>IF(COUNTIF(E199:E205,"M"),"Street Furniture - Second Order", "Street Furniture - Second Order (Optional)")</f>
        <v>Street Furniture - Second Order (Optional)</v>
      </c>
      <c r="B198" s="131"/>
      <c r="C198" s="131"/>
      <c r="D198" s="131"/>
      <c r="E198" s="131"/>
      <c r="F198" s="131"/>
      <c r="G198" s="132"/>
      <c r="H198" s="137"/>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9">
        <f>SUM(AF199:AF205)</f>
        <v>0</v>
      </c>
      <c r="AG198" s="31"/>
      <c r="AH198" s="31"/>
      <c r="AI198" s="31"/>
      <c r="AJ198" s="31"/>
    </row>
    <row r="199" spans="1:36" ht="21.95" customHeight="1" outlineLevel="1" x14ac:dyDescent="0.25">
      <c r="A199" s="101">
        <v>11</v>
      </c>
      <c r="B199" s="104" t="s">
        <v>390</v>
      </c>
      <c r="C199" s="29"/>
      <c r="D199" s="27" t="s">
        <v>392</v>
      </c>
      <c r="E199" s="82" t="str">
        <f>'Index Formatting'!I$26</f>
        <v>O</v>
      </c>
      <c r="F199" s="7" t="s">
        <v>393</v>
      </c>
      <c r="G199" s="15" t="s">
        <v>295</v>
      </c>
      <c r="H199" s="67"/>
      <c r="I199" s="67"/>
      <c r="J199" s="67"/>
      <c r="K199" s="67"/>
      <c r="L199" s="67"/>
      <c r="M199" s="67"/>
      <c r="N199" s="67"/>
      <c r="O199" s="67"/>
      <c r="P199" s="67"/>
      <c r="Q199" s="67"/>
      <c r="R199" s="67"/>
      <c r="S199" s="67"/>
      <c r="T199" s="68">
        <f>H199*VLOOKUP($F199,'Emission Factors 2'!$A$2:$E$302,2,FALSE)</f>
        <v>0</v>
      </c>
      <c r="U199" s="68">
        <f>I199*VLOOKUP($F199,'Emission Factors 2'!$A$2:$E$302,2,FALSE)</f>
        <v>0</v>
      </c>
      <c r="V199" s="68">
        <f>J199*VLOOKUP($F199,'Emission Factors 2'!$A$2:$E$302,2,FALSE)</f>
        <v>0</v>
      </c>
      <c r="W199" s="68">
        <f>K199*VLOOKUP($F199,'Emission Factors 2'!$A$2:$E$302,2,FALSE)</f>
        <v>0</v>
      </c>
      <c r="X199" s="68">
        <f>L199*VLOOKUP($F199,'Emission Factors 2'!$A$2:$E$302,2,FALSE)</f>
        <v>0</v>
      </c>
      <c r="Y199" s="68">
        <f>M199*VLOOKUP($F199,'Emission Factors 2'!$A$2:$E$302,2,FALSE)</f>
        <v>0</v>
      </c>
      <c r="Z199" s="68">
        <f>N199*VLOOKUP($F199,'Emission Factors 2'!$A$2:$E$302,2,FALSE)</f>
        <v>0</v>
      </c>
      <c r="AA199" s="68">
        <f>O199*VLOOKUP($F199,'Emission Factors 2'!$A$2:$E$302,2,FALSE)</f>
        <v>0</v>
      </c>
      <c r="AB199" s="68">
        <f>P199*VLOOKUP($F199,'Emission Factors 2'!$A$2:$E$302,2,FALSE)</f>
        <v>0</v>
      </c>
      <c r="AC199" s="68">
        <f>Q199*VLOOKUP($F199,'Emission Factors 2'!$A$2:$E$302,2,FALSE)</f>
        <v>0</v>
      </c>
      <c r="AD199" s="68">
        <f>R199*VLOOKUP($F199,'Emission Factors 2'!$A$2:$E$302,2,FALSE)</f>
        <v>0</v>
      </c>
      <c r="AE199" s="68">
        <f>S199*VLOOKUP($F199,'Emission Factors 2'!$A$2:$E$302,2,FALSE)</f>
        <v>0</v>
      </c>
      <c r="AF199" s="19">
        <f t="shared" ref="AF199:AF255" si="10">IF($H$2="Total", T199, SUM(T199:AE199))</f>
        <v>0</v>
      </c>
      <c r="AG199" s="31"/>
      <c r="AH199" s="31"/>
      <c r="AI199" s="31"/>
      <c r="AJ199" s="31"/>
    </row>
    <row r="200" spans="1:36" ht="21.95" customHeight="1" outlineLevel="1" x14ac:dyDescent="0.25">
      <c r="A200" s="102"/>
      <c r="B200" s="105"/>
      <c r="C200" s="29"/>
      <c r="D200" s="27" t="s">
        <v>392</v>
      </c>
      <c r="E200" s="82" t="str">
        <f>'Index Formatting'!I$26</f>
        <v>O</v>
      </c>
      <c r="F200" s="7" t="s">
        <v>394</v>
      </c>
      <c r="G200" s="15" t="s">
        <v>295</v>
      </c>
      <c r="H200" s="67"/>
      <c r="I200" s="67"/>
      <c r="J200" s="67"/>
      <c r="K200" s="67"/>
      <c r="L200" s="67"/>
      <c r="M200" s="67"/>
      <c r="N200" s="67"/>
      <c r="O200" s="67"/>
      <c r="P200" s="67"/>
      <c r="Q200" s="67"/>
      <c r="R200" s="67"/>
      <c r="S200" s="67"/>
      <c r="T200" s="68">
        <f>H200*VLOOKUP($F200,'Emission Factors 2'!$A$2:$E$302,2,FALSE)</f>
        <v>0</v>
      </c>
      <c r="U200" s="68">
        <f>I200*VLOOKUP($F200,'Emission Factors 2'!$A$2:$E$302,2,FALSE)</f>
        <v>0</v>
      </c>
      <c r="V200" s="68">
        <f>J200*VLOOKUP($F200,'Emission Factors 2'!$A$2:$E$302,2,FALSE)</f>
        <v>0</v>
      </c>
      <c r="W200" s="68">
        <f>K200*VLOOKUP($F200,'Emission Factors 2'!$A$2:$E$302,2,FALSE)</f>
        <v>0</v>
      </c>
      <c r="X200" s="68">
        <f>L200*VLOOKUP($F200,'Emission Factors 2'!$A$2:$E$302,2,FALSE)</f>
        <v>0</v>
      </c>
      <c r="Y200" s="68">
        <f>M200*VLOOKUP($F200,'Emission Factors 2'!$A$2:$E$302,2,FALSE)</f>
        <v>0</v>
      </c>
      <c r="Z200" s="68">
        <f>N200*VLOOKUP($F200,'Emission Factors 2'!$A$2:$E$302,2,FALSE)</f>
        <v>0</v>
      </c>
      <c r="AA200" s="68">
        <f>O200*VLOOKUP($F200,'Emission Factors 2'!$A$2:$E$302,2,FALSE)</f>
        <v>0</v>
      </c>
      <c r="AB200" s="68">
        <f>P200*VLOOKUP($F200,'Emission Factors 2'!$A$2:$E$302,2,FALSE)</f>
        <v>0</v>
      </c>
      <c r="AC200" s="68">
        <f>Q200*VLOOKUP($F200,'Emission Factors 2'!$A$2:$E$302,2,FALSE)</f>
        <v>0</v>
      </c>
      <c r="AD200" s="68">
        <f>R200*VLOOKUP($F200,'Emission Factors 2'!$A$2:$E$302,2,FALSE)</f>
        <v>0</v>
      </c>
      <c r="AE200" s="68">
        <f>S200*VLOOKUP($F200,'Emission Factors 2'!$A$2:$E$302,2,FALSE)</f>
        <v>0</v>
      </c>
      <c r="AF200" s="19">
        <f t="shared" si="10"/>
        <v>0</v>
      </c>
      <c r="AG200" s="31"/>
      <c r="AH200" s="31"/>
      <c r="AI200" s="31"/>
      <c r="AJ200" s="31"/>
    </row>
    <row r="201" spans="1:36" ht="21.95" customHeight="1" outlineLevel="1" x14ac:dyDescent="0.25">
      <c r="A201" s="102"/>
      <c r="B201" s="105"/>
      <c r="C201" s="29"/>
      <c r="D201" s="27" t="s">
        <v>392</v>
      </c>
      <c r="E201" s="82" t="str">
        <f>'Index Formatting'!I$26</f>
        <v>O</v>
      </c>
      <c r="F201" s="7" t="s">
        <v>395</v>
      </c>
      <c r="G201" s="15" t="s">
        <v>295</v>
      </c>
      <c r="H201" s="67"/>
      <c r="I201" s="67"/>
      <c r="J201" s="67"/>
      <c r="K201" s="67"/>
      <c r="L201" s="67"/>
      <c r="M201" s="67"/>
      <c r="N201" s="67"/>
      <c r="O201" s="67"/>
      <c r="P201" s="67"/>
      <c r="Q201" s="67"/>
      <c r="R201" s="67"/>
      <c r="S201" s="67"/>
      <c r="T201" s="68">
        <f>H201*VLOOKUP($F201,'Emission Factors 2'!$A$2:$E$302,2,FALSE)</f>
        <v>0</v>
      </c>
      <c r="U201" s="68">
        <f>I201*VLOOKUP($F201,'Emission Factors 2'!$A$2:$E$302,2,FALSE)</f>
        <v>0</v>
      </c>
      <c r="V201" s="68">
        <f>J201*VLOOKUP($F201,'Emission Factors 2'!$A$2:$E$302,2,FALSE)</f>
        <v>0</v>
      </c>
      <c r="W201" s="68">
        <f>K201*VLOOKUP($F201,'Emission Factors 2'!$A$2:$E$302,2,FALSE)</f>
        <v>0</v>
      </c>
      <c r="X201" s="68">
        <f>L201*VLOOKUP($F201,'Emission Factors 2'!$A$2:$E$302,2,FALSE)</f>
        <v>0</v>
      </c>
      <c r="Y201" s="68">
        <f>M201*VLOOKUP($F201,'Emission Factors 2'!$A$2:$E$302,2,FALSE)</f>
        <v>0</v>
      </c>
      <c r="Z201" s="68">
        <f>N201*VLOOKUP($F201,'Emission Factors 2'!$A$2:$E$302,2,FALSE)</f>
        <v>0</v>
      </c>
      <c r="AA201" s="68">
        <f>O201*VLOOKUP($F201,'Emission Factors 2'!$A$2:$E$302,2,FALSE)</f>
        <v>0</v>
      </c>
      <c r="AB201" s="68">
        <f>P201*VLOOKUP($F201,'Emission Factors 2'!$A$2:$E$302,2,FALSE)</f>
        <v>0</v>
      </c>
      <c r="AC201" s="68">
        <f>Q201*VLOOKUP($F201,'Emission Factors 2'!$A$2:$E$302,2,FALSE)</f>
        <v>0</v>
      </c>
      <c r="AD201" s="68">
        <f>R201*VLOOKUP($F201,'Emission Factors 2'!$A$2:$E$302,2,FALSE)</f>
        <v>0</v>
      </c>
      <c r="AE201" s="68">
        <f>S201*VLOOKUP($F201,'Emission Factors 2'!$A$2:$E$302,2,FALSE)</f>
        <v>0</v>
      </c>
      <c r="AF201" s="19">
        <f t="shared" si="10"/>
        <v>0</v>
      </c>
      <c r="AG201" s="31"/>
      <c r="AH201" s="31"/>
      <c r="AI201" s="31"/>
      <c r="AJ201" s="31"/>
    </row>
    <row r="202" spans="1:36" ht="21.95" customHeight="1" outlineLevel="1" x14ac:dyDescent="0.25">
      <c r="A202" s="102"/>
      <c r="B202" s="105"/>
      <c r="C202" s="29"/>
      <c r="D202" s="27" t="s">
        <v>396</v>
      </c>
      <c r="E202" s="82" t="str">
        <f>'Index Formatting'!I$26</f>
        <v>O</v>
      </c>
      <c r="F202" s="7" t="s">
        <v>397</v>
      </c>
      <c r="G202" s="15" t="s">
        <v>295</v>
      </c>
      <c r="H202" s="67"/>
      <c r="I202" s="67"/>
      <c r="J202" s="67"/>
      <c r="K202" s="67"/>
      <c r="L202" s="67"/>
      <c r="M202" s="67"/>
      <c r="N202" s="67"/>
      <c r="O202" s="67"/>
      <c r="P202" s="67"/>
      <c r="Q202" s="67"/>
      <c r="R202" s="67"/>
      <c r="S202" s="67"/>
      <c r="T202" s="68">
        <f>H202*VLOOKUP($F202,'Emission Factors 2'!$A$2:$E$302,2,FALSE)</f>
        <v>0</v>
      </c>
      <c r="U202" s="68">
        <f>I202*VLOOKUP($F202,'Emission Factors 2'!$A$2:$E$302,2,FALSE)</f>
        <v>0</v>
      </c>
      <c r="V202" s="68">
        <f>J202*VLOOKUP($F202,'Emission Factors 2'!$A$2:$E$302,2,FALSE)</f>
        <v>0</v>
      </c>
      <c r="W202" s="68">
        <f>K202*VLOOKUP($F202,'Emission Factors 2'!$A$2:$E$302,2,FALSE)</f>
        <v>0</v>
      </c>
      <c r="X202" s="68">
        <f>L202*VLOOKUP($F202,'Emission Factors 2'!$A$2:$E$302,2,FALSE)</f>
        <v>0</v>
      </c>
      <c r="Y202" s="68">
        <f>M202*VLOOKUP($F202,'Emission Factors 2'!$A$2:$E$302,2,FALSE)</f>
        <v>0</v>
      </c>
      <c r="Z202" s="68">
        <f>N202*VLOOKUP($F202,'Emission Factors 2'!$A$2:$E$302,2,FALSE)</f>
        <v>0</v>
      </c>
      <c r="AA202" s="68">
        <f>O202*VLOOKUP($F202,'Emission Factors 2'!$A$2:$E$302,2,FALSE)</f>
        <v>0</v>
      </c>
      <c r="AB202" s="68">
        <f>P202*VLOOKUP($F202,'Emission Factors 2'!$A$2:$E$302,2,FALSE)</f>
        <v>0</v>
      </c>
      <c r="AC202" s="68">
        <f>Q202*VLOOKUP($F202,'Emission Factors 2'!$A$2:$E$302,2,FALSE)</f>
        <v>0</v>
      </c>
      <c r="AD202" s="68">
        <f>R202*VLOOKUP($F202,'Emission Factors 2'!$A$2:$E$302,2,FALSE)</f>
        <v>0</v>
      </c>
      <c r="AE202" s="68">
        <f>S202*VLOOKUP($F202,'Emission Factors 2'!$A$2:$E$302,2,FALSE)</f>
        <v>0</v>
      </c>
      <c r="AF202" s="19">
        <f t="shared" si="10"/>
        <v>0</v>
      </c>
      <c r="AG202" s="31"/>
      <c r="AH202" s="31"/>
      <c r="AI202" s="31"/>
      <c r="AJ202" s="31"/>
    </row>
    <row r="203" spans="1:36" ht="21.95" customHeight="1" outlineLevel="1" x14ac:dyDescent="0.25">
      <c r="A203" s="102"/>
      <c r="B203" s="105"/>
      <c r="C203" s="29"/>
      <c r="D203" s="27" t="s">
        <v>396</v>
      </c>
      <c r="E203" s="82" t="str">
        <f>'Index Formatting'!I$26</f>
        <v>O</v>
      </c>
      <c r="F203" s="7" t="s">
        <v>398</v>
      </c>
      <c r="G203" s="15" t="s">
        <v>295</v>
      </c>
      <c r="H203" s="67"/>
      <c r="I203" s="67"/>
      <c r="J203" s="67"/>
      <c r="K203" s="67"/>
      <c r="L203" s="67"/>
      <c r="M203" s="67"/>
      <c r="N203" s="67"/>
      <c r="O203" s="67"/>
      <c r="P203" s="67"/>
      <c r="Q203" s="67"/>
      <c r="R203" s="67"/>
      <c r="S203" s="67"/>
      <c r="T203" s="68">
        <f>H203*VLOOKUP($F203,'Emission Factors 2'!$A$2:$E$302,2,FALSE)</f>
        <v>0</v>
      </c>
      <c r="U203" s="68">
        <f>I203*VLOOKUP($F203,'Emission Factors 2'!$A$2:$E$302,2,FALSE)</f>
        <v>0</v>
      </c>
      <c r="V203" s="68">
        <f>J203*VLOOKUP($F203,'Emission Factors 2'!$A$2:$E$302,2,FALSE)</f>
        <v>0</v>
      </c>
      <c r="W203" s="68">
        <f>K203*VLOOKUP($F203,'Emission Factors 2'!$A$2:$E$302,2,FALSE)</f>
        <v>0</v>
      </c>
      <c r="X203" s="68">
        <f>L203*VLOOKUP($F203,'Emission Factors 2'!$A$2:$E$302,2,FALSE)</f>
        <v>0</v>
      </c>
      <c r="Y203" s="68">
        <f>M203*VLOOKUP($F203,'Emission Factors 2'!$A$2:$E$302,2,FALSE)</f>
        <v>0</v>
      </c>
      <c r="Z203" s="68">
        <f>N203*VLOOKUP($F203,'Emission Factors 2'!$A$2:$E$302,2,FALSE)</f>
        <v>0</v>
      </c>
      <c r="AA203" s="68">
        <f>O203*VLOOKUP($F203,'Emission Factors 2'!$A$2:$E$302,2,FALSE)</f>
        <v>0</v>
      </c>
      <c r="AB203" s="68">
        <f>P203*VLOOKUP($F203,'Emission Factors 2'!$A$2:$E$302,2,FALSE)</f>
        <v>0</v>
      </c>
      <c r="AC203" s="68">
        <f>Q203*VLOOKUP($F203,'Emission Factors 2'!$A$2:$E$302,2,FALSE)</f>
        <v>0</v>
      </c>
      <c r="AD203" s="68">
        <f>R203*VLOOKUP($F203,'Emission Factors 2'!$A$2:$E$302,2,FALSE)</f>
        <v>0</v>
      </c>
      <c r="AE203" s="68">
        <f>S203*VLOOKUP($F203,'Emission Factors 2'!$A$2:$E$302,2,FALSE)</f>
        <v>0</v>
      </c>
      <c r="AF203" s="19">
        <f t="shared" si="10"/>
        <v>0</v>
      </c>
      <c r="AG203" s="31"/>
      <c r="AH203" s="31"/>
      <c r="AI203" s="31"/>
      <c r="AJ203" s="31"/>
    </row>
    <row r="204" spans="1:36" ht="21.95" customHeight="1" outlineLevel="1" x14ac:dyDescent="0.25">
      <c r="A204" s="102"/>
      <c r="B204" s="105"/>
      <c r="C204" s="29"/>
      <c r="D204" s="27" t="s">
        <v>396</v>
      </c>
      <c r="E204" s="82" t="str">
        <f>'Index Formatting'!I$26</f>
        <v>O</v>
      </c>
      <c r="F204" s="7" t="s">
        <v>399</v>
      </c>
      <c r="G204" s="15" t="s">
        <v>295</v>
      </c>
      <c r="H204" s="67"/>
      <c r="I204" s="67"/>
      <c r="J204" s="67"/>
      <c r="K204" s="67"/>
      <c r="L204" s="67"/>
      <c r="M204" s="67"/>
      <c r="N204" s="67"/>
      <c r="O204" s="67"/>
      <c r="P204" s="67"/>
      <c r="Q204" s="67"/>
      <c r="R204" s="67"/>
      <c r="S204" s="67"/>
      <c r="T204" s="68">
        <f>H204*VLOOKUP($F204,'Emission Factors 2'!$A$2:$E$302,2,FALSE)</f>
        <v>0</v>
      </c>
      <c r="U204" s="68">
        <f>I204*VLOOKUP($F204,'Emission Factors 2'!$A$2:$E$302,2,FALSE)</f>
        <v>0</v>
      </c>
      <c r="V204" s="68">
        <f>J204*VLOOKUP($F204,'Emission Factors 2'!$A$2:$E$302,2,FALSE)</f>
        <v>0</v>
      </c>
      <c r="W204" s="68">
        <f>K204*VLOOKUP($F204,'Emission Factors 2'!$A$2:$E$302,2,FALSE)</f>
        <v>0</v>
      </c>
      <c r="X204" s="68">
        <f>L204*VLOOKUP($F204,'Emission Factors 2'!$A$2:$E$302,2,FALSE)</f>
        <v>0</v>
      </c>
      <c r="Y204" s="68">
        <f>M204*VLOOKUP($F204,'Emission Factors 2'!$A$2:$E$302,2,FALSE)</f>
        <v>0</v>
      </c>
      <c r="Z204" s="68">
        <f>N204*VLOOKUP($F204,'Emission Factors 2'!$A$2:$E$302,2,FALSE)</f>
        <v>0</v>
      </c>
      <c r="AA204" s="68">
        <f>O204*VLOOKUP($F204,'Emission Factors 2'!$A$2:$E$302,2,FALSE)</f>
        <v>0</v>
      </c>
      <c r="AB204" s="68">
        <f>P204*VLOOKUP($F204,'Emission Factors 2'!$A$2:$E$302,2,FALSE)</f>
        <v>0</v>
      </c>
      <c r="AC204" s="68">
        <f>Q204*VLOOKUP($F204,'Emission Factors 2'!$A$2:$E$302,2,FALSE)</f>
        <v>0</v>
      </c>
      <c r="AD204" s="68">
        <f>R204*VLOOKUP($F204,'Emission Factors 2'!$A$2:$E$302,2,FALSE)</f>
        <v>0</v>
      </c>
      <c r="AE204" s="68">
        <f>S204*VLOOKUP($F204,'Emission Factors 2'!$A$2:$E$302,2,FALSE)</f>
        <v>0</v>
      </c>
      <c r="AF204" s="19">
        <f t="shared" si="10"/>
        <v>0</v>
      </c>
      <c r="AG204" s="31"/>
      <c r="AH204" s="31"/>
      <c r="AI204" s="31"/>
      <c r="AJ204" s="31"/>
    </row>
    <row r="205" spans="1:36" ht="21.95" customHeight="1" outlineLevel="1" x14ac:dyDescent="0.25">
      <c r="A205" s="103"/>
      <c r="B205" s="106"/>
      <c r="C205" s="29"/>
      <c r="D205" s="27" t="s">
        <v>396</v>
      </c>
      <c r="E205" s="82" t="str">
        <f>'Index Formatting'!I$26</f>
        <v>O</v>
      </c>
      <c r="F205" s="7" t="s">
        <v>400</v>
      </c>
      <c r="G205" s="15" t="s">
        <v>295</v>
      </c>
      <c r="H205" s="67"/>
      <c r="I205" s="67"/>
      <c r="J205" s="67"/>
      <c r="K205" s="67"/>
      <c r="L205" s="67"/>
      <c r="M205" s="67"/>
      <c r="N205" s="67"/>
      <c r="O205" s="67"/>
      <c r="P205" s="67"/>
      <c r="Q205" s="67"/>
      <c r="R205" s="67"/>
      <c r="S205" s="67"/>
      <c r="T205" s="68">
        <f>H205*VLOOKUP($F205,'Emission Factors 2'!$A$2:$E$302,2,FALSE)</f>
        <v>0</v>
      </c>
      <c r="U205" s="68">
        <f>I205*VLOOKUP($F205,'Emission Factors 2'!$A$2:$E$302,2,FALSE)</f>
        <v>0</v>
      </c>
      <c r="V205" s="68">
        <f>J205*VLOOKUP($F205,'Emission Factors 2'!$A$2:$E$302,2,FALSE)</f>
        <v>0</v>
      </c>
      <c r="W205" s="68">
        <f>K205*VLOOKUP($F205,'Emission Factors 2'!$A$2:$E$302,2,FALSE)</f>
        <v>0</v>
      </c>
      <c r="X205" s="68">
        <f>L205*VLOOKUP($F205,'Emission Factors 2'!$A$2:$E$302,2,FALSE)</f>
        <v>0</v>
      </c>
      <c r="Y205" s="68">
        <f>M205*VLOOKUP($F205,'Emission Factors 2'!$A$2:$E$302,2,FALSE)</f>
        <v>0</v>
      </c>
      <c r="Z205" s="68">
        <f>N205*VLOOKUP($F205,'Emission Factors 2'!$A$2:$E$302,2,FALSE)</f>
        <v>0</v>
      </c>
      <c r="AA205" s="68">
        <f>O205*VLOOKUP($F205,'Emission Factors 2'!$A$2:$E$302,2,FALSE)</f>
        <v>0</v>
      </c>
      <c r="AB205" s="68">
        <f>P205*VLOOKUP($F205,'Emission Factors 2'!$A$2:$E$302,2,FALSE)</f>
        <v>0</v>
      </c>
      <c r="AC205" s="68">
        <f>Q205*VLOOKUP($F205,'Emission Factors 2'!$A$2:$E$302,2,FALSE)</f>
        <v>0</v>
      </c>
      <c r="AD205" s="68">
        <f>R205*VLOOKUP($F205,'Emission Factors 2'!$A$2:$E$302,2,FALSE)</f>
        <v>0</v>
      </c>
      <c r="AE205" s="68">
        <f>S205*VLOOKUP($F205,'Emission Factors 2'!$A$2:$E$302,2,FALSE)</f>
        <v>0</v>
      </c>
      <c r="AF205" s="19">
        <f t="shared" si="10"/>
        <v>0</v>
      </c>
      <c r="AG205" s="31"/>
      <c r="AH205" s="31"/>
      <c r="AI205" s="31"/>
      <c r="AJ205" s="31"/>
    </row>
    <row r="206" spans="1:36" ht="21.95" customHeight="1" x14ac:dyDescent="0.25">
      <c r="A206" s="130" t="str">
        <f>IF(COUNTIF(E207:E220,"M"),"Street Furniture - Third Order", "Street Furniture - Third Order (Optional)")</f>
        <v>Street Furniture - Third Order (Optional)</v>
      </c>
      <c r="B206" s="131"/>
      <c r="C206" s="131"/>
      <c r="D206" s="131"/>
      <c r="E206" s="131"/>
      <c r="F206" s="131"/>
      <c r="G206" s="132"/>
      <c r="H206" s="137"/>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9">
        <f>SUM(AF207:AF220)</f>
        <v>0</v>
      </c>
      <c r="AG206" s="31"/>
      <c r="AH206" s="31"/>
      <c r="AI206" s="31"/>
      <c r="AJ206" s="31"/>
    </row>
    <row r="207" spans="1:36" ht="21.95" customHeight="1" outlineLevel="1" x14ac:dyDescent="0.25">
      <c r="A207" s="101">
        <v>11</v>
      </c>
      <c r="B207" s="104" t="s">
        <v>390</v>
      </c>
      <c r="C207" s="29"/>
      <c r="D207" s="27" t="s">
        <v>325</v>
      </c>
      <c r="E207" s="82" t="str">
        <f>'Index Formatting'!I$27</f>
        <v>O</v>
      </c>
      <c r="F207" s="7" t="s">
        <v>326</v>
      </c>
      <c r="G207" s="15" t="s">
        <v>82</v>
      </c>
      <c r="H207" s="67"/>
      <c r="I207" s="67"/>
      <c r="J207" s="67"/>
      <c r="K207" s="67"/>
      <c r="L207" s="67"/>
      <c r="M207" s="67"/>
      <c r="N207" s="67"/>
      <c r="O207" s="67"/>
      <c r="P207" s="67"/>
      <c r="Q207" s="67"/>
      <c r="R207" s="67"/>
      <c r="S207" s="67"/>
      <c r="T207" s="68">
        <f>H207*VLOOKUP($F207,'Emission Factors 2'!$A$2:$E$302,2,FALSE)</f>
        <v>0</v>
      </c>
      <c r="U207" s="68">
        <f>I207*VLOOKUP($F207,'Emission Factors 2'!$A$2:$E$302,2,FALSE)</f>
        <v>0</v>
      </c>
      <c r="V207" s="68">
        <f>J207*VLOOKUP($F207,'Emission Factors 2'!$A$2:$E$302,2,FALSE)</f>
        <v>0</v>
      </c>
      <c r="W207" s="68">
        <f>K207*VLOOKUP($F207,'Emission Factors 2'!$A$2:$E$302,2,FALSE)</f>
        <v>0</v>
      </c>
      <c r="X207" s="68">
        <f>L207*VLOOKUP($F207,'Emission Factors 2'!$A$2:$E$302,2,FALSE)</f>
        <v>0</v>
      </c>
      <c r="Y207" s="68">
        <f>M207*VLOOKUP($F207,'Emission Factors 2'!$A$2:$E$302,2,FALSE)</f>
        <v>0</v>
      </c>
      <c r="Z207" s="68">
        <f>N207*VLOOKUP($F207,'Emission Factors 2'!$A$2:$E$302,2,FALSE)</f>
        <v>0</v>
      </c>
      <c r="AA207" s="68">
        <f>O207*VLOOKUP($F207,'Emission Factors 2'!$A$2:$E$302,2,FALSE)</f>
        <v>0</v>
      </c>
      <c r="AB207" s="68">
        <f>P207*VLOOKUP($F207,'Emission Factors 2'!$A$2:$E$302,2,FALSE)</f>
        <v>0</v>
      </c>
      <c r="AC207" s="68">
        <f>Q207*VLOOKUP($F207,'Emission Factors 2'!$A$2:$E$302,2,FALSE)</f>
        <v>0</v>
      </c>
      <c r="AD207" s="68">
        <f>R207*VLOOKUP($F207,'Emission Factors 2'!$A$2:$E$302,2,FALSE)</f>
        <v>0</v>
      </c>
      <c r="AE207" s="68">
        <f>S207*VLOOKUP($F207,'Emission Factors 2'!$A$2:$E$302,2,FALSE)</f>
        <v>0</v>
      </c>
      <c r="AF207" s="19">
        <f t="shared" si="10"/>
        <v>0</v>
      </c>
      <c r="AG207" s="31"/>
      <c r="AH207" s="31"/>
      <c r="AI207" s="31"/>
      <c r="AJ207" s="31"/>
    </row>
    <row r="208" spans="1:36" ht="21.95" customHeight="1" outlineLevel="1" x14ac:dyDescent="0.25">
      <c r="A208" s="102"/>
      <c r="B208" s="105"/>
      <c r="C208" s="29"/>
      <c r="D208" s="27" t="s">
        <v>325</v>
      </c>
      <c r="E208" s="82" t="str">
        <f>'Index Formatting'!I$27</f>
        <v>O</v>
      </c>
      <c r="F208" s="7" t="s">
        <v>327</v>
      </c>
      <c r="G208" s="15" t="s">
        <v>82</v>
      </c>
      <c r="H208" s="67"/>
      <c r="I208" s="67"/>
      <c r="J208" s="67"/>
      <c r="K208" s="67"/>
      <c r="L208" s="67"/>
      <c r="M208" s="67"/>
      <c r="N208" s="67"/>
      <c r="O208" s="67"/>
      <c r="P208" s="67"/>
      <c r="Q208" s="67"/>
      <c r="R208" s="67"/>
      <c r="S208" s="67"/>
      <c r="T208" s="68">
        <f>H208*VLOOKUP($F208,'Emission Factors 2'!$A$2:$E$302,2,FALSE)</f>
        <v>0</v>
      </c>
      <c r="U208" s="68">
        <f>I208*VLOOKUP($F208,'Emission Factors 2'!$A$2:$E$302,2,FALSE)</f>
        <v>0</v>
      </c>
      <c r="V208" s="68">
        <f>J208*VLOOKUP($F208,'Emission Factors 2'!$A$2:$E$302,2,FALSE)</f>
        <v>0</v>
      </c>
      <c r="W208" s="68">
        <f>K208*VLOOKUP($F208,'Emission Factors 2'!$A$2:$E$302,2,FALSE)</f>
        <v>0</v>
      </c>
      <c r="X208" s="68">
        <f>L208*VLOOKUP($F208,'Emission Factors 2'!$A$2:$E$302,2,FALSE)</f>
        <v>0</v>
      </c>
      <c r="Y208" s="68">
        <f>M208*VLOOKUP($F208,'Emission Factors 2'!$A$2:$E$302,2,FALSE)</f>
        <v>0</v>
      </c>
      <c r="Z208" s="68">
        <f>N208*VLOOKUP($F208,'Emission Factors 2'!$A$2:$E$302,2,FALSE)</f>
        <v>0</v>
      </c>
      <c r="AA208" s="68">
        <f>O208*VLOOKUP($F208,'Emission Factors 2'!$A$2:$E$302,2,FALSE)</f>
        <v>0</v>
      </c>
      <c r="AB208" s="68">
        <f>P208*VLOOKUP($F208,'Emission Factors 2'!$A$2:$E$302,2,FALSE)</f>
        <v>0</v>
      </c>
      <c r="AC208" s="68">
        <f>Q208*VLOOKUP($F208,'Emission Factors 2'!$A$2:$E$302,2,FALSE)</f>
        <v>0</v>
      </c>
      <c r="AD208" s="68">
        <f>R208*VLOOKUP($F208,'Emission Factors 2'!$A$2:$E$302,2,FALSE)</f>
        <v>0</v>
      </c>
      <c r="AE208" s="68">
        <f>S208*VLOOKUP($F208,'Emission Factors 2'!$A$2:$E$302,2,FALSE)</f>
        <v>0</v>
      </c>
      <c r="AF208" s="19">
        <f t="shared" si="10"/>
        <v>0</v>
      </c>
      <c r="AG208" s="31"/>
      <c r="AH208" s="31"/>
      <c r="AI208" s="31"/>
      <c r="AJ208" s="31"/>
    </row>
    <row r="209" spans="1:36" ht="21.95" customHeight="1" outlineLevel="1" x14ac:dyDescent="0.25">
      <c r="A209" s="102"/>
      <c r="B209" s="105"/>
      <c r="C209" s="29"/>
      <c r="D209" s="27" t="s">
        <v>325</v>
      </c>
      <c r="E209" s="82" t="str">
        <f>'Index Formatting'!I$27</f>
        <v>O</v>
      </c>
      <c r="F209" s="7" t="s">
        <v>328</v>
      </c>
      <c r="G209" s="15" t="s">
        <v>82</v>
      </c>
      <c r="H209" s="67"/>
      <c r="I209" s="67"/>
      <c r="J209" s="67"/>
      <c r="K209" s="67"/>
      <c r="L209" s="67"/>
      <c r="M209" s="67"/>
      <c r="N209" s="67"/>
      <c r="O209" s="67"/>
      <c r="P209" s="67"/>
      <c r="Q209" s="67"/>
      <c r="R209" s="67"/>
      <c r="S209" s="67"/>
      <c r="T209" s="68">
        <f>H209*VLOOKUP($F209,'Emission Factors 2'!$A$2:$E$302,2,FALSE)</f>
        <v>0</v>
      </c>
      <c r="U209" s="68">
        <f>I209*VLOOKUP($F209,'Emission Factors 2'!$A$2:$E$302,2,FALSE)</f>
        <v>0</v>
      </c>
      <c r="V209" s="68">
        <f>J209*VLOOKUP($F209,'Emission Factors 2'!$A$2:$E$302,2,FALSE)</f>
        <v>0</v>
      </c>
      <c r="W209" s="68">
        <f>K209*VLOOKUP($F209,'Emission Factors 2'!$A$2:$E$302,2,FALSE)</f>
        <v>0</v>
      </c>
      <c r="X209" s="68">
        <f>L209*VLOOKUP($F209,'Emission Factors 2'!$A$2:$E$302,2,FALSE)</f>
        <v>0</v>
      </c>
      <c r="Y209" s="68">
        <f>M209*VLOOKUP($F209,'Emission Factors 2'!$A$2:$E$302,2,FALSE)</f>
        <v>0</v>
      </c>
      <c r="Z209" s="68">
        <f>N209*VLOOKUP($F209,'Emission Factors 2'!$A$2:$E$302,2,FALSE)</f>
        <v>0</v>
      </c>
      <c r="AA209" s="68">
        <f>O209*VLOOKUP($F209,'Emission Factors 2'!$A$2:$E$302,2,FALSE)</f>
        <v>0</v>
      </c>
      <c r="AB209" s="68">
        <f>P209*VLOOKUP($F209,'Emission Factors 2'!$A$2:$E$302,2,FALSE)</f>
        <v>0</v>
      </c>
      <c r="AC209" s="68">
        <f>Q209*VLOOKUP($F209,'Emission Factors 2'!$A$2:$E$302,2,FALSE)</f>
        <v>0</v>
      </c>
      <c r="AD209" s="68">
        <f>R209*VLOOKUP($F209,'Emission Factors 2'!$A$2:$E$302,2,FALSE)</f>
        <v>0</v>
      </c>
      <c r="AE209" s="68">
        <f>S209*VLOOKUP($F209,'Emission Factors 2'!$A$2:$E$302,2,FALSE)</f>
        <v>0</v>
      </c>
      <c r="AF209" s="19">
        <f t="shared" si="10"/>
        <v>0</v>
      </c>
      <c r="AG209" s="31"/>
      <c r="AH209" s="31"/>
      <c r="AI209" s="31"/>
      <c r="AJ209" s="31"/>
    </row>
    <row r="210" spans="1:36" ht="21.95" customHeight="1" outlineLevel="1" x14ac:dyDescent="0.25">
      <c r="A210" s="102"/>
      <c r="B210" s="105"/>
      <c r="C210" s="29"/>
      <c r="D210" s="27" t="s">
        <v>325</v>
      </c>
      <c r="E210" s="82" t="str">
        <f>'Index Formatting'!I$27</f>
        <v>O</v>
      </c>
      <c r="F210" s="7" t="s">
        <v>329</v>
      </c>
      <c r="G210" s="15" t="s">
        <v>82</v>
      </c>
      <c r="H210" s="67"/>
      <c r="I210" s="67"/>
      <c r="J210" s="67"/>
      <c r="K210" s="67"/>
      <c r="L210" s="67"/>
      <c r="M210" s="67"/>
      <c r="N210" s="67"/>
      <c r="O210" s="67"/>
      <c r="P210" s="67"/>
      <c r="Q210" s="67"/>
      <c r="R210" s="67"/>
      <c r="S210" s="67"/>
      <c r="T210" s="68">
        <f>H210*VLOOKUP($F210,'Emission Factors 2'!$A$2:$E$302,2,FALSE)</f>
        <v>0</v>
      </c>
      <c r="U210" s="68">
        <f>I210*VLOOKUP($F210,'Emission Factors 2'!$A$2:$E$302,2,FALSE)</f>
        <v>0</v>
      </c>
      <c r="V210" s="68">
        <f>J210*VLOOKUP($F210,'Emission Factors 2'!$A$2:$E$302,2,FALSE)</f>
        <v>0</v>
      </c>
      <c r="W210" s="68">
        <f>K210*VLOOKUP($F210,'Emission Factors 2'!$A$2:$E$302,2,FALSE)</f>
        <v>0</v>
      </c>
      <c r="X210" s="68">
        <f>L210*VLOOKUP($F210,'Emission Factors 2'!$A$2:$E$302,2,FALSE)</f>
        <v>0</v>
      </c>
      <c r="Y210" s="68">
        <f>M210*VLOOKUP($F210,'Emission Factors 2'!$A$2:$E$302,2,FALSE)</f>
        <v>0</v>
      </c>
      <c r="Z210" s="68">
        <f>N210*VLOOKUP($F210,'Emission Factors 2'!$A$2:$E$302,2,FALSE)</f>
        <v>0</v>
      </c>
      <c r="AA210" s="68">
        <f>O210*VLOOKUP($F210,'Emission Factors 2'!$A$2:$E$302,2,FALSE)</f>
        <v>0</v>
      </c>
      <c r="AB210" s="68">
        <f>P210*VLOOKUP($F210,'Emission Factors 2'!$A$2:$E$302,2,FALSE)</f>
        <v>0</v>
      </c>
      <c r="AC210" s="68">
        <f>Q210*VLOOKUP($F210,'Emission Factors 2'!$A$2:$E$302,2,FALSE)</f>
        <v>0</v>
      </c>
      <c r="AD210" s="68">
        <f>R210*VLOOKUP($F210,'Emission Factors 2'!$A$2:$E$302,2,FALSE)</f>
        <v>0</v>
      </c>
      <c r="AE210" s="68">
        <f>S210*VLOOKUP($F210,'Emission Factors 2'!$A$2:$E$302,2,FALSE)</f>
        <v>0</v>
      </c>
      <c r="AF210" s="19">
        <f t="shared" si="10"/>
        <v>0</v>
      </c>
      <c r="AG210" s="31"/>
      <c r="AH210" s="31"/>
      <c r="AI210" s="31"/>
      <c r="AJ210" s="31"/>
    </row>
    <row r="211" spans="1:36" ht="21.95" customHeight="1" outlineLevel="1" x14ac:dyDescent="0.25">
      <c r="A211" s="102"/>
      <c r="B211" s="105"/>
      <c r="C211" s="29"/>
      <c r="D211" s="27" t="s">
        <v>325</v>
      </c>
      <c r="E211" s="82" t="str">
        <f>'Index Formatting'!I$27</f>
        <v>O</v>
      </c>
      <c r="F211" s="7" t="s">
        <v>330</v>
      </c>
      <c r="G211" s="15" t="s">
        <v>82</v>
      </c>
      <c r="H211" s="67"/>
      <c r="I211" s="67"/>
      <c r="J211" s="67"/>
      <c r="K211" s="67"/>
      <c r="L211" s="67"/>
      <c r="M211" s="67"/>
      <c r="N211" s="67"/>
      <c r="O211" s="67"/>
      <c r="P211" s="67"/>
      <c r="Q211" s="67"/>
      <c r="R211" s="67"/>
      <c r="S211" s="67"/>
      <c r="T211" s="68">
        <f>H211*VLOOKUP($F211,'Emission Factors 2'!$A$2:$E$302,2,FALSE)</f>
        <v>0</v>
      </c>
      <c r="U211" s="68">
        <f>I211*VLOOKUP($F211,'Emission Factors 2'!$A$2:$E$302,2,FALSE)</f>
        <v>0</v>
      </c>
      <c r="V211" s="68">
        <f>J211*VLOOKUP($F211,'Emission Factors 2'!$A$2:$E$302,2,FALSE)</f>
        <v>0</v>
      </c>
      <c r="W211" s="68">
        <f>K211*VLOOKUP($F211,'Emission Factors 2'!$A$2:$E$302,2,FALSE)</f>
        <v>0</v>
      </c>
      <c r="X211" s="68">
        <f>L211*VLOOKUP($F211,'Emission Factors 2'!$A$2:$E$302,2,FALSE)</f>
        <v>0</v>
      </c>
      <c r="Y211" s="68">
        <f>M211*VLOOKUP($F211,'Emission Factors 2'!$A$2:$E$302,2,FALSE)</f>
        <v>0</v>
      </c>
      <c r="Z211" s="68">
        <f>N211*VLOOKUP($F211,'Emission Factors 2'!$A$2:$E$302,2,FALSE)</f>
        <v>0</v>
      </c>
      <c r="AA211" s="68">
        <f>O211*VLOOKUP($F211,'Emission Factors 2'!$A$2:$E$302,2,FALSE)</f>
        <v>0</v>
      </c>
      <c r="AB211" s="68">
        <f>P211*VLOOKUP($F211,'Emission Factors 2'!$A$2:$E$302,2,FALSE)</f>
        <v>0</v>
      </c>
      <c r="AC211" s="68">
        <f>Q211*VLOOKUP($F211,'Emission Factors 2'!$A$2:$E$302,2,FALSE)</f>
        <v>0</v>
      </c>
      <c r="AD211" s="68">
        <f>R211*VLOOKUP($F211,'Emission Factors 2'!$A$2:$E$302,2,FALSE)</f>
        <v>0</v>
      </c>
      <c r="AE211" s="68">
        <f>S211*VLOOKUP($F211,'Emission Factors 2'!$A$2:$E$302,2,FALSE)</f>
        <v>0</v>
      </c>
      <c r="AF211" s="19">
        <f t="shared" si="10"/>
        <v>0</v>
      </c>
      <c r="AG211" s="31"/>
      <c r="AH211" s="31"/>
      <c r="AI211" s="31"/>
      <c r="AJ211" s="31"/>
    </row>
    <row r="212" spans="1:36" ht="21.95" customHeight="1" outlineLevel="1" x14ac:dyDescent="0.25">
      <c r="A212" s="102"/>
      <c r="B212" s="105"/>
      <c r="C212" s="29"/>
      <c r="D212" s="27" t="s">
        <v>325</v>
      </c>
      <c r="E212" s="82" t="str">
        <f>'Index Formatting'!I$27</f>
        <v>O</v>
      </c>
      <c r="F212" s="7" t="s">
        <v>331</v>
      </c>
      <c r="G212" s="15" t="s">
        <v>82</v>
      </c>
      <c r="H212" s="67"/>
      <c r="I212" s="67"/>
      <c r="J212" s="67"/>
      <c r="K212" s="67"/>
      <c r="L212" s="67"/>
      <c r="M212" s="67"/>
      <c r="N212" s="67"/>
      <c r="O212" s="67"/>
      <c r="P212" s="67"/>
      <c r="Q212" s="67"/>
      <c r="R212" s="67"/>
      <c r="S212" s="67"/>
      <c r="T212" s="68">
        <f>H212*VLOOKUP($F212,'Emission Factors 2'!$A$2:$E$302,2,FALSE)</f>
        <v>0</v>
      </c>
      <c r="U212" s="68">
        <f>I212*VLOOKUP($F212,'Emission Factors 2'!$A$2:$E$302,2,FALSE)</f>
        <v>0</v>
      </c>
      <c r="V212" s="68">
        <f>J212*VLOOKUP($F212,'Emission Factors 2'!$A$2:$E$302,2,FALSE)</f>
        <v>0</v>
      </c>
      <c r="W212" s="68">
        <f>K212*VLOOKUP($F212,'Emission Factors 2'!$A$2:$E$302,2,FALSE)</f>
        <v>0</v>
      </c>
      <c r="X212" s="68">
        <f>L212*VLOOKUP($F212,'Emission Factors 2'!$A$2:$E$302,2,FALSE)</f>
        <v>0</v>
      </c>
      <c r="Y212" s="68">
        <f>M212*VLOOKUP($F212,'Emission Factors 2'!$A$2:$E$302,2,FALSE)</f>
        <v>0</v>
      </c>
      <c r="Z212" s="68">
        <f>N212*VLOOKUP($F212,'Emission Factors 2'!$A$2:$E$302,2,FALSE)</f>
        <v>0</v>
      </c>
      <c r="AA212" s="68">
        <f>O212*VLOOKUP($F212,'Emission Factors 2'!$A$2:$E$302,2,FALSE)</f>
        <v>0</v>
      </c>
      <c r="AB212" s="68">
        <f>P212*VLOOKUP($F212,'Emission Factors 2'!$A$2:$E$302,2,FALSE)</f>
        <v>0</v>
      </c>
      <c r="AC212" s="68">
        <f>Q212*VLOOKUP($F212,'Emission Factors 2'!$A$2:$E$302,2,FALSE)</f>
        <v>0</v>
      </c>
      <c r="AD212" s="68">
        <f>R212*VLOOKUP($F212,'Emission Factors 2'!$A$2:$E$302,2,FALSE)</f>
        <v>0</v>
      </c>
      <c r="AE212" s="68">
        <f>S212*VLOOKUP($F212,'Emission Factors 2'!$A$2:$E$302,2,FALSE)</f>
        <v>0</v>
      </c>
      <c r="AF212" s="19">
        <f t="shared" si="10"/>
        <v>0</v>
      </c>
      <c r="AG212" s="31"/>
      <c r="AH212" s="31"/>
      <c r="AI212" s="31"/>
      <c r="AJ212" s="31"/>
    </row>
    <row r="213" spans="1:36" ht="21.95" customHeight="1" outlineLevel="1" x14ac:dyDescent="0.25">
      <c r="A213" s="102"/>
      <c r="B213" s="105"/>
      <c r="C213" s="29"/>
      <c r="D213" s="27" t="s">
        <v>325</v>
      </c>
      <c r="E213" s="82" t="str">
        <f>'Index Formatting'!I$27</f>
        <v>O</v>
      </c>
      <c r="F213" s="7" t="s">
        <v>332</v>
      </c>
      <c r="G213" s="15" t="s">
        <v>82</v>
      </c>
      <c r="H213" s="67"/>
      <c r="I213" s="67"/>
      <c r="J213" s="67"/>
      <c r="K213" s="67"/>
      <c r="L213" s="67"/>
      <c r="M213" s="67"/>
      <c r="N213" s="67"/>
      <c r="O213" s="67"/>
      <c r="P213" s="67"/>
      <c r="Q213" s="67"/>
      <c r="R213" s="67"/>
      <c r="S213" s="67"/>
      <c r="T213" s="68">
        <f>H213*VLOOKUP($F213,'Emission Factors 2'!$A$2:$E$302,2,FALSE)</f>
        <v>0</v>
      </c>
      <c r="U213" s="68">
        <f>I213*VLOOKUP($F213,'Emission Factors 2'!$A$2:$E$302,2,FALSE)</f>
        <v>0</v>
      </c>
      <c r="V213" s="68">
        <f>J213*VLOOKUP($F213,'Emission Factors 2'!$A$2:$E$302,2,FALSE)</f>
        <v>0</v>
      </c>
      <c r="W213" s="68">
        <f>K213*VLOOKUP($F213,'Emission Factors 2'!$A$2:$E$302,2,FALSE)</f>
        <v>0</v>
      </c>
      <c r="X213" s="68">
        <f>L213*VLOOKUP($F213,'Emission Factors 2'!$A$2:$E$302,2,FALSE)</f>
        <v>0</v>
      </c>
      <c r="Y213" s="68">
        <f>M213*VLOOKUP($F213,'Emission Factors 2'!$A$2:$E$302,2,FALSE)</f>
        <v>0</v>
      </c>
      <c r="Z213" s="68">
        <f>N213*VLOOKUP($F213,'Emission Factors 2'!$A$2:$E$302,2,FALSE)</f>
        <v>0</v>
      </c>
      <c r="AA213" s="68">
        <f>O213*VLOOKUP($F213,'Emission Factors 2'!$A$2:$E$302,2,FALSE)</f>
        <v>0</v>
      </c>
      <c r="AB213" s="68">
        <f>P213*VLOOKUP($F213,'Emission Factors 2'!$A$2:$E$302,2,FALSE)</f>
        <v>0</v>
      </c>
      <c r="AC213" s="68">
        <f>Q213*VLOOKUP($F213,'Emission Factors 2'!$A$2:$E$302,2,FALSE)</f>
        <v>0</v>
      </c>
      <c r="AD213" s="68">
        <f>R213*VLOOKUP($F213,'Emission Factors 2'!$A$2:$E$302,2,FALSE)</f>
        <v>0</v>
      </c>
      <c r="AE213" s="68">
        <f>S213*VLOOKUP($F213,'Emission Factors 2'!$A$2:$E$302,2,FALSE)</f>
        <v>0</v>
      </c>
      <c r="AF213" s="19">
        <f t="shared" si="10"/>
        <v>0</v>
      </c>
      <c r="AG213" s="31"/>
      <c r="AH213" s="31"/>
      <c r="AI213" s="31"/>
      <c r="AJ213" s="31"/>
    </row>
    <row r="214" spans="1:36" ht="21.95" customHeight="1" outlineLevel="1" x14ac:dyDescent="0.25">
      <c r="A214" s="102"/>
      <c r="B214" s="105"/>
      <c r="C214" s="29"/>
      <c r="D214" s="27" t="s">
        <v>325</v>
      </c>
      <c r="E214" s="82" t="str">
        <f>'Index Formatting'!I$27</f>
        <v>O</v>
      </c>
      <c r="F214" s="7" t="s">
        <v>333</v>
      </c>
      <c r="G214" s="15" t="s">
        <v>82</v>
      </c>
      <c r="H214" s="67"/>
      <c r="I214" s="67"/>
      <c r="J214" s="67"/>
      <c r="K214" s="67"/>
      <c r="L214" s="67"/>
      <c r="M214" s="67"/>
      <c r="N214" s="67"/>
      <c r="O214" s="67"/>
      <c r="P214" s="67"/>
      <c r="Q214" s="67"/>
      <c r="R214" s="67"/>
      <c r="S214" s="67"/>
      <c r="T214" s="68">
        <f>H214*VLOOKUP($F214,'Emission Factors 2'!$A$2:$E$302,2,FALSE)</f>
        <v>0</v>
      </c>
      <c r="U214" s="68">
        <f>I214*VLOOKUP($F214,'Emission Factors 2'!$A$2:$E$302,2,FALSE)</f>
        <v>0</v>
      </c>
      <c r="V214" s="68">
        <f>J214*VLOOKUP($F214,'Emission Factors 2'!$A$2:$E$302,2,FALSE)</f>
        <v>0</v>
      </c>
      <c r="W214" s="68">
        <f>K214*VLOOKUP($F214,'Emission Factors 2'!$A$2:$E$302,2,FALSE)</f>
        <v>0</v>
      </c>
      <c r="X214" s="68">
        <f>L214*VLOOKUP($F214,'Emission Factors 2'!$A$2:$E$302,2,FALSE)</f>
        <v>0</v>
      </c>
      <c r="Y214" s="68">
        <f>M214*VLOOKUP($F214,'Emission Factors 2'!$A$2:$E$302,2,FALSE)</f>
        <v>0</v>
      </c>
      <c r="Z214" s="68">
        <f>N214*VLOOKUP($F214,'Emission Factors 2'!$A$2:$E$302,2,FALSE)</f>
        <v>0</v>
      </c>
      <c r="AA214" s="68">
        <f>O214*VLOOKUP($F214,'Emission Factors 2'!$A$2:$E$302,2,FALSE)</f>
        <v>0</v>
      </c>
      <c r="AB214" s="68">
        <f>P214*VLOOKUP($F214,'Emission Factors 2'!$A$2:$E$302,2,FALSE)</f>
        <v>0</v>
      </c>
      <c r="AC214" s="68">
        <f>Q214*VLOOKUP($F214,'Emission Factors 2'!$A$2:$E$302,2,FALSE)</f>
        <v>0</v>
      </c>
      <c r="AD214" s="68">
        <f>R214*VLOOKUP($F214,'Emission Factors 2'!$A$2:$E$302,2,FALSE)</f>
        <v>0</v>
      </c>
      <c r="AE214" s="68">
        <f>S214*VLOOKUP($F214,'Emission Factors 2'!$A$2:$E$302,2,FALSE)</f>
        <v>0</v>
      </c>
      <c r="AF214" s="19">
        <f t="shared" si="10"/>
        <v>0</v>
      </c>
      <c r="AG214" s="31"/>
      <c r="AH214" s="31"/>
      <c r="AI214" s="31"/>
      <c r="AJ214" s="31"/>
    </row>
    <row r="215" spans="1:36" ht="21.95" customHeight="1" outlineLevel="1" x14ac:dyDescent="0.25">
      <c r="A215" s="102"/>
      <c r="B215" s="105"/>
      <c r="C215" s="29"/>
      <c r="D215" s="27" t="s">
        <v>325</v>
      </c>
      <c r="E215" s="82" t="str">
        <f>'Index Formatting'!I$27</f>
        <v>O</v>
      </c>
      <c r="F215" s="7" t="s">
        <v>414</v>
      </c>
      <c r="G215" s="15" t="s">
        <v>82</v>
      </c>
      <c r="H215" s="67"/>
      <c r="I215" s="67"/>
      <c r="J215" s="67"/>
      <c r="K215" s="67"/>
      <c r="L215" s="67"/>
      <c r="M215" s="67"/>
      <c r="N215" s="67"/>
      <c r="O215" s="67"/>
      <c r="P215" s="67"/>
      <c r="Q215" s="67"/>
      <c r="R215" s="67"/>
      <c r="S215" s="67"/>
      <c r="T215" s="68">
        <f>H215*VLOOKUP($F215,'Emission Factors 2'!$A$2:$E$302,2,FALSE)</f>
        <v>0</v>
      </c>
      <c r="U215" s="68">
        <f>I215*VLOOKUP($F215,'Emission Factors 2'!$A$2:$E$302,2,FALSE)</f>
        <v>0</v>
      </c>
      <c r="V215" s="68">
        <f>J215*VLOOKUP($F215,'Emission Factors 2'!$A$2:$E$302,2,FALSE)</f>
        <v>0</v>
      </c>
      <c r="W215" s="68">
        <f>K215*VLOOKUP($F215,'Emission Factors 2'!$A$2:$E$302,2,FALSE)</f>
        <v>0</v>
      </c>
      <c r="X215" s="68">
        <f>L215*VLOOKUP($F215,'Emission Factors 2'!$A$2:$E$302,2,FALSE)</f>
        <v>0</v>
      </c>
      <c r="Y215" s="68">
        <f>M215*VLOOKUP($F215,'Emission Factors 2'!$A$2:$E$302,2,FALSE)</f>
        <v>0</v>
      </c>
      <c r="Z215" s="68">
        <f>N215*VLOOKUP($F215,'Emission Factors 2'!$A$2:$E$302,2,FALSE)</f>
        <v>0</v>
      </c>
      <c r="AA215" s="68">
        <f>O215*VLOOKUP($F215,'Emission Factors 2'!$A$2:$E$302,2,FALSE)</f>
        <v>0</v>
      </c>
      <c r="AB215" s="68">
        <f>P215*VLOOKUP($F215,'Emission Factors 2'!$A$2:$E$302,2,FALSE)</f>
        <v>0</v>
      </c>
      <c r="AC215" s="68">
        <f>Q215*VLOOKUP($F215,'Emission Factors 2'!$A$2:$E$302,2,FALSE)</f>
        <v>0</v>
      </c>
      <c r="AD215" s="68">
        <f>R215*VLOOKUP($F215,'Emission Factors 2'!$A$2:$E$302,2,FALSE)</f>
        <v>0</v>
      </c>
      <c r="AE215" s="68">
        <f>S215*VLOOKUP($F215,'Emission Factors 2'!$A$2:$E$302,2,FALSE)</f>
        <v>0</v>
      </c>
      <c r="AF215" s="19">
        <f t="shared" si="10"/>
        <v>0</v>
      </c>
      <c r="AG215" s="31"/>
      <c r="AH215" s="31"/>
      <c r="AI215" s="31"/>
      <c r="AJ215" s="31"/>
    </row>
    <row r="216" spans="1:36" ht="21.95" customHeight="1" outlineLevel="1" x14ac:dyDescent="0.25">
      <c r="A216" s="102"/>
      <c r="B216" s="105"/>
      <c r="C216" s="29"/>
      <c r="D216" s="27" t="s">
        <v>325</v>
      </c>
      <c r="E216" s="82" t="str">
        <f>'Index Formatting'!I$27</f>
        <v>O</v>
      </c>
      <c r="F216" s="7" t="s">
        <v>333</v>
      </c>
      <c r="G216" s="15" t="s">
        <v>82</v>
      </c>
      <c r="H216" s="67"/>
      <c r="I216" s="67"/>
      <c r="J216" s="67"/>
      <c r="K216" s="67"/>
      <c r="L216" s="67"/>
      <c r="M216" s="67"/>
      <c r="N216" s="67"/>
      <c r="O216" s="67"/>
      <c r="P216" s="67"/>
      <c r="Q216" s="67"/>
      <c r="R216" s="67"/>
      <c r="S216" s="67"/>
      <c r="T216" s="68">
        <f>H216*VLOOKUP($F216,'Emission Factors 2'!$A$2:$E$302,2,FALSE)</f>
        <v>0</v>
      </c>
      <c r="U216" s="68">
        <f>I216*VLOOKUP($F216,'Emission Factors 2'!$A$2:$E$302,2,FALSE)</f>
        <v>0</v>
      </c>
      <c r="V216" s="68">
        <f>J216*VLOOKUP($F216,'Emission Factors 2'!$A$2:$E$302,2,FALSE)</f>
        <v>0</v>
      </c>
      <c r="W216" s="68">
        <f>K216*VLOOKUP($F216,'Emission Factors 2'!$A$2:$E$302,2,FALSE)</f>
        <v>0</v>
      </c>
      <c r="X216" s="68">
        <f>L216*VLOOKUP($F216,'Emission Factors 2'!$A$2:$E$302,2,FALSE)</f>
        <v>0</v>
      </c>
      <c r="Y216" s="68">
        <f>M216*VLOOKUP($F216,'Emission Factors 2'!$A$2:$E$302,2,FALSE)</f>
        <v>0</v>
      </c>
      <c r="Z216" s="68">
        <f>N216*VLOOKUP($F216,'Emission Factors 2'!$A$2:$E$302,2,FALSE)</f>
        <v>0</v>
      </c>
      <c r="AA216" s="68">
        <f>O216*VLOOKUP($F216,'Emission Factors 2'!$A$2:$E$302,2,FALSE)</f>
        <v>0</v>
      </c>
      <c r="AB216" s="68">
        <f>P216*VLOOKUP($F216,'Emission Factors 2'!$A$2:$E$302,2,FALSE)</f>
        <v>0</v>
      </c>
      <c r="AC216" s="68">
        <f>Q216*VLOOKUP($F216,'Emission Factors 2'!$A$2:$E$302,2,FALSE)</f>
        <v>0</v>
      </c>
      <c r="AD216" s="68">
        <f>R216*VLOOKUP($F216,'Emission Factors 2'!$A$2:$E$302,2,FALSE)</f>
        <v>0</v>
      </c>
      <c r="AE216" s="68">
        <f>S216*VLOOKUP($F216,'Emission Factors 2'!$A$2:$E$302,2,FALSE)</f>
        <v>0</v>
      </c>
      <c r="AF216" s="19">
        <f t="shared" si="10"/>
        <v>0</v>
      </c>
      <c r="AG216" s="31"/>
      <c r="AH216" s="31"/>
      <c r="AI216" s="31"/>
      <c r="AJ216" s="31"/>
    </row>
    <row r="217" spans="1:36" ht="21.95" customHeight="1" outlineLevel="1" x14ac:dyDescent="0.25">
      <c r="A217" s="102"/>
      <c r="B217" s="105"/>
      <c r="C217" s="29"/>
      <c r="D217" s="27" t="s">
        <v>325</v>
      </c>
      <c r="E217" s="82" t="str">
        <f>'Index Formatting'!I$27</f>
        <v>O</v>
      </c>
      <c r="F217" s="7" t="s">
        <v>738</v>
      </c>
      <c r="G217" s="15" t="s">
        <v>82</v>
      </c>
      <c r="H217" s="67"/>
      <c r="I217" s="67"/>
      <c r="J217" s="67"/>
      <c r="K217" s="67"/>
      <c r="L217" s="67"/>
      <c r="M217" s="67"/>
      <c r="N217" s="67"/>
      <c r="O217" s="67"/>
      <c r="P217" s="67"/>
      <c r="Q217" s="67"/>
      <c r="R217" s="67"/>
      <c r="S217" s="67"/>
      <c r="T217" s="68">
        <f>H217*VLOOKUP($F217,'Emission Factors 2'!$A$2:$E$302,2,FALSE)</f>
        <v>0</v>
      </c>
      <c r="U217" s="68">
        <f>I217*VLOOKUP($F217,'Emission Factors 2'!$A$2:$E$302,2,FALSE)</f>
        <v>0</v>
      </c>
      <c r="V217" s="68">
        <f>J217*VLOOKUP($F217,'Emission Factors 2'!$A$2:$E$302,2,FALSE)</f>
        <v>0</v>
      </c>
      <c r="W217" s="68">
        <f>K217*VLOOKUP($F217,'Emission Factors 2'!$A$2:$E$302,2,FALSE)</f>
        <v>0</v>
      </c>
      <c r="X217" s="68">
        <f>L217*VLOOKUP($F217,'Emission Factors 2'!$A$2:$E$302,2,FALSE)</f>
        <v>0</v>
      </c>
      <c r="Y217" s="68">
        <f>M217*VLOOKUP($F217,'Emission Factors 2'!$A$2:$E$302,2,FALSE)</f>
        <v>0</v>
      </c>
      <c r="Z217" s="68">
        <f>N217*VLOOKUP($F217,'Emission Factors 2'!$A$2:$E$302,2,FALSE)</f>
        <v>0</v>
      </c>
      <c r="AA217" s="68">
        <f>O217*VLOOKUP($F217,'Emission Factors 2'!$A$2:$E$302,2,FALSE)</f>
        <v>0</v>
      </c>
      <c r="AB217" s="68">
        <f>P217*VLOOKUP($F217,'Emission Factors 2'!$A$2:$E$302,2,FALSE)</f>
        <v>0</v>
      </c>
      <c r="AC217" s="68">
        <f>Q217*VLOOKUP($F217,'Emission Factors 2'!$A$2:$E$302,2,FALSE)</f>
        <v>0</v>
      </c>
      <c r="AD217" s="68">
        <f>R217*VLOOKUP($F217,'Emission Factors 2'!$A$2:$E$302,2,FALSE)</f>
        <v>0</v>
      </c>
      <c r="AE217" s="68">
        <f>S217*VLOOKUP($F217,'Emission Factors 2'!$A$2:$E$302,2,FALSE)</f>
        <v>0</v>
      </c>
      <c r="AF217" s="19">
        <f t="shared" si="10"/>
        <v>0</v>
      </c>
      <c r="AG217" s="31"/>
      <c r="AH217" s="31"/>
      <c r="AI217" s="31"/>
      <c r="AJ217" s="31"/>
    </row>
    <row r="218" spans="1:36" ht="21.95" customHeight="1" outlineLevel="1" x14ac:dyDescent="0.25">
      <c r="A218" s="102"/>
      <c r="B218" s="105"/>
      <c r="C218" s="29"/>
      <c r="D218" s="27" t="s">
        <v>325</v>
      </c>
      <c r="E218" s="82" t="str">
        <f>'Index Formatting'!I$27</f>
        <v>O</v>
      </c>
      <c r="F218" s="7" t="s">
        <v>333</v>
      </c>
      <c r="G218" s="15" t="s">
        <v>82</v>
      </c>
      <c r="H218" s="67"/>
      <c r="I218" s="67"/>
      <c r="J218" s="67"/>
      <c r="K218" s="67"/>
      <c r="L218" s="67"/>
      <c r="M218" s="67"/>
      <c r="N218" s="67"/>
      <c r="O218" s="67"/>
      <c r="P218" s="67"/>
      <c r="Q218" s="67"/>
      <c r="R218" s="67"/>
      <c r="S218" s="67"/>
      <c r="T218" s="68">
        <f>H218*VLOOKUP($F218,'Emission Factors 2'!$A$2:$E$302,2,FALSE)</f>
        <v>0</v>
      </c>
      <c r="U218" s="68">
        <f>I218*VLOOKUP($F218,'Emission Factors 2'!$A$2:$E$302,2,FALSE)</f>
        <v>0</v>
      </c>
      <c r="V218" s="68">
        <f>J218*VLOOKUP($F218,'Emission Factors 2'!$A$2:$E$302,2,FALSE)</f>
        <v>0</v>
      </c>
      <c r="W218" s="68">
        <f>K218*VLOOKUP($F218,'Emission Factors 2'!$A$2:$E$302,2,FALSE)</f>
        <v>0</v>
      </c>
      <c r="X218" s="68">
        <f>L218*VLOOKUP($F218,'Emission Factors 2'!$A$2:$E$302,2,FALSE)</f>
        <v>0</v>
      </c>
      <c r="Y218" s="68">
        <f>M218*VLOOKUP($F218,'Emission Factors 2'!$A$2:$E$302,2,FALSE)</f>
        <v>0</v>
      </c>
      <c r="Z218" s="68">
        <f>N218*VLOOKUP($F218,'Emission Factors 2'!$A$2:$E$302,2,FALSE)</f>
        <v>0</v>
      </c>
      <c r="AA218" s="68">
        <f>O218*VLOOKUP($F218,'Emission Factors 2'!$A$2:$E$302,2,FALSE)</f>
        <v>0</v>
      </c>
      <c r="AB218" s="68">
        <f>P218*VLOOKUP($F218,'Emission Factors 2'!$A$2:$E$302,2,FALSE)</f>
        <v>0</v>
      </c>
      <c r="AC218" s="68">
        <f>Q218*VLOOKUP($F218,'Emission Factors 2'!$A$2:$E$302,2,FALSE)</f>
        <v>0</v>
      </c>
      <c r="AD218" s="68">
        <f>R218*VLOOKUP($F218,'Emission Factors 2'!$A$2:$E$302,2,FALSE)</f>
        <v>0</v>
      </c>
      <c r="AE218" s="68">
        <f>S218*VLOOKUP($F218,'Emission Factors 2'!$A$2:$E$302,2,FALSE)</f>
        <v>0</v>
      </c>
      <c r="AF218" s="19">
        <f t="shared" si="10"/>
        <v>0</v>
      </c>
      <c r="AG218" s="31"/>
      <c r="AH218" s="31"/>
      <c r="AI218" s="31"/>
      <c r="AJ218" s="31"/>
    </row>
    <row r="219" spans="1:36" ht="21.95" customHeight="1" outlineLevel="1" x14ac:dyDescent="0.25">
      <c r="A219" s="102"/>
      <c r="B219" s="105"/>
      <c r="C219" s="29"/>
      <c r="D219" s="27" t="s">
        <v>325</v>
      </c>
      <c r="E219" s="82" t="str">
        <f>'Index Formatting'!I$27</f>
        <v>O</v>
      </c>
      <c r="F219" s="7" t="s">
        <v>333</v>
      </c>
      <c r="G219" s="15" t="s">
        <v>82</v>
      </c>
      <c r="H219" s="67"/>
      <c r="I219" s="67"/>
      <c r="J219" s="67"/>
      <c r="K219" s="67"/>
      <c r="L219" s="67"/>
      <c r="M219" s="67"/>
      <c r="N219" s="67"/>
      <c r="O219" s="67"/>
      <c r="P219" s="67"/>
      <c r="Q219" s="67"/>
      <c r="R219" s="67"/>
      <c r="S219" s="67"/>
      <c r="T219" s="68">
        <f>H219*VLOOKUP($F219,'Emission Factors 2'!$A$2:$E$302,2,FALSE)</f>
        <v>0</v>
      </c>
      <c r="U219" s="68">
        <f>I219*VLOOKUP($F219,'Emission Factors 2'!$A$2:$E$302,2,FALSE)</f>
        <v>0</v>
      </c>
      <c r="V219" s="68">
        <f>J219*VLOOKUP($F219,'Emission Factors 2'!$A$2:$E$302,2,FALSE)</f>
        <v>0</v>
      </c>
      <c r="W219" s="68">
        <f>K219*VLOOKUP($F219,'Emission Factors 2'!$A$2:$E$302,2,FALSE)</f>
        <v>0</v>
      </c>
      <c r="X219" s="68">
        <f>L219*VLOOKUP($F219,'Emission Factors 2'!$A$2:$E$302,2,FALSE)</f>
        <v>0</v>
      </c>
      <c r="Y219" s="68">
        <f>M219*VLOOKUP($F219,'Emission Factors 2'!$A$2:$E$302,2,FALSE)</f>
        <v>0</v>
      </c>
      <c r="Z219" s="68">
        <f>N219*VLOOKUP($F219,'Emission Factors 2'!$A$2:$E$302,2,FALSE)</f>
        <v>0</v>
      </c>
      <c r="AA219" s="68">
        <f>O219*VLOOKUP($F219,'Emission Factors 2'!$A$2:$E$302,2,FALSE)</f>
        <v>0</v>
      </c>
      <c r="AB219" s="68">
        <f>P219*VLOOKUP($F219,'Emission Factors 2'!$A$2:$E$302,2,FALSE)</f>
        <v>0</v>
      </c>
      <c r="AC219" s="68">
        <f>Q219*VLOOKUP($F219,'Emission Factors 2'!$A$2:$E$302,2,FALSE)</f>
        <v>0</v>
      </c>
      <c r="AD219" s="68">
        <f>R219*VLOOKUP($F219,'Emission Factors 2'!$A$2:$E$302,2,FALSE)</f>
        <v>0</v>
      </c>
      <c r="AE219" s="68">
        <f>S219*VLOOKUP($F219,'Emission Factors 2'!$A$2:$E$302,2,FALSE)</f>
        <v>0</v>
      </c>
      <c r="AF219" s="19">
        <f t="shared" si="10"/>
        <v>0</v>
      </c>
      <c r="AG219" s="31"/>
      <c r="AH219" s="31"/>
      <c r="AI219" s="31"/>
      <c r="AJ219" s="31"/>
    </row>
    <row r="220" spans="1:36" ht="21.95" customHeight="1" outlineLevel="1" x14ac:dyDescent="0.25">
      <c r="A220" s="103"/>
      <c r="B220" s="106"/>
      <c r="C220" s="29"/>
      <c r="D220" s="27" t="s">
        <v>396</v>
      </c>
      <c r="E220" s="82" t="str">
        <f>'Index Formatting'!I$27</f>
        <v>O</v>
      </c>
      <c r="F220" s="7" t="s">
        <v>402</v>
      </c>
      <c r="G220" s="15" t="s">
        <v>295</v>
      </c>
      <c r="H220" s="67"/>
      <c r="I220" s="67"/>
      <c r="J220" s="67"/>
      <c r="K220" s="67"/>
      <c r="L220" s="67"/>
      <c r="M220" s="67"/>
      <c r="N220" s="67"/>
      <c r="O220" s="67"/>
      <c r="P220" s="67"/>
      <c r="Q220" s="67"/>
      <c r="R220" s="67"/>
      <c r="S220" s="67"/>
      <c r="T220" s="68">
        <f>H220*VLOOKUP($F220,'Emission Factors 2'!$A$2:$E$302,2,FALSE)</f>
        <v>0</v>
      </c>
      <c r="U220" s="68">
        <f>I220*VLOOKUP($F220,'Emission Factors 2'!$A$2:$E$302,2,FALSE)</f>
        <v>0</v>
      </c>
      <c r="V220" s="68">
        <f>J220*VLOOKUP($F220,'Emission Factors 2'!$A$2:$E$302,2,FALSE)</f>
        <v>0</v>
      </c>
      <c r="W220" s="68">
        <f>K220*VLOOKUP($F220,'Emission Factors 2'!$A$2:$E$302,2,FALSE)</f>
        <v>0</v>
      </c>
      <c r="X220" s="68">
        <f>L220*VLOOKUP($F220,'Emission Factors 2'!$A$2:$E$302,2,FALSE)</f>
        <v>0</v>
      </c>
      <c r="Y220" s="68">
        <f>M220*VLOOKUP($F220,'Emission Factors 2'!$A$2:$E$302,2,FALSE)</f>
        <v>0</v>
      </c>
      <c r="Z220" s="68">
        <f>N220*VLOOKUP($F220,'Emission Factors 2'!$A$2:$E$302,2,FALSE)</f>
        <v>0</v>
      </c>
      <c r="AA220" s="68">
        <f>O220*VLOOKUP($F220,'Emission Factors 2'!$A$2:$E$302,2,FALSE)</f>
        <v>0</v>
      </c>
      <c r="AB220" s="68">
        <f>P220*VLOOKUP($F220,'Emission Factors 2'!$A$2:$E$302,2,FALSE)</f>
        <v>0</v>
      </c>
      <c r="AC220" s="68">
        <f>Q220*VLOOKUP($F220,'Emission Factors 2'!$A$2:$E$302,2,FALSE)</f>
        <v>0</v>
      </c>
      <c r="AD220" s="68">
        <f>R220*VLOOKUP($F220,'Emission Factors 2'!$A$2:$E$302,2,FALSE)</f>
        <v>0</v>
      </c>
      <c r="AE220" s="68">
        <f>S220*VLOOKUP($F220,'Emission Factors 2'!$A$2:$E$302,2,FALSE)</f>
        <v>0</v>
      </c>
      <c r="AF220" s="19">
        <f t="shared" si="10"/>
        <v>0</v>
      </c>
      <c r="AG220" s="31"/>
      <c r="AH220" s="31"/>
      <c r="AI220" s="31"/>
      <c r="AJ220" s="31"/>
    </row>
    <row r="221" spans="1:36" ht="21.95" customHeight="1" x14ac:dyDescent="0.25">
      <c r="A221" s="130" t="str">
        <f>IF(COUNTIF(E222:E227,"M"),"Site Clearance and Earthworks", "Site Clearance and Earthworks (Optional)")</f>
        <v>Site Clearance and Earthworks (Optional)</v>
      </c>
      <c r="B221" s="131"/>
      <c r="C221" s="131"/>
      <c r="D221" s="131"/>
      <c r="E221" s="131"/>
      <c r="F221" s="131"/>
      <c r="G221" s="132"/>
      <c r="H221" s="137"/>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9">
        <f>SUM(AF222:AF227)</f>
        <v>0</v>
      </c>
      <c r="AG221" s="31"/>
      <c r="AH221" s="31"/>
      <c r="AI221" s="31"/>
      <c r="AJ221" s="31"/>
    </row>
    <row r="222" spans="1:36" ht="21.95" customHeight="1" outlineLevel="1" x14ac:dyDescent="0.25">
      <c r="A222" s="118">
        <v>12</v>
      </c>
      <c r="B222" s="133" t="s">
        <v>403</v>
      </c>
      <c r="C222" s="29"/>
      <c r="D222" s="27" t="s">
        <v>404</v>
      </c>
      <c r="E222" s="82" t="str">
        <f>'Index Formatting'!I$28</f>
        <v>O</v>
      </c>
      <c r="F222" s="7" t="s">
        <v>405</v>
      </c>
      <c r="G222" s="15" t="s">
        <v>127</v>
      </c>
      <c r="H222" s="67"/>
      <c r="I222" s="67"/>
      <c r="J222" s="67"/>
      <c r="K222" s="67"/>
      <c r="L222" s="67"/>
      <c r="M222" s="67"/>
      <c r="N222" s="67"/>
      <c r="O222" s="67"/>
      <c r="P222" s="67"/>
      <c r="Q222" s="67"/>
      <c r="R222" s="67"/>
      <c r="S222" s="67"/>
      <c r="T222" s="68">
        <f>H222*VLOOKUP($F222,'Emission Factors 2'!$A$2:$E$302,2,FALSE)</f>
        <v>0</v>
      </c>
      <c r="U222" s="68">
        <f>I222*VLOOKUP($F222,'Emission Factors 2'!$A$2:$E$302,2,FALSE)</f>
        <v>0</v>
      </c>
      <c r="V222" s="68">
        <f>J222*VLOOKUP($F222,'Emission Factors 2'!$A$2:$E$302,2,FALSE)</f>
        <v>0</v>
      </c>
      <c r="W222" s="68">
        <f>K222*VLOOKUP($F222,'Emission Factors 2'!$A$2:$E$302,2,FALSE)</f>
        <v>0</v>
      </c>
      <c r="X222" s="68">
        <f>L222*VLOOKUP($F222,'Emission Factors 2'!$A$2:$E$302,2,FALSE)</f>
        <v>0</v>
      </c>
      <c r="Y222" s="68">
        <f>M222*VLOOKUP($F222,'Emission Factors 2'!$A$2:$E$302,2,FALSE)</f>
        <v>0</v>
      </c>
      <c r="Z222" s="68">
        <f>N222*VLOOKUP($F222,'Emission Factors 2'!$A$2:$E$302,2,FALSE)</f>
        <v>0</v>
      </c>
      <c r="AA222" s="68">
        <f>O222*VLOOKUP($F222,'Emission Factors 2'!$A$2:$E$302,2,FALSE)</f>
        <v>0</v>
      </c>
      <c r="AB222" s="68">
        <f>P222*VLOOKUP($F222,'Emission Factors 2'!$A$2:$E$302,2,FALSE)</f>
        <v>0</v>
      </c>
      <c r="AC222" s="68">
        <f>Q222*VLOOKUP($F222,'Emission Factors 2'!$A$2:$E$302,2,FALSE)</f>
        <v>0</v>
      </c>
      <c r="AD222" s="68">
        <f>R222*VLOOKUP($F222,'Emission Factors 2'!$A$2:$E$302,2,FALSE)</f>
        <v>0</v>
      </c>
      <c r="AE222" s="68">
        <f>S222*VLOOKUP($F222,'Emission Factors 2'!$A$2:$E$302,2,FALSE)</f>
        <v>0</v>
      </c>
      <c r="AF222" s="19">
        <f t="shared" si="10"/>
        <v>0</v>
      </c>
      <c r="AG222" s="31"/>
      <c r="AH222" s="31"/>
      <c r="AI222" s="31"/>
      <c r="AJ222" s="31"/>
    </row>
    <row r="223" spans="1:36" ht="21.95" customHeight="1" outlineLevel="1" x14ac:dyDescent="0.25">
      <c r="A223" s="118"/>
      <c r="B223" s="133"/>
      <c r="C223" s="29"/>
      <c r="D223" s="27" t="s">
        <v>404</v>
      </c>
      <c r="E223" s="82" t="str">
        <f>'Index Formatting'!I$28</f>
        <v>O</v>
      </c>
      <c r="F223" s="7" t="s">
        <v>406</v>
      </c>
      <c r="G223" s="15" t="s">
        <v>127</v>
      </c>
      <c r="H223" s="67"/>
      <c r="I223" s="67"/>
      <c r="J223" s="67"/>
      <c r="K223" s="67"/>
      <c r="L223" s="67"/>
      <c r="M223" s="67"/>
      <c r="N223" s="67"/>
      <c r="O223" s="67"/>
      <c r="P223" s="67"/>
      <c r="Q223" s="67"/>
      <c r="R223" s="67"/>
      <c r="S223" s="67"/>
      <c r="T223" s="68">
        <f>H223*VLOOKUP($F223,'Emission Factors 2'!$A$2:$E$302,2,FALSE)</f>
        <v>0</v>
      </c>
      <c r="U223" s="68">
        <f>I223*VLOOKUP($F223,'Emission Factors 2'!$A$2:$E$302,2,FALSE)</f>
        <v>0</v>
      </c>
      <c r="V223" s="68">
        <f>J223*VLOOKUP($F223,'Emission Factors 2'!$A$2:$E$302,2,FALSE)</f>
        <v>0</v>
      </c>
      <c r="W223" s="68">
        <f>K223*VLOOKUP($F223,'Emission Factors 2'!$A$2:$E$302,2,FALSE)</f>
        <v>0</v>
      </c>
      <c r="X223" s="68">
        <f>L223*VLOOKUP($F223,'Emission Factors 2'!$A$2:$E$302,2,FALSE)</f>
        <v>0</v>
      </c>
      <c r="Y223" s="68">
        <f>M223*VLOOKUP($F223,'Emission Factors 2'!$A$2:$E$302,2,FALSE)</f>
        <v>0</v>
      </c>
      <c r="Z223" s="68">
        <f>N223*VLOOKUP($F223,'Emission Factors 2'!$A$2:$E$302,2,FALSE)</f>
        <v>0</v>
      </c>
      <c r="AA223" s="68">
        <f>O223*VLOOKUP($F223,'Emission Factors 2'!$A$2:$E$302,2,FALSE)</f>
        <v>0</v>
      </c>
      <c r="AB223" s="68">
        <f>P223*VLOOKUP($F223,'Emission Factors 2'!$A$2:$E$302,2,FALSE)</f>
        <v>0</v>
      </c>
      <c r="AC223" s="68">
        <f>Q223*VLOOKUP($F223,'Emission Factors 2'!$A$2:$E$302,2,FALSE)</f>
        <v>0</v>
      </c>
      <c r="AD223" s="68">
        <f>R223*VLOOKUP($F223,'Emission Factors 2'!$A$2:$E$302,2,FALSE)</f>
        <v>0</v>
      </c>
      <c r="AE223" s="68">
        <f>S223*VLOOKUP($F223,'Emission Factors 2'!$A$2:$E$302,2,FALSE)</f>
        <v>0</v>
      </c>
      <c r="AF223" s="19">
        <f t="shared" si="10"/>
        <v>0</v>
      </c>
      <c r="AG223" s="31"/>
      <c r="AH223" s="31"/>
      <c r="AI223" s="31"/>
      <c r="AJ223" s="31"/>
    </row>
    <row r="224" spans="1:36" ht="21.95" customHeight="1" outlineLevel="1" x14ac:dyDescent="0.25">
      <c r="A224" s="118"/>
      <c r="B224" s="133"/>
      <c r="C224" s="29"/>
      <c r="D224" s="27" t="s">
        <v>404</v>
      </c>
      <c r="E224" s="82" t="str">
        <f>'Index Formatting'!I$28</f>
        <v>O</v>
      </c>
      <c r="F224" s="7" t="s">
        <v>407</v>
      </c>
      <c r="G224" s="15" t="s">
        <v>219</v>
      </c>
      <c r="H224" s="67"/>
      <c r="I224" s="67"/>
      <c r="J224" s="67"/>
      <c r="K224" s="67"/>
      <c r="L224" s="67"/>
      <c r="M224" s="67"/>
      <c r="N224" s="67"/>
      <c r="O224" s="67"/>
      <c r="P224" s="67"/>
      <c r="Q224" s="67"/>
      <c r="R224" s="67"/>
      <c r="S224" s="67"/>
      <c r="T224" s="68">
        <f>H224*VLOOKUP($F224,'Emission Factors 2'!$A$2:$E$302,2,FALSE)</f>
        <v>0</v>
      </c>
      <c r="U224" s="68">
        <f>I224*VLOOKUP($F224,'Emission Factors 2'!$A$2:$E$302,2,FALSE)</f>
        <v>0</v>
      </c>
      <c r="V224" s="68">
        <f>J224*VLOOKUP($F224,'Emission Factors 2'!$A$2:$E$302,2,FALSE)</f>
        <v>0</v>
      </c>
      <c r="W224" s="68">
        <f>K224*VLOOKUP($F224,'Emission Factors 2'!$A$2:$E$302,2,FALSE)</f>
        <v>0</v>
      </c>
      <c r="X224" s="68">
        <f>L224*VLOOKUP($F224,'Emission Factors 2'!$A$2:$E$302,2,FALSE)</f>
        <v>0</v>
      </c>
      <c r="Y224" s="68">
        <f>M224*VLOOKUP($F224,'Emission Factors 2'!$A$2:$E$302,2,FALSE)</f>
        <v>0</v>
      </c>
      <c r="Z224" s="68">
        <f>N224*VLOOKUP($F224,'Emission Factors 2'!$A$2:$E$302,2,FALSE)</f>
        <v>0</v>
      </c>
      <c r="AA224" s="68">
        <f>O224*VLOOKUP($F224,'Emission Factors 2'!$A$2:$E$302,2,FALSE)</f>
        <v>0</v>
      </c>
      <c r="AB224" s="68">
        <f>P224*VLOOKUP($F224,'Emission Factors 2'!$A$2:$E$302,2,FALSE)</f>
        <v>0</v>
      </c>
      <c r="AC224" s="68">
        <f>Q224*VLOOKUP($F224,'Emission Factors 2'!$A$2:$E$302,2,FALSE)</f>
        <v>0</v>
      </c>
      <c r="AD224" s="68">
        <f>R224*VLOOKUP($F224,'Emission Factors 2'!$A$2:$E$302,2,FALSE)</f>
        <v>0</v>
      </c>
      <c r="AE224" s="68">
        <f>S224*VLOOKUP($F224,'Emission Factors 2'!$A$2:$E$302,2,FALSE)</f>
        <v>0</v>
      </c>
      <c r="AF224" s="19">
        <f t="shared" si="10"/>
        <v>0</v>
      </c>
      <c r="AG224" s="31"/>
      <c r="AH224" s="31"/>
      <c r="AI224" s="31"/>
      <c r="AJ224" s="31"/>
    </row>
    <row r="225" spans="1:36" ht="21.95" customHeight="1" outlineLevel="1" x14ac:dyDescent="0.25">
      <c r="A225" s="118"/>
      <c r="B225" s="133"/>
      <c r="C225" s="29"/>
      <c r="D225" s="27" t="s">
        <v>408</v>
      </c>
      <c r="E225" s="82" t="str">
        <f>'Index Formatting'!I$28</f>
        <v>O</v>
      </c>
      <c r="F225" s="7" t="s">
        <v>409</v>
      </c>
      <c r="G225" s="15" t="s">
        <v>219</v>
      </c>
      <c r="H225" s="67"/>
      <c r="I225" s="67"/>
      <c r="J225" s="67"/>
      <c r="K225" s="67"/>
      <c r="L225" s="67"/>
      <c r="M225" s="67"/>
      <c r="N225" s="67"/>
      <c r="O225" s="67"/>
      <c r="P225" s="67"/>
      <c r="Q225" s="67"/>
      <c r="R225" s="67"/>
      <c r="S225" s="67"/>
      <c r="T225" s="68">
        <f>H225*VLOOKUP($F225,'Emission Factors 2'!$A$2:$E$302,2,FALSE)</f>
        <v>0</v>
      </c>
      <c r="U225" s="68">
        <f>I225*VLOOKUP($F225,'Emission Factors 2'!$A$2:$E$302,2,FALSE)</f>
        <v>0</v>
      </c>
      <c r="V225" s="68">
        <f>J225*VLOOKUP($F225,'Emission Factors 2'!$A$2:$E$302,2,FALSE)</f>
        <v>0</v>
      </c>
      <c r="W225" s="68">
        <f>K225*VLOOKUP($F225,'Emission Factors 2'!$A$2:$E$302,2,FALSE)</f>
        <v>0</v>
      </c>
      <c r="X225" s="68">
        <f>L225*VLOOKUP($F225,'Emission Factors 2'!$A$2:$E$302,2,FALSE)</f>
        <v>0</v>
      </c>
      <c r="Y225" s="68">
        <f>M225*VLOOKUP($F225,'Emission Factors 2'!$A$2:$E$302,2,FALSE)</f>
        <v>0</v>
      </c>
      <c r="Z225" s="68">
        <f>N225*VLOOKUP($F225,'Emission Factors 2'!$A$2:$E$302,2,FALSE)</f>
        <v>0</v>
      </c>
      <c r="AA225" s="68">
        <f>O225*VLOOKUP($F225,'Emission Factors 2'!$A$2:$E$302,2,FALSE)</f>
        <v>0</v>
      </c>
      <c r="AB225" s="68">
        <f>P225*VLOOKUP($F225,'Emission Factors 2'!$A$2:$E$302,2,FALSE)</f>
        <v>0</v>
      </c>
      <c r="AC225" s="68">
        <f>Q225*VLOOKUP($F225,'Emission Factors 2'!$A$2:$E$302,2,FALSE)</f>
        <v>0</v>
      </c>
      <c r="AD225" s="68">
        <f>R225*VLOOKUP($F225,'Emission Factors 2'!$A$2:$E$302,2,FALSE)</f>
        <v>0</v>
      </c>
      <c r="AE225" s="68">
        <f>S225*VLOOKUP($F225,'Emission Factors 2'!$A$2:$E$302,2,FALSE)</f>
        <v>0</v>
      </c>
      <c r="AF225" s="19">
        <f t="shared" si="10"/>
        <v>0</v>
      </c>
      <c r="AG225" s="31"/>
      <c r="AH225" s="31"/>
      <c r="AI225" s="31"/>
      <c r="AJ225" s="31"/>
    </row>
    <row r="226" spans="1:36" ht="21.95" customHeight="1" outlineLevel="1" x14ac:dyDescent="0.25">
      <c r="A226" s="118"/>
      <c r="B226" s="133"/>
      <c r="C226" s="29"/>
      <c r="D226" s="27" t="s">
        <v>408</v>
      </c>
      <c r="E226" s="82" t="str">
        <f>'Index Formatting'!I$28</f>
        <v>O</v>
      </c>
      <c r="F226" s="7" t="s">
        <v>410</v>
      </c>
      <c r="G226" s="15" t="s">
        <v>219</v>
      </c>
      <c r="H226" s="67"/>
      <c r="I226" s="67"/>
      <c r="J226" s="67"/>
      <c r="K226" s="67"/>
      <c r="L226" s="67"/>
      <c r="M226" s="67"/>
      <c r="N226" s="67"/>
      <c r="O226" s="67"/>
      <c r="P226" s="67"/>
      <c r="Q226" s="67"/>
      <c r="R226" s="67"/>
      <c r="S226" s="67"/>
      <c r="T226" s="68">
        <f>H226*VLOOKUP($F226,'Emission Factors 2'!$A$2:$E$302,2,FALSE)</f>
        <v>0</v>
      </c>
      <c r="U226" s="68">
        <f>I226*VLOOKUP($F226,'Emission Factors 2'!$A$2:$E$302,2,FALSE)</f>
        <v>0</v>
      </c>
      <c r="V226" s="68">
        <f>J226*VLOOKUP($F226,'Emission Factors 2'!$A$2:$E$302,2,FALSE)</f>
        <v>0</v>
      </c>
      <c r="W226" s="68">
        <f>K226*VLOOKUP($F226,'Emission Factors 2'!$A$2:$E$302,2,FALSE)</f>
        <v>0</v>
      </c>
      <c r="X226" s="68">
        <f>L226*VLOOKUP($F226,'Emission Factors 2'!$A$2:$E$302,2,FALSE)</f>
        <v>0</v>
      </c>
      <c r="Y226" s="68">
        <f>M226*VLOOKUP($F226,'Emission Factors 2'!$A$2:$E$302,2,FALSE)</f>
        <v>0</v>
      </c>
      <c r="Z226" s="68">
        <f>N226*VLOOKUP($F226,'Emission Factors 2'!$A$2:$E$302,2,FALSE)</f>
        <v>0</v>
      </c>
      <c r="AA226" s="68">
        <f>O226*VLOOKUP($F226,'Emission Factors 2'!$A$2:$E$302,2,FALSE)</f>
        <v>0</v>
      </c>
      <c r="AB226" s="68">
        <f>P226*VLOOKUP($F226,'Emission Factors 2'!$A$2:$E$302,2,FALSE)</f>
        <v>0</v>
      </c>
      <c r="AC226" s="68">
        <f>Q226*VLOOKUP($F226,'Emission Factors 2'!$A$2:$E$302,2,FALSE)</f>
        <v>0</v>
      </c>
      <c r="AD226" s="68">
        <f>R226*VLOOKUP($F226,'Emission Factors 2'!$A$2:$E$302,2,FALSE)</f>
        <v>0</v>
      </c>
      <c r="AE226" s="68">
        <f>S226*VLOOKUP($F226,'Emission Factors 2'!$A$2:$E$302,2,FALSE)</f>
        <v>0</v>
      </c>
      <c r="AF226" s="19">
        <f t="shared" si="10"/>
        <v>0</v>
      </c>
      <c r="AG226" s="31"/>
      <c r="AH226" s="31"/>
      <c r="AI226" s="31"/>
      <c r="AJ226" s="31"/>
    </row>
    <row r="227" spans="1:36" ht="21.95" customHeight="1" outlineLevel="1" x14ac:dyDescent="0.25">
      <c r="A227" s="118"/>
      <c r="B227" s="133"/>
      <c r="C227" s="29"/>
      <c r="D227" s="27" t="s">
        <v>408</v>
      </c>
      <c r="E227" s="82" t="str">
        <f>'Index Formatting'!I$28</f>
        <v>O</v>
      </c>
      <c r="F227" s="7" t="s">
        <v>411</v>
      </c>
      <c r="G227" s="15" t="s">
        <v>219</v>
      </c>
      <c r="H227" s="67"/>
      <c r="I227" s="67"/>
      <c r="J227" s="67"/>
      <c r="K227" s="67"/>
      <c r="L227" s="67"/>
      <c r="M227" s="67"/>
      <c r="N227" s="67"/>
      <c r="O227" s="67"/>
      <c r="P227" s="67"/>
      <c r="Q227" s="67"/>
      <c r="R227" s="67"/>
      <c r="S227" s="67"/>
      <c r="T227" s="68">
        <f>H227*VLOOKUP($F227,'Emission Factors 2'!$A$2:$E$302,2,FALSE)</f>
        <v>0</v>
      </c>
      <c r="U227" s="68">
        <f>I227*VLOOKUP($F227,'Emission Factors 2'!$A$2:$E$302,2,FALSE)</f>
        <v>0</v>
      </c>
      <c r="V227" s="68">
        <f>J227*VLOOKUP($F227,'Emission Factors 2'!$A$2:$E$302,2,FALSE)</f>
        <v>0</v>
      </c>
      <c r="W227" s="68">
        <f>K227*VLOOKUP($F227,'Emission Factors 2'!$A$2:$E$302,2,FALSE)</f>
        <v>0</v>
      </c>
      <c r="X227" s="68">
        <f>L227*VLOOKUP($F227,'Emission Factors 2'!$A$2:$E$302,2,FALSE)</f>
        <v>0</v>
      </c>
      <c r="Y227" s="68">
        <f>M227*VLOOKUP($F227,'Emission Factors 2'!$A$2:$E$302,2,FALSE)</f>
        <v>0</v>
      </c>
      <c r="Z227" s="68">
        <f>N227*VLOOKUP($F227,'Emission Factors 2'!$A$2:$E$302,2,FALSE)</f>
        <v>0</v>
      </c>
      <c r="AA227" s="68">
        <f>O227*VLOOKUP($F227,'Emission Factors 2'!$A$2:$E$302,2,FALSE)</f>
        <v>0</v>
      </c>
      <c r="AB227" s="68">
        <f>P227*VLOOKUP($F227,'Emission Factors 2'!$A$2:$E$302,2,FALSE)</f>
        <v>0</v>
      </c>
      <c r="AC227" s="68">
        <f>Q227*VLOOKUP($F227,'Emission Factors 2'!$A$2:$E$302,2,FALSE)</f>
        <v>0</v>
      </c>
      <c r="AD227" s="68">
        <f>R227*VLOOKUP($F227,'Emission Factors 2'!$A$2:$E$302,2,FALSE)</f>
        <v>0</v>
      </c>
      <c r="AE227" s="68">
        <f>S227*VLOOKUP($F227,'Emission Factors 2'!$A$2:$E$302,2,FALSE)</f>
        <v>0</v>
      </c>
      <c r="AF227" s="19">
        <f t="shared" si="10"/>
        <v>0</v>
      </c>
      <c r="AG227" s="31"/>
      <c r="AH227" s="31"/>
      <c r="AI227" s="31"/>
      <c r="AJ227" s="31"/>
    </row>
    <row r="228" spans="1:36" ht="21.95" customHeight="1" x14ac:dyDescent="0.25">
      <c r="A228" s="130" t="str">
        <f>IF(COUNTIF(E229:E241,"M"),"Bridge", "Bridge (Optional)")</f>
        <v>Bridge</v>
      </c>
      <c r="B228" s="131"/>
      <c r="C228" s="131"/>
      <c r="D228" s="131"/>
      <c r="E228" s="131"/>
      <c r="F228" s="131"/>
      <c r="G228" s="132"/>
      <c r="H228" s="137"/>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9">
        <f>SUM(AF229:AF241)</f>
        <v>0</v>
      </c>
      <c r="AG228" s="31"/>
      <c r="AH228" s="31"/>
      <c r="AI228" s="31"/>
      <c r="AJ228" s="31"/>
    </row>
    <row r="229" spans="1:36" ht="21.95" customHeight="1" outlineLevel="1" x14ac:dyDescent="0.25">
      <c r="A229" s="118">
        <v>13</v>
      </c>
      <c r="B229" s="133" t="s">
        <v>412</v>
      </c>
      <c r="C229" s="29"/>
      <c r="D229" s="27" t="s">
        <v>325</v>
      </c>
      <c r="E229" s="82" t="str">
        <f>'Index Formatting'!I$29</f>
        <v>M</v>
      </c>
      <c r="F229" s="7" t="s">
        <v>326</v>
      </c>
      <c r="G229" s="15" t="s">
        <v>82</v>
      </c>
      <c r="H229" s="67"/>
      <c r="I229" s="67"/>
      <c r="J229" s="67"/>
      <c r="K229" s="67"/>
      <c r="L229" s="67"/>
      <c r="M229" s="67"/>
      <c r="N229" s="67"/>
      <c r="O229" s="67"/>
      <c r="P229" s="67"/>
      <c r="Q229" s="67"/>
      <c r="R229" s="67"/>
      <c r="S229" s="67"/>
      <c r="T229" s="68">
        <f>H229*VLOOKUP($F229,'Emission Factors 2'!$A$2:$E$302,2,FALSE)</f>
        <v>0</v>
      </c>
      <c r="U229" s="68">
        <f>I229*VLOOKUP($F229,'Emission Factors 2'!$A$2:$E$302,2,FALSE)</f>
        <v>0</v>
      </c>
      <c r="V229" s="68">
        <f>J229*VLOOKUP($F229,'Emission Factors 2'!$A$2:$E$302,2,FALSE)</f>
        <v>0</v>
      </c>
      <c r="W229" s="68">
        <f>K229*VLOOKUP($F229,'Emission Factors 2'!$A$2:$E$302,2,FALSE)</f>
        <v>0</v>
      </c>
      <c r="X229" s="68">
        <f>L229*VLOOKUP($F229,'Emission Factors 2'!$A$2:$E$302,2,FALSE)</f>
        <v>0</v>
      </c>
      <c r="Y229" s="68">
        <f>M229*VLOOKUP($F229,'Emission Factors 2'!$A$2:$E$302,2,FALSE)</f>
        <v>0</v>
      </c>
      <c r="Z229" s="68">
        <f>N229*VLOOKUP($F229,'Emission Factors 2'!$A$2:$E$302,2,FALSE)</f>
        <v>0</v>
      </c>
      <c r="AA229" s="68">
        <f>O229*VLOOKUP($F229,'Emission Factors 2'!$A$2:$E$302,2,FALSE)</f>
        <v>0</v>
      </c>
      <c r="AB229" s="68">
        <f>P229*VLOOKUP($F229,'Emission Factors 2'!$A$2:$E$302,2,FALSE)</f>
        <v>0</v>
      </c>
      <c r="AC229" s="68">
        <f>Q229*VLOOKUP($F229,'Emission Factors 2'!$A$2:$E$302,2,FALSE)</f>
        <v>0</v>
      </c>
      <c r="AD229" s="68">
        <f>R229*VLOOKUP($F229,'Emission Factors 2'!$A$2:$E$302,2,FALSE)</f>
        <v>0</v>
      </c>
      <c r="AE229" s="68">
        <f>S229*VLOOKUP($F229,'Emission Factors 2'!$A$2:$E$302,2,FALSE)</f>
        <v>0</v>
      </c>
      <c r="AF229" s="19">
        <f t="shared" si="10"/>
        <v>0</v>
      </c>
      <c r="AG229" s="31"/>
      <c r="AH229" s="31"/>
      <c r="AI229" s="31"/>
      <c r="AJ229" s="31"/>
    </row>
    <row r="230" spans="1:36" ht="21.95" customHeight="1" outlineLevel="1" x14ac:dyDescent="0.25">
      <c r="A230" s="118"/>
      <c r="B230" s="133"/>
      <c r="C230" s="29"/>
      <c r="D230" s="27" t="s">
        <v>325</v>
      </c>
      <c r="E230" s="82" t="str">
        <f>'Index Formatting'!I$29</f>
        <v>M</v>
      </c>
      <c r="F230" s="7" t="s">
        <v>327</v>
      </c>
      <c r="G230" s="15" t="s">
        <v>82</v>
      </c>
      <c r="H230" s="67"/>
      <c r="I230" s="67"/>
      <c r="J230" s="67"/>
      <c r="K230" s="67"/>
      <c r="L230" s="67"/>
      <c r="M230" s="67"/>
      <c r="N230" s="67"/>
      <c r="O230" s="67"/>
      <c r="P230" s="67"/>
      <c r="Q230" s="67"/>
      <c r="R230" s="67"/>
      <c r="S230" s="67"/>
      <c r="T230" s="68">
        <f>H230*VLOOKUP($F230,'Emission Factors 2'!$A$2:$E$302,2,FALSE)</f>
        <v>0</v>
      </c>
      <c r="U230" s="68">
        <f>I230*VLOOKUP($F230,'Emission Factors 2'!$A$2:$E$302,2,FALSE)</f>
        <v>0</v>
      </c>
      <c r="V230" s="68">
        <f>J230*VLOOKUP($F230,'Emission Factors 2'!$A$2:$E$302,2,FALSE)</f>
        <v>0</v>
      </c>
      <c r="W230" s="68">
        <f>K230*VLOOKUP($F230,'Emission Factors 2'!$A$2:$E$302,2,FALSE)</f>
        <v>0</v>
      </c>
      <c r="X230" s="68">
        <f>L230*VLOOKUP($F230,'Emission Factors 2'!$A$2:$E$302,2,FALSE)</f>
        <v>0</v>
      </c>
      <c r="Y230" s="68">
        <f>M230*VLOOKUP($F230,'Emission Factors 2'!$A$2:$E$302,2,FALSE)</f>
        <v>0</v>
      </c>
      <c r="Z230" s="68">
        <f>N230*VLOOKUP($F230,'Emission Factors 2'!$A$2:$E$302,2,FALSE)</f>
        <v>0</v>
      </c>
      <c r="AA230" s="68">
        <f>O230*VLOOKUP($F230,'Emission Factors 2'!$A$2:$E$302,2,FALSE)</f>
        <v>0</v>
      </c>
      <c r="AB230" s="68">
        <f>P230*VLOOKUP($F230,'Emission Factors 2'!$A$2:$E$302,2,FALSE)</f>
        <v>0</v>
      </c>
      <c r="AC230" s="68">
        <f>Q230*VLOOKUP($F230,'Emission Factors 2'!$A$2:$E$302,2,FALSE)</f>
        <v>0</v>
      </c>
      <c r="AD230" s="68">
        <f>R230*VLOOKUP($F230,'Emission Factors 2'!$A$2:$E$302,2,FALSE)</f>
        <v>0</v>
      </c>
      <c r="AE230" s="68">
        <f>S230*VLOOKUP($F230,'Emission Factors 2'!$A$2:$E$302,2,FALSE)</f>
        <v>0</v>
      </c>
      <c r="AF230" s="19">
        <f t="shared" si="10"/>
        <v>0</v>
      </c>
      <c r="AG230" s="31"/>
      <c r="AH230" s="31"/>
      <c r="AI230" s="31"/>
      <c r="AJ230" s="31"/>
    </row>
    <row r="231" spans="1:36" ht="21.95" customHeight="1" outlineLevel="1" x14ac:dyDescent="0.25">
      <c r="A231" s="118"/>
      <c r="B231" s="133"/>
      <c r="C231" s="29"/>
      <c r="D231" s="27" t="s">
        <v>325</v>
      </c>
      <c r="E231" s="82" t="str">
        <f>'Index Formatting'!I$29</f>
        <v>M</v>
      </c>
      <c r="F231" s="7" t="s">
        <v>328</v>
      </c>
      <c r="G231" s="15" t="s">
        <v>82</v>
      </c>
      <c r="H231" s="67"/>
      <c r="I231" s="67"/>
      <c r="J231" s="67"/>
      <c r="K231" s="67"/>
      <c r="L231" s="67"/>
      <c r="M231" s="67"/>
      <c r="N231" s="67"/>
      <c r="O231" s="67"/>
      <c r="P231" s="67"/>
      <c r="Q231" s="67"/>
      <c r="R231" s="67"/>
      <c r="S231" s="67"/>
      <c r="T231" s="68">
        <f>H231*VLOOKUP($F231,'Emission Factors 2'!$A$2:$E$302,2,FALSE)</f>
        <v>0</v>
      </c>
      <c r="U231" s="68">
        <f>I231*VLOOKUP($F231,'Emission Factors 2'!$A$2:$E$302,2,FALSE)</f>
        <v>0</v>
      </c>
      <c r="V231" s="68">
        <f>J231*VLOOKUP($F231,'Emission Factors 2'!$A$2:$E$302,2,FALSE)</f>
        <v>0</v>
      </c>
      <c r="W231" s="68">
        <f>K231*VLOOKUP($F231,'Emission Factors 2'!$A$2:$E$302,2,FALSE)</f>
        <v>0</v>
      </c>
      <c r="X231" s="68">
        <f>L231*VLOOKUP($F231,'Emission Factors 2'!$A$2:$E$302,2,FALSE)</f>
        <v>0</v>
      </c>
      <c r="Y231" s="68">
        <f>M231*VLOOKUP($F231,'Emission Factors 2'!$A$2:$E$302,2,FALSE)</f>
        <v>0</v>
      </c>
      <c r="Z231" s="68">
        <f>N231*VLOOKUP($F231,'Emission Factors 2'!$A$2:$E$302,2,FALSE)</f>
        <v>0</v>
      </c>
      <c r="AA231" s="68">
        <f>O231*VLOOKUP($F231,'Emission Factors 2'!$A$2:$E$302,2,FALSE)</f>
        <v>0</v>
      </c>
      <c r="AB231" s="68">
        <f>P231*VLOOKUP($F231,'Emission Factors 2'!$A$2:$E$302,2,FALSE)</f>
        <v>0</v>
      </c>
      <c r="AC231" s="68">
        <f>Q231*VLOOKUP($F231,'Emission Factors 2'!$A$2:$E$302,2,FALSE)</f>
        <v>0</v>
      </c>
      <c r="AD231" s="68">
        <f>R231*VLOOKUP($F231,'Emission Factors 2'!$A$2:$E$302,2,FALSE)</f>
        <v>0</v>
      </c>
      <c r="AE231" s="68">
        <f>S231*VLOOKUP($F231,'Emission Factors 2'!$A$2:$E$302,2,FALSE)</f>
        <v>0</v>
      </c>
      <c r="AF231" s="19">
        <f t="shared" si="10"/>
        <v>0</v>
      </c>
      <c r="AG231" s="31"/>
      <c r="AH231" s="31"/>
      <c r="AI231" s="31"/>
      <c r="AJ231" s="31"/>
    </row>
    <row r="232" spans="1:36" ht="21.95" customHeight="1" outlineLevel="1" x14ac:dyDescent="0.25">
      <c r="A232" s="118"/>
      <c r="B232" s="133"/>
      <c r="C232" s="29"/>
      <c r="D232" s="27" t="s">
        <v>325</v>
      </c>
      <c r="E232" s="82" t="str">
        <f>'Index Formatting'!I$29</f>
        <v>M</v>
      </c>
      <c r="F232" s="7" t="s">
        <v>329</v>
      </c>
      <c r="G232" s="15" t="s">
        <v>82</v>
      </c>
      <c r="H232" s="67"/>
      <c r="I232" s="67"/>
      <c r="J232" s="67"/>
      <c r="K232" s="67"/>
      <c r="L232" s="67"/>
      <c r="M232" s="67"/>
      <c r="N232" s="67"/>
      <c r="O232" s="67"/>
      <c r="P232" s="67"/>
      <c r="Q232" s="67"/>
      <c r="R232" s="67"/>
      <c r="S232" s="67"/>
      <c r="T232" s="68">
        <f>H232*VLOOKUP($F232,'Emission Factors 2'!$A$2:$E$302,2,FALSE)</f>
        <v>0</v>
      </c>
      <c r="U232" s="68">
        <f>I232*VLOOKUP($F232,'Emission Factors 2'!$A$2:$E$302,2,FALSE)</f>
        <v>0</v>
      </c>
      <c r="V232" s="68">
        <f>J232*VLOOKUP($F232,'Emission Factors 2'!$A$2:$E$302,2,FALSE)</f>
        <v>0</v>
      </c>
      <c r="W232" s="68">
        <f>K232*VLOOKUP($F232,'Emission Factors 2'!$A$2:$E$302,2,FALSE)</f>
        <v>0</v>
      </c>
      <c r="X232" s="68">
        <f>L232*VLOOKUP($F232,'Emission Factors 2'!$A$2:$E$302,2,FALSE)</f>
        <v>0</v>
      </c>
      <c r="Y232" s="68">
        <f>M232*VLOOKUP($F232,'Emission Factors 2'!$A$2:$E$302,2,FALSE)</f>
        <v>0</v>
      </c>
      <c r="Z232" s="68">
        <f>N232*VLOOKUP($F232,'Emission Factors 2'!$A$2:$E$302,2,FALSE)</f>
        <v>0</v>
      </c>
      <c r="AA232" s="68">
        <f>O232*VLOOKUP($F232,'Emission Factors 2'!$A$2:$E$302,2,FALSE)</f>
        <v>0</v>
      </c>
      <c r="AB232" s="68">
        <f>P232*VLOOKUP($F232,'Emission Factors 2'!$A$2:$E$302,2,FALSE)</f>
        <v>0</v>
      </c>
      <c r="AC232" s="68">
        <f>Q232*VLOOKUP($F232,'Emission Factors 2'!$A$2:$E$302,2,FALSE)</f>
        <v>0</v>
      </c>
      <c r="AD232" s="68">
        <f>R232*VLOOKUP($F232,'Emission Factors 2'!$A$2:$E$302,2,FALSE)</f>
        <v>0</v>
      </c>
      <c r="AE232" s="68">
        <f>S232*VLOOKUP($F232,'Emission Factors 2'!$A$2:$E$302,2,FALSE)</f>
        <v>0</v>
      </c>
      <c r="AF232" s="19">
        <f t="shared" si="10"/>
        <v>0</v>
      </c>
      <c r="AG232" s="31"/>
      <c r="AH232" s="31"/>
      <c r="AI232" s="31"/>
      <c r="AJ232" s="31"/>
    </row>
    <row r="233" spans="1:36" ht="21.95" customHeight="1" outlineLevel="1" x14ac:dyDescent="0.25">
      <c r="A233" s="118"/>
      <c r="B233" s="133"/>
      <c r="C233" s="29"/>
      <c r="D233" s="27" t="s">
        <v>325</v>
      </c>
      <c r="E233" s="82" t="str">
        <f>'Index Formatting'!I$29</f>
        <v>M</v>
      </c>
      <c r="F233" s="7" t="s">
        <v>330</v>
      </c>
      <c r="G233" s="15" t="s">
        <v>82</v>
      </c>
      <c r="H233" s="67"/>
      <c r="I233" s="67"/>
      <c r="J233" s="67"/>
      <c r="K233" s="67"/>
      <c r="L233" s="67"/>
      <c r="M233" s="67"/>
      <c r="N233" s="67"/>
      <c r="O233" s="67"/>
      <c r="P233" s="67"/>
      <c r="Q233" s="67"/>
      <c r="R233" s="67"/>
      <c r="S233" s="67"/>
      <c r="T233" s="68">
        <f>H233*VLOOKUP($F233,'Emission Factors 2'!$A$2:$E$302,2,FALSE)</f>
        <v>0</v>
      </c>
      <c r="U233" s="68">
        <f>I233*VLOOKUP($F233,'Emission Factors 2'!$A$2:$E$302,2,FALSE)</f>
        <v>0</v>
      </c>
      <c r="V233" s="68">
        <f>J233*VLOOKUP($F233,'Emission Factors 2'!$A$2:$E$302,2,FALSE)</f>
        <v>0</v>
      </c>
      <c r="W233" s="68">
        <f>K233*VLOOKUP($F233,'Emission Factors 2'!$A$2:$E$302,2,FALSE)</f>
        <v>0</v>
      </c>
      <c r="X233" s="68">
        <f>L233*VLOOKUP($F233,'Emission Factors 2'!$A$2:$E$302,2,FALSE)</f>
        <v>0</v>
      </c>
      <c r="Y233" s="68">
        <f>M233*VLOOKUP($F233,'Emission Factors 2'!$A$2:$E$302,2,FALSE)</f>
        <v>0</v>
      </c>
      <c r="Z233" s="68">
        <f>N233*VLOOKUP($F233,'Emission Factors 2'!$A$2:$E$302,2,FALSE)</f>
        <v>0</v>
      </c>
      <c r="AA233" s="68">
        <f>O233*VLOOKUP($F233,'Emission Factors 2'!$A$2:$E$302,2,FALSE)</f>
        <v>0</v>
      </c>
      <c r="AB233" s="68">
        <f>P233*VLOOKUP($F233,'Emission Factors 2'!$A$2:$E$302,2,FALSE)</f>
        <v>0</v>
      </c>
      <c r="AC233" s="68">
        <f>Q233*VLOOKUP($F233,'Emission Factors 2'!$A$2:$E$302,2,FALSE)</f>
        <v>0</v>
      </c>
      <c r="AD233" s="68">
        <f>R233*VLOOKUP($F233,'Emission Factors 2'!$A$2:$E$302,2,FALSE)</f>
        <v>0</v>
      </c>
      <c r="AE233" s="68">
        <f>S233*VLOOKUP($F233,'Emission Factors 2'!$A$2:$E$302,2,FALSE)</f>
        <v>0</v>
      </c>
      <c r="AF233" s="19">
        <f t="shared" si="10"/>
        <v>0</v>
      </c>
      <c r="AG233" s="31"/>
      <c r="AH233" s="31"/>
      <c r="AI233" s="31"/>
      <c r="AJ233" s="31"/>
    </row>
    <row r="234" spans="1:36" ht="21.95" customHeight="1" outlineLevel="1" x14ac:dyDescent="0.25">
      <c r="A234" s="118"/>
      <c r="B234" s="133"/>
      <c r="C234" s="29"/>
      <c r="D234" s="27" t="s">
        <v>325</v>
      </c>
      <c r="E234" s="82" t="str">
        <f>'Index Formatting'!I$29</f>
        <v>M</v>
      </c>
      <c r="F234" s="7" t="s">
        <v>331</v>
      </c>
      <c r="G234" s="15" t="s">
        <v>82</v>
      </c>
      <c r="H234" s="67"/>
      <c r="I234" s="67"/>
      <c r="J234" s="67"/>
      <c r="K234" s="67"/>
      <c r="L234" s="67"/>
      <c r="M234" s="67"/>
      <c r="N234" s="67"/>
      <c r="O234" s="67"/>
      <c r="P234" s="67"/>
      <c r="Q234" s="67"/>
      <c r="R234" s="67"/>
      <c r="S234" s="67"/>
      <c r="T234" s="68">
        <f>H234*VLOOKUP($F234,'Emission Factors 2'!$A$2:$E$302,2,FALSE)</f>
        <v>0</v>
      </c>
      <c r="U234" s="68">
        <f>I234*VLOOKUP($F234,'Emission Factors 2'!$A$2:$E$302,2,FALSE)</f>
        <v>0</v>
      </c>
      <c r="V234" s="68">
        <f>J234*VLOOKUP($F234,'Emission Factors 2'!$A$2:$E$302,2,FALSE)</f>
        <v>0</v>
      </c>
      <c r="W234" s="68">
        <f>K234*VLOOKUP($F234,'Emission Factors 2'!$A$2:$E$302,2,FALSE)</f>
        <v>0</v>
      </c>
      <c r="X234" s="68">
        <f>L234*VLOOKUP($F234,'Emission Factors 2'!$A$2:$E$302,2,FALSE)</f>
        <v>0</v>
      </c>
      <c r="Y234" s="68">
        <f>M234*VLOOKUP($F234,'Emission Factors 2'!$A$2:$E$302,2,FALSE)</f>
        <v>0</v>
      </c>
      <c r="Z234" s="68">
        <f>N234*VLOOKUP($F234,'Emission Factors 2'!$A$2:$E$302,2,FALSE)</f>
        <v>0</v>
      </c>
      <c r="AA234" s="68">
        <f>O234*VLOOKUP($F234,'Emission Factors 2'!$A$2:$E$302,2,FALSE)</f>
        <v>0</v>
      </c>
      <c r="AB234" s="68">
        <f>P234*VLOOKUP($F234,'Emission Factors 2'!$A$2:$E$302,2,FALSE)</f>
        <v>0</v>
      </c>
      <c r="AC234" s="68">
        <f>Q234*VLOOKUP($F234,'Emission Factors 2'!$A$2:$E$302,2,FALSE)</f>
        <v>0</v>
      </c>
      <c r="AD234" s="68">
        <f>R234*VLOOKUP($F234,'Emission Factors 2'!$A$2:$E$302,2,FALSE)</f>
        <v>0</v>
      </c>
      <c r="AE234" s="68">
        <f>S234*VLOOKUP($F234,'Emission Factors 2'!$A$2:$E$302,2,FALSE)</f>
        <v>0</v>
      </c>
      <c r="AF234" s="19">
        <f t="shared" si="10"/>
        <v>0</v>
      </c>
      <c r="AG234" s="31"/>
      <c r="AH234" s="31"/>
      <c r="AI234" s="31"/>
      <c r="AJ234" s="31"/>
    </row>
    <row r="235" spans="1:36" ht="21.95" customHeight="1" outlineLevel="1" x14ac:dyDescent="0.25">
      <c r="A235" s="118"/>
      <c r="B235" s="133"/>
      <c r="C235" s="29"/>
      <c r="D235" s="27" t="s">
        <v>325</v>
      </c>
      <c r="E235" s="82" t="str">
        <f>'Index Formatting'!I$29</f>
        <v>M</v>
      </c>
      <c r="F235" s="7" t="s">
        <v>332</v>
      </c>
      <c r="G235" s="15" t="s">
        <v>82</v>
      </c>
      <c r="H235" s="67"/>
      <c r="I235" s="67"/>
      <c r="J235" s="67"/>
      <c r="K235" s="67"/>
      <c r="L235" s="67"/>
      <c r="M235" s="67"/>
      <c r="N235" s="67"/>
      <c r="O235" s="67"/>
      <c r="P235" s="67"/>
      <c r="Q235" s="67"/>
      <c r="R235" s="67"/>
      <c r="S235" s="67"/>
      <c r="T235" s="68">
        <f>H235*VLOOKUP($F235,'Emission Factors 2'!$A$2:$E$302,2,FALSE)</f>
        <v>0</v>
      </c>
      <c r="U235" s="68">
        <f>I235*VLOOKUP($F235,'Emission Factors 2'!$A$2:$E$302,2,FALSE)</f>
        <v>0</v>
      </c>
      <c r="V235" s="68">
        <f>J235*VLOOKUP($F235,'Emission Factors 2'!$A$2:$E$302,2,FALSE)</f>
        <v>0</v>
      </c>
      <c r="W235" s="68">
        <f>K235*VLOOKUP($F235,'Emission Factors 2'!$A$2:$E$302,2,FALSE)</f>
        <v>0</v>
      </c>
      <c r="X235" s="68">
        <f>L235*VLOOKUP($F235,'Emission Factors 2'!$A$2:$E$302,2,FALSE)</f>
        <v>0</v>
      </c>
      <c r="Y235" s="68">
        <f>M235*VLOOKUP($F235,'Emission Factors 2'!$A$2:$E$302,2,FALSE)</f>
        <v>0</v>
      </c>
      <c r="Z235" s="68">
        <f>N235*VLOOKUP($F235,'Emission Factors 2'!$A$2:$E$302,2,FALSE)</f>
        <v>0</v>
      </c>
      <c r="AA235" s="68">
        <f>O235*VLOOKUP($F235,'Emission Factors 2'!$A$2:$E$302,2,FALSE)</f>
        <v>0</v>
      </c>
      <c r="AB235" s="68">
        <f>P235*VLOOKUP($F235,'Emission Factors 2'!$A$2:$E$302,2,FALSE)</f>
        <v>0</v>
      </c>
      <c r="AC235" s="68">
        <f>Q235*VLOOKUP($F235,'Emission Factors 2'!$A$2:$E$302,2,FALSE)</f>
        <v>0</v>
      </c>
      <c r="AD235" s="68">
        <f>R235*VLOOKUP($F235,'Emission Factors 2'!$A$2:$E$302,2,FALSE)</f>
        <v>0</v>
      </c>
      <c r="AE235" s="68">
        <f>S235*VLOOKUP($F235,'Emission Factors 2'!$A$2:$E$302,2,FALSE)</f>
        <v>0</v>
      </c>
      <c r="AF235" s="19">
        <f t="shared" si="10"/>
        <v>0</v>
      </c>
      <c r="AG235" s="31"/>
      <c r="AH235" s="31"/>
      <c r="AI235" s="31"/>
      <c r="AJ235" s="31"/>
    </row>
    <row r="236" spans="1:36" ht="21.95" customHeight="1" outlineLevel="1" x14ac:dyDescent="0.25">
      <c r="A236" s="118"/>
      <c r="B236" s="133"/>
      <c r="C236" s="29"/>
      <c r="D236" s="27" t="s">
        <v>325</v>
      </c>
      <c r="E236" s="82" t="str">
        <f>'Index Formatting'!I$29</f>
        <v>M</v>
      </c>
      <c r="F236" s="7" t="s">
        <v>738</v>
      </c>
      <c r="G236" s="15" t="s">
        <v>82</v>
      </c>
      <c r="H236" s="67"/>
      <c r="I236" s="67"/>
      <c r="J236" s="67"/>
      <c r="K236" s="67"/>
      <c r="L236" s="67"/>
      <c r="M236" s="67"/>
      <c r="N236" s="67"/>
      <c r="O236" s="67"/>
      <c r="P236" s="67"/>
      <c r="Q236" s="67"/>
      <c r="R236" s="67"/>
      <c r="S236" s="67"/>
      <c r="T236" s="68">
        <f>H236*VLOOKUP($F236,'Emission Factors 2'!$A$2:$E$302,2,FALSE)</f>
        <v>0</v>
      </c>
      <c r="U236" s="68">
        <f>I236*VLOOKUP($F236,'Emission Factors 2'!$A$2:$E$302,2,FALSE)</f>
        <v>0</v>
      </c>
      <c r="V236" s="68">
        <f>J236*VLOOKUP($F236,'Emission Factors 2'!$A$2:$E$302,2,FALSE)</f>
        <v>0</v>
      </c>
      <c r="W236" s="68">
        <f>K236*VLOOKUP($F236,'Emission Factors 2'!$A$2:$E$302,2,FALSE)</f>
        <v>0</v>
      </c>
      <c r="X236" s="68">
        <f>L236*VLOOKUP($F236,'Emission Factors 2'!$A$2:$E$302,2,FALSE)</f>
        <v>0</v>
      </c>
      <c r="Y236" s="68">
        <f>M236*VLOOKUP($F236,'Emission Factors 2'!$A$2:$E$302,2,FALSE)</f>
        <v>0</v>
      </c>
      <c r="Z236" s="68">
        <f>N236*VLOOKUP($F236,'Emission Factors 2'!$A$2:$E$302,2,FALSE)</f>
        <v>0</v>
      </c>
      <c r="AA236" s="68">
        <f>O236*VLOOKUP($F236,'Emission Factors 2'!$A$2:$E$302,2,FALSE)</f>
        <v>0</v>
      </c>
      <c r="AB236" s="68">
        <f>P236*VLOOKUP($F236,'Emission Factors 2'!$A$2:$E$302,2,FALSE)</f>
        <v>0</v>
      </c>
      <c r="AC236" s="68">
        <f>Q236*VLOOKUP($F236,'Emission Factors 2'!$A$2:$E$302,2,FALSE)</f>
        <v>0</v>
      </c>
      <c r="AD236" s="68">
        <f>R236*VLOOKUP($F236,'Emission Factors 2'!$A$2:$E$302,2,FALSE)</f>
        <v>0</v>
      </c>
      <c r="AE236" s="68">
        <f>S236*VLOOKUP($F236,'Emission Factors 2'!$A$2:$E$302,2,FALSE)</f>
        <v>0</v>
      </c>
      <c r="AF236" s="19">
        <f t="shared" si="10"/>
        <v>0</v>
      </c>
      <c r="AG236" s="31"/>
      <c r="AH236" s="31"/>
      <c r="AI236" s="31"/>
      <c r="AJ236" s="31"/>
    </row>
    <row r="237" spans="1:36" ht="21.95" customHeight="1" outlineLevel="1" x14ac:dyDescent="0.25">
      <c r="A237" s="118"/>
      <c r="B237" s="133"/>
      <c r="C237" s="29"/>
      <c r="D237" s="27" t="s">
        <v>325</v>
      </c>
      <c r="E237" s="82" t="str">
        <f>'Index Formatting'!I$29</f>
        <v>M</v>
      </c>
      <c r="F237" s="7" t="s">
        <v>414</v>
      </c>
      <c r="G237" s="15" t="s">
        <v>82</v>
      </c>
      <c r="H237" s="67"/>
      <c r="I237" s="67"/>
      <c r="J237" s="67"/>
      <c r="K237" s="67"/>
      <c r="L237" s="67"/>
      <c r="M237" s="67"/>
      <c r="N237" s="67"/>
      <c r="O237" s="67"/>
      <c r="P237" s="67"/>
      <c r="Q237" s="67"/>
      <c r="R237" s="67"/>
      <c r="S237" s="67"/>
      <c r="T237" s="68">
        <f>H237*VLOOKUP($F237,'Emission Factors 2'!$A$2:$E$302,2,FALSE)</f>
        <v>0</v>
      </c>
      <c r="U237" s="68">
        <f>I237*VLOOKUP($F237,'Emission Factors 2'!$A$2:$E$302,2,FALSE)</f>
        <v>0</v>
      </c>
      <c r="V237" s="68">
        <f>J237*VLOOKUP($F237,'Emission Factors 2'!$A$2:$E$302,2,FALSE)</f>
        <v>0</v>
      </c>
      <c r="W237" s="68">
        <f>K237*VLOOKUP($F237,'Emission Factors 2'!$A$2:$E$302,2,FALSE)</f>
        <v>0</v>
      </c>
      <c r="X237" s="68">
        <f>L237*VLOOKUP($F237,'Emission Factors 2'!$A$2:$E$302,2,FALSE)</f>
        <v>0</v>
      </c>
      <c r="Y237" s="68">
        <f>M237*VLOOKUP($F237,'Emission Factors 2'!$A$2:$E$302,2,FALSE)</f>
        <v>0</v>
      </c>
      <c r="Z237" s="68">
        <f>N237*VLOOKUP($F237,'Emission Factors 2'!$A$2:$E$302,2,FALSE)</f>
        <v>0</v>
      </c>
      <c r="AA237" s="68">
        <f>O237*VLOOKUP($F237,'Emission Factors 2'!$A$2:$E$302,2,FALSE)</f>
        <v>0</v>
      </c>
      <c r="AB237" s="68">
        <f>P237*VLOOKUP($F237,'Emission Factors 2'!$A$2:$E$302,2,FALSE)</f>
        <v>0</v>
      </c>
      <c r="AC237" s="68">
        <f>Q237*VLOOKUP($F237,'Emission Factors 2'!$A$2:$E$302,2,FALSE)</f>
        <v>0</v>
      </c>
      <c r="AD237" s="68">
        <f>R237*VLOOKUP($F237,'Emission Factors 2'!$A$2:$E$302,2,FALSE)</f>
        <v>0</v>
      </c>
      <c r="AE237" s="68">
        <f>S237*VLOOKUP($F237,'Emission Factors 2'!$A$2:$E$302,2,FALSE)</f>
        <v>0</v>
      </c>
      <c r="AF237" s="19">
        <f t="shared" si="10"/>
        <v>0</v>
      </c>
      <c r="AG237" s="31"/>
      <c r="AH237" s="31"/>
      <c r="AI237" s="31"/>
      <c r="AJ237" s="31"/>
    </row>
    <row r="238" spans="1:36" ht="21.95" customHeight="1" outlineLevel="1" x14ac:dyDescent="0.25">
      <c r="A238" s="118"/>
      <c r="B238" s="133"/>
      <c r="C238" s="29"/>
      <c r="D238" s="27" t="s">
        <v>325</v>
      </c>
      <c r="E238" s="82" t="str">
        <f>'Index Formatting'!I$29</f>
        <v>M</v>
      </c>
      <c r="F238" s="7" t="s">
        <v>738</v>
      </c>
      <c r="G238" s="15" t="s">
        <v>82</v>
      </c>
      <c r="H238" s="67"/>
      <c r="I238" s="67"/>
      <c r="J238" s="67"/>
      <c r="K238" s="67"/>
      <c r="L238" s="67"/>
      <c r="M238" s="67"/>
      <c r="N238" s="67"/>
      <c r="O238" s="67"/>
      <c r="P238" s="67"/>
      <c r="Q238" s="67"/>
      <c r="R238" s="67"/>
      <c r="S238" s="67"/>
      <c r="T238" s="68">
        <f>H238*VLOOKUP($F238,'Emission Factors 2'!$A$2:$E$302,2,FALSE)</f>
        <v>0</v>
      </c>
      <c r="U238" s="68">
        <f>I238*VLOOKUP($F238,'Emission Factors 2'!$A$2:$E$302,2,FALSE)</f>
        <v>0</v>
      </c>
      <c r="V238" s="68">
        <f>J238*VLOOKUP($F238,'Emission Factors 2'!$A$2:$E$302,2,FALSE)</f>
        <v>0</v>
      </c>
      <c r="W238" s="68">
        <f>K238*VLOOKUP($F238,'Emission Factors 2'!$A$2:$E$302,2,FALSE)</f>
        <v>0</v>
      </c>
      <c r="X238" s="68">
        <f>L238*VLOOKUP($F238,'Emission Factors 2'!$A$2:$E$302,2,FALSE)</f>
        <v>0</v>
      </c>
      <c r="Y238" s="68">
        <f>M238*VLOOKUP($F238,'Emission Factors 2'!$A$2:$E$302,2,FALSE)</f>
        <v>0</v>
      </c>
      <c r="Z238" s="68">
        <f>N238*VLOOKUP($F238,'Emission Factors 2'!$A$2:$E$302,2,FALSE)</f>
        <v>0</v>
      </c>
      <c r="AA238" s="68">
        <f>O238*VLOOKUP($F238,'Emission Factors 2'!$A$2:$E$302,2,FALSE)</f>
        <v>0</v>
      </c>
      <c r="AB238" s="68">
        <f>P238*VLOOKUP($F238,'Emission Factors 2'!$A$2:$E$302,2,FALSE)</f>
        <v>0</v>
      </c>
      <c r="AC238" s="68">
        <f>Q238*VLOOKUP($F238,'Emission Factors 2'!$A$2:$E$302,2,FALSE)</f>
        <v>0</v>
      </c>
      <c r="AD238" s="68">
        <f>R238*VLOOKUP($F238,'Emission Factors 2'!$A$2:$E$302,2,FALSE)</f>
        <v>0</v>
      </c>
      <c r="AE238" s="68">
        <f>S238*VLOOKUP($F238,'Emission Factors 2'!$A$2:$E$302,2,FALSE)</f>
        <v>0</v>
      </c>
      <c r="AF238" s="19">
        <f t="shared" si="10"/>
        <v>0</v>
      </c>
      <c r="AG238" s="31"/>
      <c r="AH238" s="31"/>
      <c r="AI238" s="31"/>
      <c r="AJ238" s="31"/>
    </row>
    <row r="239" spans="1:36" ht="21.95" customHeight="1" outlineLevel="1" x14ac:dyDescent="0.25">
      <c r="A239" s="118"/>
      <c r="B239" s="133"/>
      <c r="C239" s="29"/>
      <c r="D239" s="27" t="s">
        <v>325</v>
      </c>
      <c r="E239" s="82" t="str">
        <f>'Index Formatting'!I$29</f>
        <v>M</v>
      </c>
      <c r="F239" s="7" t="s">
        <v>738</v>
      </c>
      <c r="G239" s="15" t="s">
        <v>82</v>
      </c>
      <c r="H239" s="67"/>
      <c r="I239" s="67"/>
      <c r="J239" s="67"/>
      <c r="K239" s="67"/>
      <c r="L239" s="67"/>
      <c r="M239" s="67"/>
      <c r="N239" s="67"/>
      <c r="O239" s="67"/>
      <c r="P239" s="67"/>
      <c r="Q239" s="67"/>
      <c r="R239" s="67"/>
      <c r="S239" s="67"/>
      <c r="T239" s="68">
        <f>H239*VLOOKUP($F239,'Emission Factors 2'!$A$2:$E$302,2,FALSE)</f>
        <v>0</v>
      </c>
      <c r="U239" s="68">
        <f>I239*VLOOKUP($F239,'Emission Factors 2'!$A$2:$E$302,2,FALSE)</f>
        <v>0</v>
      </c>
      <c r="V239" s="68">
        <f>J239*VLOOKUP($F239,'Emission Factors 2'!$A$2:$E$302,2,FALSE)</f>
        <v>0</v>
      </c>
      <c r="W239" s="68">
        <f>K239*VLOOKUP($F239,'Emission Factors 2'!$A$2:$E$302,2,FALSE)</f>
        <v>0</v>
      </c>
      <c r="X239" s="68">
        <f>L239*VLOOKUP($F239,'Emission Factors 2'!$A$2:$E$302,2,FALSE)</f>
        <v>0</v>
      </c>
      <c r="Y239" s="68">
        <f>M239*VLOOKUP($F239,'Emission Factors 2'!$A$2:$E$302,2,FALSE)</f>
        <v>0</v>
      </c>
      <c r="Z239" s="68">
        <f>N239*VLOOKUP($F239,'Emission Factors 2'!$A$2:$E$302,2,FALSE)</f>
        <v>0</v>
      </c>
      <c r="AA239" s="68">
        <f>O239*VLOOKUP($F239,'Emission Factors 2'!$A$2:$E$302,2,FALSE)</f>
        <v>0</v>
      </c>
      <c r="AB239" s="68">
        <f>P239*VLOOKUP($F239,'Emission Factors 2'!$A$2:$E$302,2,FALSE)</f>
        <v>0</v>
      </c>
      <c r="AC239" s="68">
        <f>Q239*VLOOKUP($F239,'Emission Factors 2'!$A$2:$E$302,2,FALSE)</f>
        <v>0</v>
      </c>
      <c r="AD239" s="68">
        <f>R239*VLOOKUP($F239,'Emission Factors 2'!$A$2:$E$302,2,FALSE)</f>
        <v>0</v>
      </c>
      <c r="AE239" s="68">
        <f>S239*VLOOKUP($F239,'Emission Factors 2'!$A$2:$E$302,2,FALSE)</f>
        <v>0</v>
      </c>
      <c r="AF239" s="19">
        <f t="shared" si="10"/>
        <v>0</v>
      </c>
      <c r="AG239" s="31"/>
      <c r="AH239" s="31"/>
      <c r="AI239" s="31"/>
      <c r="AJ239" s="31"/>
    </row>
    <row r="240" spans="1:36" ht="21.95" customHeight="1" outlineLevel="1" x14ac:dyDescent="0.25">
      <c r="A240" s="118"/>
      <c r="B240" s="133"/>
      <c r="C240" s="29"/>
      <c r="D240" s="27" t="s">
        <v>325</v>
      </c>
      <c r="E240" s="82" t="str">
        <f>'Index Formatting'!I$29</f>
        <v>M</v>
      </c>
      <c r="F240" s="7" t="s">
        <v>333</v>
      </c>
      <c r="G240" s="15" t="s">
        <v>82</v>
      </c>
      <c r="H240" s="67"/>
      <c r="I240" s="67"/>
      <c r="J240" s="67"/>
      <c r="K240" s="67"/>
      <c r="L240" s="67"/>
      <c r="M240" s="67"/>
      <c r="N240" s="67"/>
      <c r="O240" s="67"/>
      <c r="P240" s="67"/>
      <c r="Q240" s="67"/>
      <c r="R240" s="67"/>
      <c r="S240" s="67"/>
      <c r="T240" s="68">
        <f>H240*VLOOKUP($F240,'Emission Factors 2'!$A$2:$E$302,2,FALSE)</f>
        <v>0</v>
      </c>
      <c r="U240" s="68">
        <f>I240*VLOOKUP($F240,'Emission Factors 2'!$A$2:$E$302,2,FALSE)</f>
        <v>0</v>
      </c>
      <c r="V240" s="68">
        <f>J240*VLOOKUP($F240,'Emission Factors 2'!$A$2:$E$302,2,FALSE)</f>
        <v>0</v>
      </c>
      <c r="W240" s="68">
        <f>K240*VLOOKUP($F240,'Emission Factors 2'!$A$2:$E$302,2,FALSE)</f>
        <v>0</v>
      </c>
      <c r="X240" s="68">
        <f>L240*VLOOKUP($F240,'Emission Factors 2'!$A$2:$E$302,2,FALSE)</f>
        <v>0</v>
      </c>
      <c r="Y240" s="68">
        <f>M240*VLOOKUP($F240,'Emission Factors 2'!$A$2:$E$302,2,FALSE)</f>
        <v>0</v>
      </c>
      <c r="Z240" s="68">
        <f>N240*VLOOKUP($F240,'Emission Factors 2'!$A$2:$E$302,2,FALSE)</f>
        <v>0</v>
      </c>
      <c r="AA240" s="68">
        <f>O240*VLOOKUP($F240,'Emission Factors 2'!$A$2:$E$302,2,FALSE)</f>
        <v>0</v>
      </c>
      <c r="AB240" s="68">
        <f>P240*VLOOKUP($F240,'Emission Factors 2'!$A$2:$E$302,2,FALSE)</f>
        <v>0</v>
      </c>
      <c r="AC240" s="68">
        <f>Q240*VLOOKUP($F240,'Emission Factors 2'!$A$2:$E$302,2,FALSE)</f>
        <v>0</v>
      </c>
      <c r="AD240" s="68">
        <f>R240*VLOOKUP($F240,'Emission Factors 2'!$A$2:$E$302,2,FALSE)</f>
        <v>0</v>
      </c>
      <c r="AE240" s="68">
        <f>S240*VLOOKUP($F240,'Emission Factors 2'!$A$2:$E$302,2,FALSE)</f>
        <v>0</v>
      </c>
      <c r="AF240" s="19">
        <f t="shared" si="10"/>
        <v>0</v>
      </c>
      <c r="AG240" s="31"/>
      <c r="AH240" s="31"/>
      <c r="AI240" s="31"/>
      <c r="AJ240" s="31"/>
    </row>
    <row r="241" spans="1:36" ht="21.95" customHeight="1" outlineLevel="1" x14ac:dyDescent="0.25">
      <c r="A241" s="118"/>
      <c r="B241" s="133"/>
      <c r="C241" s="29"/>
      <c r="D241" s="27" t="s">
        <v>325</v>
      </c>
      <c r="E241" s="82" t="str">
        <f>'Index Formatting'!I$29</f>
        <v>M</v>
      </c>
      <c r="F241" s="7" t="s">
        <v>333</v>
      </c>
      <c r="G241" s="15" t="s">
        <v>82</v>
      </c>
      <c r="H241" s="67"/>
      <c r="I241" s="67"/>
      <c r="J241" s="67"/>
      <c r="K241" s="67"/>
      <c r="L241" s="67"/>
      <c r="M241" s="67"/>
      <c r="N241" s="67"/>
      <c r="O241" s="67"/>
      <c r="P241" s="67"/>
      <c r="Q241" s="67"/>
      <c r="R241" s="67"/>
      <c r="S241" s="67"/>
      <c r="T241" s="68">
        <f>H241*VLOOKUP($F241,'Emission Factors 2'!$A$2:$E$302,2,FALSE)</f>
        <v>0</v>
      </c>
      <c r="U241" s="68">
        <f>I241*VLOOKUP($F241,'Emission Factors 2'!$A$2:$E$302,2,FALSE)</f>
        <v>0</v>
      </c>
      <c r="V241" s="68">
        <f>J241*VLOOKUP($F241,'Emission Factors 2'!$A$2:$E$302,2,FALSE)</f>
        <v>0</v>
      </c>
      <c r="W241" s="68">
        <f>K241*VLOOKUP($F241,'Emission Factors 2'!$A$2:$E$302,2,FALSE)</f>
        <v>0</v>
      </c>
      <c r="X241" s="68">
        <f>L241*VLOOKUP($F241,'Emission Factors 2'!$A$2:$E$302,2,FALSE)</f>
        <v>0</v>
      </c>
      <c r="Y241" s="68">
        <f>M241*VLOOKUP($F241,'Emission Factors 2'!$A$2:$E$302,2,FALSE)</f>
        <v>0</v>
      </c>
      <c r="Z241" s="68">
        <f>N241*VLOOKUP($F241,'Emission Factors 2'!$A$2:$E$302,2,FALSE)</f>
        <v>0</v>
      </c>
      <c r="AA241" s="68">
        <f>O241*VLOOKUP($F241,'Emission Factors 2'!$A$2:$E$302,2,FALSE)</f>
        <v>0</v>
      </c>
      <c r="AB241" s="68">
        <f>P241*VLOOKUP($F241,'Emission Factors 2'!$A$2:$E$302,2,FALSE)</f>
        <v>0</v>
      </c>
      <c r="AC241" s="68">
        <f>Q241*VLOOKUP($F241,'Emission Factors 2'!$A$2:$E$302,2,FALSE)</f>
        <v>0</v>
      </c>
      <c r="AD241" s="68">
        <f>R241*VLOOKUP($F241,'Emission Factors 2'!$A$2:$E$302,2,FALSE)</f>
        <v>0</v>
      </c>
      <c r="AE241" s="68">
        <f>S241*VLOOKUP($F241,'Emission Factors 2'!$A$2:$E$302,2,FALSE)</f>
        <v>0</v>
      </c>
      <c r="AF241" s="19">
        <f t="shared" si="10"/>
        <v>0</v>
      </c>
      <c r="AG241" s="31"/>
      <c r="AH241" s="31"/>
      <c r="AI241" s="31"/>
      <c r="AJ241" s="31"/>
    </row>
    <row r="242" spans="1:36" ht="21.95" customHeight="1" x14ac:dyDescent="0.25">
      <c r="A242" s="130" t="str">
        <f>IF(COUNTIF(E243:E255,"M"),"Retaining Wall", "Retaining Wall (Optional)")</f>
        <v>Retaining Wall</v>
      </c>
      <c r="B242" s="131"/>
      <c r="C242" s="131"/>
      <c r="D242" s="131"/>
      <c r="E242" s="131"/>
      <c r="F242" s="131"/>
      <c r="G242" s="132"/>
      <c r="H242" s="137"/>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9">
        <f>SUM(AF243:AF255)</f>
        <v>0</v>
      </c>
      <c r="AG242" s="31"/>
      <c r="AH242" s="31"/>
      <c r="AI242" s="31"/>
      <c r="AJ242" s="31"/>
    </row>
    <row r="243" spans="1:36" ht="15.75" outlineLevel="1" x14ac:dyDescent="0.25">
      <c r="A243" s="118">
        <v>14</v>
      </c>
      <c r="B243" s="133" t="s">
        <v>413</v>
      </c>
      <c r="C243" s="29"/>
      <c r="D243" s="27" t="s">
        <v>325</v>
      </c>
      <c r="E243" s="82" t="str">
        <f>'Index Formatting'!I$30</f>
        <v>M</v>
      </c>
      <c r="F243" s="7" t="s">
        <v>326</v>
      </c>
      <c r="G243" s="15" t="s">
        <v>82</v>
      </c>
      <c r="H243" s="67"/>
      <c r="I243" s="67"/>
      <c r="J243" s="67"/>
      <c r="K243" s="67"/>
      <c r="L243" s="67"/>
      <c r="M243" s="67"/>
      <c r="N243" s="67"/>
      <c r="O243" s="67"/>
      <c r="P243" s="67"/>
      <c r="Q243" s="67"/>
      <c r="R243" s="67"/>
      <c r="S243" s="67"/>
      <c r="T243" s="68">
        <f>H243*VLOOKUP($F243,'Emission Factors 2'!$A$2:$E$302,2,FALSE)</f>
        <v>0</v>
      </c>
      <c r="U243" s="68">
        <f>I243*VLOOKUP($F243,'Emission Factors 2'!$A$2:$E$302,2,FALSE)</f>
        <v>0</v>
      </c>
      <c r="V243" s="68">
        <f>J243*VLOOKUP($F243,'Emission Factors 2'!$A$2:$E$302,2,FALSE)</f>
        <v>0</v>
      </c>
      <c r="W243" s="68">
        <f>K243*VLOOKUP($F243,'Emission Factors 2'!$A$2:$E$302,2,FALSE)</f>
        <v>0</v>
      </c>
      <c r="X243" s="68">
        <f>L243*VLOOKUP($F243,'Emission Factors 2'!$A$2:$E$302,2,FALSE)</f>
        <v>0</v>
      </c>
      <c r="Y243" s="68">
        <f>M243*VLOOKUP($F243,'Emission Factors 2'!$A$2:$E$302,2,FALSE)</f>
        <v>0</v>
      </c>
      <c r="Z243" s="68">
        <f>N243*VLOOKUP($F243,'Emission Factors 2'!$A$2:$E$302,2,FALSE)</f>
        <v>0</v>
      </c>
      <c r="AA243" s="68">
        <f>O243*VLOOKUP($F243,'Emission Factors 2'!$A$2:$E$302,2,FALSE)</f>
        <v>0</v>
      </c>
      <c r="AB243" s="68">
        <f>P243*VLOOKUP($F243,'Emission Factors 2'!$A$2:$E$302,2,FALSE)</f>
        <v>0</v>
      </c>
      <c r="AC243" s="68">
        <f>Q243*VLOOKUP($F243,'Emission Factors 2'!$A$2:$E$302,2,FALSE)</f>
        <v>0</v>
      </c>
      <c r="AD243" s="68">
        <f>R243*VLOOKUP($F243,'Emission Factors 2'!$A$2:$E$302,2,FALSE)</f>
        <v>0</v>
      </c>
      <c r="AE243" s="68">
        <f>S243*VLOOKUP($F243,'Emission Factors 2'!$A$2:$E$302,2,FALSE)</f>
        <v>0</v>
      </c>
      <c r="AF243" s="19">
        <f t="shared" si="10"/>
        <v>0</v>
      </c>
      <c r="AG243" s="31"/>
      <c r="AH243" s="31"/>
      <c r="AI243" s="31"/>
      <c r="AJ243" s="31"/>
    </row>
    <row r="244" spans="1:36" ht="15.75" outlineLevel="1" x14ac:dyDescent="0.25">
      <c r="A244" s="118"/>
      <c r="B244" s="133"/>
      <c r="C244" s="29"/>
      <c r="D244" s="27" t="s">
        <v>325</v>
      </c>
      <c r="E244" s="82" t="str">
        <f>'Index Formatting'!I$30</f>
        <v>M</v>
      </c>
      <c r="F244" s="7" t="s">
        <v>327</v>
      </c>
      <c r="G244" s="15" t="s">
        <v>82</v>
      </c>
      <c r="H244" s="67"/>
      <c r="I244" s="67"/>
      <c r="J244" s="67"/>
      <c r="K244" s="67"/>
      <c r="L244" s="67"/>
      <c r="M244" s="67"/>
      <c r="N244" s="67"/>
      <c r="O244" s="67"/>
      <c r="P244" s="67"/>
      <c r="Q244" s="67"/>
      <c r="R244" s="67"/>
      <c r="S244" s="67"/>
      <c r="T244" s="68">
        <f>H244*VLOOKUP($F244,'Emission Factors 2'!$A$2:$E$302,2,FALSE)</f>
        <v>0</v>
      </c>
      <c r="U244" s="68">
        <f>I244*VLOOKUP($F244,'Emission Factors 2'!$A$2:$E$302,2,FALSE)</f>
        <v>0</v>
      </c>
      <c r="V244" s="68">
        <f>J244*VLOOKUP($F244,'Emission Factors 2'!$A$2:$E$302,2,FALSE)</f>
        <v>0</v>
      </c>
      <c r="W244" s="68">
        <f>K244*VLOOKUP($F244,'Emission Factors 2'!$A$2:$E$302,2,FALSE)</f>
        <v>0</v>
      </c>
      <c r="X244" s="68">
        <f>L244*VLOOKUP($F244,'Emission Factors 2'!$A$2:$E$302,2,FALSE)</f>
        <v>0</v>
      </c>
      <c r="Y244" s="68">
        <f>M244*VLOOKUP($F244,'Emission Factors 2'!$A$2:$E$302,2,FALSE)</f>
        <v>0</v>
      </c>
      <c r="Z244" s="68">
        <f>N244*VLOOKUP($F244,'Emission Factors 2'!$A$2:$E$302,2,FALSE)</f>
        <v>0</v>
      </c>
      <c r="AA244" s="68">
        <f>O244*VLOOKUP($F244,'Emission Factors 2'!$A$2:$E$302,2,FALSE)</f>
        <v>0</v>
      </c>
      <c r="AB244" s="68">
        <f>P244*VLOOKUP($F244,'Emission Factors 2'!$A$2:$E$302,2,FALSE)</f>
        <v>0</v>
      </c>
      <c r="AC244" s="68">
        <f>Q244*VLOOKUP($F244,'Emission Factors 2'!$A$2:$E$302,2,FALSE)</f>
        <v>0</v>
      </c>
      <c r="AD244" s="68">
        <f>R244*VLOOKUP($F244,'Emission Factors 2'!$A$2:$E$302,2,FALSE)</f>
        <v>0</v>
      </c>
      <c r="AE244" s="68">
        <f>S244*VLOOKUP($F244,'Emission Factors 2'!$A$2:$E$302,2,FALSE)</f>
        <v>0</v>
      </c>
      <c r="AF244" s="19">
        <f t="shared" si="10"/>
        <v>0</v>
      </c>
      <c r="AG244" s="31"/>
      <c r="AH244" s="31"/>
      <c r="AI244" s="31"/>
      <c r="AJ244" s="31"/>
    </row>
    <row r="245" spans="1:36" ht="15.75" outlineLevel="1" x14ac:dyDescent="0.25">
      <c r="A245" s="118"/>
      <c r="B245" s="133"/>
      <c r="C245" s="29"/>
      <c r="D245" s="27" t="s">
        <v>325</v>
      </c>
      <c r="E245" s="82" t="str">
        <f>'Index Formatting'!I$30</f>
        <v>M</v>
      </c>
      <c r="F245" s="7" t="s">
        <v>328</v>
      </c>
      <c r="G245" s="15" t="s">
        <v>82</v>
      </c>
      <c r="H245" s="67"/>
      <c r="I245" s="67"/>
      <c r="J245" s="67"/>
      <c r="K245" s="67"/>
      <c r="L245" s="67"/>
      <c r="M245" s="67"/>
      <c r="N245" s="67"/>
      <c r="O245" s="67"/>
      <c r="P245" s="67"/>
      <c r="Q245" s="67"/>
      <c r="R245" s="67"/>
      <c r="S245" s="67"/>
      <c r="T245" s="68">
        <f>H245*VLOOKUP($F245,'Emission Factors 2'!$A$2:$E$302,2,FALSE)</f>
        <v>0</v>
      </c>
      <c r="U245" s="68">
        <f>I245*VLOOKUP($F245,'Emission Factors 2'!$A$2:$E$302,2,FALSE)</f>
        <v>0</v>
      </c>
      <c r="V245" s="68">
        <f>J245*VLOOKUP($F245,'Emission Factors 2'!$A$2:$E$302,2,FALSE)</f>
        <v>0</v>
      </c>
      <c r="W245" s="68">
        <f>K245*VLOOKUP($F245,'Emission Factors 2'!$A$2:$E$302,2,FALSE)</f>
        <v>0</v>
      </c>
      <c r="X245" s="68">
        <f>L245*VLOOKUP($F245,'Emission Factors 2'!$A$2:$E$302,2,FALSE)</f>
        <v>0</v>
      </c>
      <c r="Y245" s="68">
        <f>M245*VLOOKUP($F245,'Emission Factors 2'!$A$2:$E$302,2,FALSE)</f>
        <v>0</v>
      </c>
      <c r="Z245" s="68">
        <f>N245*VLOOKUP($F245,'Emission Factors 2'!$A$2:$E$302,2,FALSE)</f>
        <v>0</v>
      </c>
      <c r="AA245" s="68">
        <f>O245*VLOOKUP($F245,'Emission Factors 2'!$A$2:$E$302,2,FALSE)</f>
        <v>0</v>
      </c>
      <c r="AB245" s="68">
        <f>P245*VLOOKUP($F245,'Emission Factors 2'!$A$2:$E$302,2,FALSE)</f>
        <v>0</v>
      </c>
      <c r="AC245" s="68">
        <f>Q245*VLOOKUP($F245,'Emission Factors 2'!$A$2:$E$302,2,FALSE)</f>
        <v>0</v>
      </c>
      <c r="AD245" s="68">
        <f>R245*VLOOKUP($F245,'Emission Factors 2'!$A$2:$E$302,2,FALSE)</f>
        <v>0</v>
      </c>
      <c r="AE245" s="68">
        <f>S245*VLOOKUP($F245,'Emission Factors 2'!$A$2:$E$302,2,FALSE)</f>
        <v>0</v>
      </c>
      <c r="AF245" s="19">
        <f t="shared" si="10"/>
        <v>0</v>
      </c>
      <c r="AG245" s="31"/>
      <c r="AH245" s="31"/>
      <c r="AI245" s="31"/>
      <c r="AJ245" s="31"/>
    </row>
    <row r="246" spans="1:36" ht="15.75" outlineLevel="1" x14ac:dyDescent="0.25">
      <c r="A246" s="118"/>
      <c r="B246" s="133"/>
      <c r="C246" s="29"/>
      <c r="D246" s="27" t="s">
        <v>325</v>
      </c>
      <c r="E246" s="82" t="str">
        <f>'Index Formatting'!I$30</f>
        <v>M</v>
      </c>
      <c r="F246" s="7" t="s">
        <v>329</v>
      </c>
      <c r="G246" s="15" t="s">
        <v>82</v>
      </c>
      <c r="H246" s="67"/>
      <c r="I246" s="67"/>
      <c r="J246" s="67"/>
      <c r="K246" s="67"/>
      <c r="L246" s="67"/>
      <c r="M246" s="67"/>
      <c r="N246" s="67"/>
      <c r="O246" s="67"/>
      <c r="P246" s="67"/>
      <c r="Q246" s="67"/>
      <c r="R246" s="67"/>
      <c r="S246" s="67"/>
      <c r="T246" s="68">
        <f>H246*VLOOKUP($F246,'Emission Factors 2'!$A$2:$E$302,2,FALSE)</f>
        <v>0</v>
      </c>
      <c r="U246" s="68">
        <f>I246*VLOOKUP($F246,'Emission Factors 2'!$A$2:$E$302,2,FALSE)</f>
        <v>0</v>
      </c>
      <c r="V246" s="68">
        <f>J246*VLOOKUP($F246,'Emission Factors 2'!$A$2:$E$302,2,FALSE)</f>
        <v>0</v>
      </c>
      <c r="W246" s="68">
        <f>K246*VLOOKUP($F246,'Emission Factors 2'!$A$2:$E$302,2,FALSE)</f>
        <v>0</v>
      </c>
      <c r="X246" s="68">
        <f>L246*VLOOKUP($F246,'Emission Factors 2'!$A$2:$E$302,2,FALSE)</f>
        <v>0</v>
      </c>
      <c r="Y246" s="68">
        <f>M246*VLOOKUP($F246,'Emission Factors 2'!$A$2:$E$302,2,FALSE)</f>
        <v>0</v>
      </c>
      <c r="Z246" s="68">
        <f>N246*VLOOKUP($F246,'Emission Factors 2'!$A$2:$E$302,2,FALSE)</f>
        <v>0</v>
      </c>
      <c r="AA246" s="68">
        <f>O246*VLOOKUP($F246,'Emission Factors 2'!$A$2:$E$302,2,FALSE)</f>
        <v>0</v>
      </c>
      <c r="AB246" s="68">
        <f>P246*VLOOKUP($F246,'Emission Factors 2'!$A$2:$E$302,2,FALSE)</f>
        <v>0</v>
      </c>
      <c r="AC246" s="68">
        <f>Q246*VLOOKUP($F246,'Emission Factors 2'!$A$2:$E$302,2,FALSE)</f>
        <v>0</v>
      </c>
      <c r="AD246" s="68">
        <f>R246*VLOOKUP($F246,'Emission Factors 2'!$A$2:$E$302,2,FALSE)</f>
        <v>0</v>
      </c>
      <c r="AE246" s="68">
        <f>S246*VLOOKUP($F246,'Emission Factors 2'!$A$2:$E$302,2,FALSE)</f>
        <v>0</v>
      </c>
      <c r="AF246" s="19">
        <f t="shared" si="10"/>
        <v>0</v>
      </c>
      <c r="AG246" s="31"/>
      <c r="AH246" s="31"/>
      <c r="AI246" s="31"/>
      <c r="AJ246" s="31"/>
    </row>
    <row r="247" spans="1:36" ht="15.75" outlineLevel="1" x14ac:dyDescent="0.25">
      <c r="A247" s="118"/>
      <c r="B247" s="133"/>
      <c r="C247" s="29"/>
      <c r="D247" s="27" t="s">
        <v>325</v>
      </c>
      <c r="E247" s="82" t="str">
        <f>'Index Formatting'!I$30</f>
        <v>M</v>
      </c>
      <c r="F247" s="7" t="s">
        <v>330</v>
      </c>
      <c r="G247" s="15" t="s">
        <v>82</v>
      </c>
      <c r="H247" s="67"/>
      <c r="I247" s="67"/>
      <c r="J247" s="67"/>
      <c r="K247" s="67"/>
      <c r="L247" s="67"/>
      <c r="M247" s="67"/>
      <c r="N247" s="67"/>
      <c r="O247" s="67"/>
      <c r="P247" s="67"/>
      <c r="Q247" s="67"/>
      <c r="R247" s="67"/>
      <c r="S247" s="67"/>
      <c r="T247" s="68">
        <f>H247*VLOOKUP($F247,'Emission Factors 2'!$A$2:$E$302,2,FALSE)</f>
        <v>0</v>
      </c>
      <c r="U247" s="68">
        <f>I247*VLOOKUP($F247,'Emission Factors 2'!$A$2:$E$302,2,FALSE)</f>
        <v>0</v>
      </c>
      <c r="V247" s="68">
        <f>J247*VLOOKUP($F247,'Emission Factors 2'!$A$2:$E$302,2,FALSE)</f>
        <v>0</v>
      </c>
      <c r="W247" s="68">
        <f>K247*VLOOKUP($F247,'Emission Factors 2'!$A$2:$E$302,2,FALSE)</f>
        <v>0</v>
      </c>
      <c r="X247" s="68">
        <f>L247*VLOOKUP($F247,'Emission Factors 2'!$A$2:$E$302,2,FALSE)</f>
        <v>0</v>
      </c>
      <c r="Y247" s="68">
        <f>M247*VLOOKUP($F247,'Emission Factors 2'!$A$2:$E$302,2,FALSE)</f>
        <v>0</v>
      </c>
      <c r="Z247" s="68">
        <f>N247*VLOOKUP($F247,'Emission Factors 2'!$A$2:$E$302,2,FALSE)</f>
        <v>0</v>
      </c>
      <c r="AA247" s="68">
        <f>O247*VLOOKUP($F247,'Emission Factors 2'!$A$2:$E$302,2,FALSE)</f>
        <v>0</v>
      </c>
      <c r="AB247" s="68">
        <f>P247*VLOOKUP($F247,'Emission Factors 2'!$A$2:$E$302,2,FALSE)</f>
        <v>0</v>
      </c>
      <c r="AC247" s="68">
        <f>Q247*VLOOKUP($F247,'Emission Factors 2'!$A$2:$E$302,2,FALSE)</f>
        <v>0</v>
      </c>
      <c r="AD247" s="68">
        <f>R247*VLOOKUP($F247,'Emission Factors 2'!$A$2:$E$302,2,FALSE)</f>
        <v>0</v>
      </c>
      <c r="AE247" s="68">
        <f>S247*VLOOKUP($F247,'Emission Factors 2'!$A$2:$E$302,2,FALSE)</f>
        <v>0</v>
      </c>
      <c r="AF247" s="19">
        <f t="shared" si="10"/>
        <v>0</v>
      </c>
      <c r="AG247" s="31"/>
      <c r="AH247" s="31"/>
      <c r="AI247" s="31"/>
      <c r="AJ247" s="31"/>
    </row>
    <row r="248" spans="1:36" ht="15.75" outlineLevel="1" x14ac:dyDescent="0.25">
      <c r="A248" s="118"/>
      <c r="B248" s="133"/>
      <c r="C248" s="29"/>
      <c r="D248" s="27" t="s">
        <v>325</v>
      </c>
      <c r="E248" s="82" t="str">
        <f>'Index Formatting'!I$30</f>
        <v>M</v>
      </c>
      <c r="F248" s="7" t="s">
        <v>331</v>
      </c>
      <c r="G248" s="15" t="s">
        <v>82</v>
      </c>
      <c r="H248" s="67"/>
      <c r="I248" s="67"/>
      <c r="J248" s="67"/>
      <c r="K248" s="67"/>
      <c r="L248" s="67"/>
      <c r="M248" s="67"/>
      <c r="N248" s="67"/>
      <c r="O248" s="67"/>
      <c r="P248" s="67"/>
      <c r="Q248" s="67"/>
      <c r="R248" s="67"/>
      <c r="S248" s="67"/>
      <c r="T248" s="68">
        <f>H248*VLOOKUP($F248,'Emission Factors 2'!$A$2:$E$302,2,FALSE)</f>
        <v>0</v>
      </c>
      <c r="U248" s="68">
        <f>I248*VLOOKUP($F248,'Emission Factors 2'!$A$2:$E$302,2,FALSE)</f>
        <v>0</v>
      </c>
      <c r="V248" s="68">
        <f>J248*VLOOKUP($F248,'Emission Factors 2'!$A$2:$E$302,2,FALSE)</f>
        <v>0</v>
      </c>
      <c r="W248" s="68">
        <f>K248*VLOOKUP($F248,'Emission Factors 2'!$A$2:$E$302,2,FALSE)</f>
        <v>0</v>
      </c>
      <c r="X248" s="68">
        <f>L248*VLOOKUP($F248,'Emission Factors 2'!$A$2:$E$302,2,FALSE)</f>
        <v>0</v>
      </c>
      <c r="Y248" s="68">
        <f>M248*VLOOKUP($F248,'Emission Factors 2'!$A$2:$E$302,2,FALSE)</f>
        <v>0</v>
      </c>
      <c r="Z248" s="68">
        <f>N248*VLOOKUP($F248,'Emission Factors 2'!$A$2:$E$302,2,FALSE)</f>
        <v>0</v>
      </c>
      <c r="AA248" s="68">
        <f>O248*VLOOKUP($F248,'Emission Factors 2'!$A$2:$E$302,2,FALSE)</f>
        <v>0</v>
      </c>
      <c r="AB248" s="68">
        <f>P248*VLOOKUP($F248,'Emission Factors 2'!$A$2:$E$302,2,FALSE)</f>
        <v>0</v>
      </c>
      <c r="AC248" s="68">
        <f>Q248*VLOOKUP($F248,'Emission Factors 2'!$A$2:$E$302,2,FALSE)</f>
        <v>0</v>
      </c>
      <c r="AD248" s="68">
        <f>R248*VLOOKUP($F248,'Emission Factors 2'!$A$2:$E$302,2,FALSE)</f>
        <v>0</v>
      </c>
      <c r="AE248" s="68">
        <f>S248*VLOOKUP($F248,'Emission Factors 2'!$A$2:$E$302,2,FALSE)</f>
        <v>0</v>
      </c>
      <c r="AF248" s="19">
        <f t="shared" si="10"/>
        <v>0</v>
      </c>
      <c r="AG248" s="31"/>
      <c r="AH248" s="31"/>
      <c r="AI248" s="31"/>
      <c r="AJ248" s="31"/>
    </row>
    <row r="249" spans="1:36" ht="15.75" outlineLevel="1" x14ac:dyDescent="0.25">
      <c r="A249" s="118"/>
      <c r="B249" s="133"/>
      <c r="C249" s="29"/>
      <c r="D249" s="27" t="s">
        <v>325</v>
      </c>
      <c r="E249" s="82" t="str">
        <f>'Index Formatting'!I$30</f>
        <v>M</v>
      </c>
      <c r="F249" s="7" t="s">
        <v>332</v>
      </c>
      <c r="G249" s="15" t="s">
        <v>82</v>
      </c>
      <c r="H249" s="67"/>
      <c r="I249" s="67"/>
      <c r="J249" s="67"/>
      <c r="K249" s="67"/>
      <c r="L249" s="67"/>
      <c r="M249" s="67"/>
      <c r="N249" s="67"/>
      <c r="O249" s="67"/>
      <c r="P249" s="67"/>
      <c r="Q249" s="67"/>
      <c r="R249" s="67"/>
      <c r="S249" s="67"/>
      <c r="T249" s="68">
        <f>H249*VLOOKUP($F249,'Emission Factors 2'!$A$2:$E$302,2,FALSE)</f>
        <v>0</v>
      </c>
      <c r="U249" s="68">
        <f>I249*VLOOKUP($F249,'Emission Factors 2'!$A$2:$E$302,2,FALSE)</f>
        <v>0</v>
      </c>
      <c r="V249" s="68">
        <f>J249*VLOOKUP($F249,'Emission Factors 2'!$A$2:$E$302,2,FALSE)</f>
        <v>0</v>
      </c>
      <c r="W249" s="68">
        <f>K249*VLOOKUP($F249,'Emission Factors 2'!$A$2:$E$302,2,FALSE)</f>
        <v>0</v>
      </c>
      <c r="X249" s="68">
        <f>L249*VLOOKUP($F249,'Emission Factors 2'!$A$2:$E$302,2,FALSE)</f>
        <v>0</v>
      </c>
      <c r="Y249" s="68">
        <f>M249*VLOOKUP($F249,'Emission Factors 2'!$A$2:$E$302,2,FALSE)</f>
        <v>0</v>
      </c>
      <c r="Z249" s="68">
        <f>N249*VLOOKUP($F249,'Emission Factors 2'!$A$2:$E$302,2,FALSE)</f>
        <v>0</v>
      </c>
      <c r="AA249" s="68">
        <f>O249*VLOOKUP($F249,'Emission Factors 2'!$A$2:$E$302,2,FALSE)</f>
        <v>0</v>
      </c>
      <c r="AB249" s="68">
        <f>P249*VLOOKUP($F249,'Emission Factors 2'!$A$2:$E$302,2,FALSE)</f>
        <v>0</v>
      </c>
      <c r="AC249" s="68">
        <f>Q249*VLOOKUP($F249,'Emission Factors 2'!$A$2:$E$302,2,FALSE)</f>
        <v>0</v>
      </c>
      <c r="AD249" s="68">
        <f>R249*VLOOKUP($F249,'Emission Factors 2'!$A$2:$E$302,2,FALSE)</f>
        <v>0</v>
      </c>
      <c r="AE249" s="68">
        <f>S249*VLOOKUP($F249,'Emission Factors 2'!$A$2:$E$302,2,FALSE)</f>
        <v>0</v>
      </c>
      <c r="AF249" s="19">
        <f t="shared" si="10"/>
        <v>0</v>
      </c>
      <c r="AG249" s="31"/>
      <c r="AH249" s="31"/>
      <c r="AI249" s="31"/>
      <c r="AJ249" s="31"/>
    </row>
    <row r="250" spans="1:36" ht="15.75" outlineLevel="1" x14ac:dyDescent="0.25">
      <c r="A250" s="118"/>
      <c r="B250" s="133"/>
      <c r="C250" s="29"/>
      <c r="D250" s="27" t="s">
        <v>325</v>
      </c>
      <c r="E250" s="82" t="str">
        <f>'Index Formatting'!I$30</f>
        <v>M</v>
      </c>
      <c r="F250" s="7" t="s">
        <v>333</v>
      </c>
      <c r="G250" s="15" t="s">
        <v>82</v>
      </c>
      <c r="H250" s="67"/>
      <c r="I250" s="67"/>
      <c r="J250" s="67"/>
      <c r="K250" s="67"/>
      <c r="L250" s="67"/>
      <c r="M250" s="67"/>
      <c r="N250" s="67"/>
      <c r="O250" s="67"/>
      <c r="P250" s="67"/>
      <c r="Q250" s="67"/>
      <c r="R250" s="67"/>
      <c r="S250" s="67"/>
      <c r="T250" s="68">
        <f>H250*VLOOKUP($F250,'Emission Factors 2'!$A$2:$E$302,2,FALSE)</f>
        <v>0</v>
      </c>
      <c r="U250" s="68">
        <f>I250*VLOOKUP($F250,'Emission Factors 2'!$A$2:$E$302,2,FALSE)</f>
        <v>0</v>
      </c>
      <c r="V250" s="68">
        <f>J250*VLOOKUP($F250,'Emission Factors 2'!$A$2:$E$302,2,FALSE)</f>
        <v>0</v>
      </c>
      <c r="W250" s="68">
        <f>K250*VLOOKUP($F250,'Emission Factors 2'!$A$2:$E$302,2,FALSE)</f>
        <v>0</v>
      </c>
      <c r="X250" s="68">
        <f>L250*VLOOKUP($F250,'Emission Factors 2'!$A$2:$E$302,2,FALSE)</f>
        <v>0</v>
      </c>
      <c r="Y250" s="68">
        <f>M250*VLOOKUP($F250,'Emission Factors 2'!$A$2:$E$302,2,FALSE)</f>
        <v>0</v>
      </c>
      <c r="Z250" s="68">
        <f>N250*VLOOKUP($F250,'Emission Factors 2'!$A$2:$E$302,2,FALSE)</f>
        <v>0</v>
      </c>
      <c r="AA250" s="68">
        <f>O250*VLOOKUP($F250,'Emission Factors 2'!$A$2:$E$302,2,FALSE)</f>
        <v>0</v>
      </c>
      <c r="AB250" s="68">
        <f>P250*VLOOKUP($F250,'Emission Factors 2'!$A$2:$E$302,2,FALSE)</f>
        <v>0</v>
      </c>
      <c r="AC250" s="68">
        <f>Q250*VLOOKUP($F250,'Emission Factors 2'!$A$2:$E$302,2,FALSE)</f>
        <v>0</v>
      </c>
      <c r="AD250" s="68">
        <f>R250*VLOOKUP($F250,'Emission Factors 2'!$A$2:$E$302,2,FALSE)</f>
        <v>0</v>
      </c>
      <c r="AE250" s="68">
        <f>S250*VLOOKUP($F250,'Emission Factors 2'!$A$2:$E$302,2,FALSE)</f>
        <v>0</v>
      </c>
      <c r="AF250" s="19">
        <f t="shared" si="10"/>
        <v>0</v>
      </c>
      <c r="AG250" s="31"/>
      <c r="AH250" s="31"/>
      <c r="AI250" s="31"/>
      <c r="AJ250" s="31"/>
    </row>
    <row r="251" spans="1:36" ht="15.75" outlineLevel="1" x14ac:dyDescent="0.25">
      <c r="A251" s="118"/>
      <c r="B251" s="133"/>
      <c r="C251" s="29"/>
      <c r="D251" s="27" t="s">
        <v>325</v>
      </c>
      <c r="E251" s="82" t="str">
        <f>'Index Formatting'!I$30</f>
        <v>M</v>
      </c>
      <c r="F251" s="7" t="s">
        <v>738</v>
      </c>
      <c r="G251" s="15" t="s">
        <v>82</v>
      </c>
      <c r="H251" s="67"/>
      <c r="I251" s="67"/>
      <c r="J251" s="67"/>
      <c r="K251" s="67"/>
      <c r="L251" s="67"/>
      <c r="M251" s="67"/>
      <c r="N251" s="67"/>
      <c r="O251" s="67"/>
      <c r="P251" s="67"/>
      <c r="Q251" s="67"/>
      <c r="R251" s="67"/>
      <c r="S251" s="67"/>
      <c r="T251" s="68">
        <f>H251*VLOOKUP($F251,'Emission Factors 2'!$A$2:$E$302,2,FALSE)</f>
        <v>0</v>
      </c>
      <c r="U251" s="68">
        <f>I251*VLOOKUP($F251,'Emission Factors 2'!$A$2:$E$302,2,FALSE)</f>
        <v>0</v>
      </c>
      <c r="V251" s="68">
        <f>J251*VLOOKUP($F251,'Emission Factors 2'!$A$2:$E$302,2,FALSE)</f>
        <v>0</v>
      </c>
      <c r="W251" s="68">
        <f>K251*VLOOKUP($F251,'Emission Factors 2'!$A$2:$E$302,2,FALSE)</f>
        <v>0</v>
      </c>
      <c r="X251" s="68">
        <f>L251*VLOOKUP($F251,'Emission Factors 2'!$A$2:$E$302,2,FALSE)</f>
        <v>0</v>
      </c>
      <c r="Y251" s="68">
        <f>M251*VLOOKUP($F251,'Emission Factors 2'!$A$2:$E$302,2,FALSE)</f>
        <v>0</v>
      </c>
      <c r="Z251" s="68">
        <f>N251*VLOOKUP($F251,'Emission Factors 2'!$A$2:$E$302,2,FALSE)</f>
        <v>0</v>
      </c>
      <c r="AA251" s="68">
        <f>O251*VLOOKUP($F251,'Emission Factors 2'!$A$2:$E$302,2,FALSE)</f>
        <v>0</v>
      </c>
      <c r="AB251" s="68">
        <f>P251*VLOOKUP($F251,'Emission Factors 2'!$A$2:$E$302,2,FALSE)</f>
        <v>0</v>
      </c>
      <c r="AC251" s="68">
        <f>Q251*VLOOKUP($F251,'Emission Factors 2'!$A$2:$E$302,2,FALSE)</f>
        <v>0</v>
      </c>
      <c r="AD251" s="68">
        <f>R251*VLOOKUP($F251,'Emission Factors 2'!$A$2:$E$302,2,FALSE)</f>
        <v>0</v>
      </c>
      <c r="AE251" s="68">
        <f>S251*VLOOKUP($F251,'Emission Factors 2'!$A$2:$E$302,2,FALSE)</f>
        <v>0</v>
      </c>
      <c r="AF251" s="19">
        <f t="shared" si="10"/>
        <v>0</v>
      </c>
      <c r="AG251" s="31"/>
      <c r="AH251" s="31"/>
      <c r="AI251" s="31"/>
      <c r="AJ251" s="31"/>
    </row>
    <row r="252" spans="1:36" ht="15.75" outlineLevel="1" x14ac:dyDescent="0.25">
      <c r="A252" s="118"/>
      <c r="B252" s="133"/>
      <c r="C252" s="29"/>
      <c r="D252" s="27" t="s">
        <v>325</v>
      </c>
      <c r="E252" s="82" t="str">
        <f>'Index Formatting'!I$30</f>
        <v>M</v>
      </c>
      <c r="F252" s="7" t="s">
        <v>333</v>
      </c>
      <c r="G252" s="15" t="s">
        <v>82</v>
      </c>
      <c r="H252" s="67"/>
      <c r="I252" s="67"/>
      <c r="J252" s="67"/>
      <c r="K252" s="67"/>
      <c r="L252" s="67"/>
      <c r="M252" s="67"/>
      <c r="N252" s="67"/>
      <c r="O252" s="67"/>
      <c r="P252" s="67"/>
      <c r="Q252" s="67"/>
      <c r="R252" s="67"/>
      <c r="S252" s="67"/>
      <c r="T252" s="68">
        <f>H252*VLOOKUP($F252,'Emission Factors 2'!$A$2:$E$302,2,FALSE)</f>
        <v>0</v>
      </c>
      <c r="U252" s="68">
        <f>I252*VLOOKUP($F252,'Emission Factors 2'!$A$2:$E$302,2,FALSE)</f>
        <v>0</v>
      </c>
      <c r="V252" s="68">
        <f>J252*VLOOKUP($F252,'Emission Factors 2'!$A$2:$E$302,2,FALSE)</f>
        <v>0</v>
      </c>
      <c r="W252" s="68">
        <f>K252*VLOOKUP($F252,'Emission Factors 2'!$A$2:$E$302,2,FALSE)</f>
        <v>0</v>
      </c>
      <c r="X252" s="68">
        <f>L252*VLOOKUP($F252,'Emission Factors 2'!$A$2:$E$302,2,FALSE)</f>
        <v>0</v>
      </c>
      <c r="Y252" s="68">
        <f>M252*VLOOKUP($F252,'Emission Factors 2'!$A$2:$E$302,2,FALSE)</f>
        <v>0</v>
      </c>
      <c r="Z252" s="68">
        <f>N252*VLOOKUP($F252,'Emission Factors 2'!$A$2:$E$302,2,FALSE)</f>
        <v>0</v>
      </c>
      <c r="AA252" s="68">
        <f>O252*VLOOKUP($F252,'Emission Factors 2'!$A$2:$E$302,2,FALSE)</f>
        <v>0</v>
      </c>
      <c r="AB252" s="68">
        <f>P252*VLOOKUP($F252,'Emission Factors 2'!$A$2:$E$302,2,FALSE)</f>
        <v>0</v>
      </c>
      <c r="AC252" s="68">
        <f>Q252*VLOOKUP($F252,'Emission Factors 2'!$A$2:$E$302,2,FALSE)</f>
        <v>0</v>
      </c>
      <c r="AD252" s="68">
        <f>R252*VLOOKUP($F252,'Emission Factors 2'!$A$2:$E$302,2,FALSE)</f>
        <v>0</v>
      </c>
      <c r="AE252" s="68">
        <f>S252*VLOOKUP($F252,'Emission Factors 2'!$A$2:$E$302,2,FALSE)</f>
        <v>0</v>
      </c>
      <c r="AF252" s="19">
        <f t="shared" si="10"/>
        <v>0</v>
      </c>
      <c r="AG252" s="31"/>
      <c r="AH252" s="31"/>
      <c r="AI252" s="31"/>
      <c r="AJ252" s="31"/>
    </row>
    <row r="253" spans="1:36" ht="15.75" outlineLevel="1" x14ac:dyDescent="0.25">
      <c r="A253" s="118"/>
      <c r="B253" s="133"/>
      <c r="C253" s="29"/>
      <c r="D253" s="27" t="s">
        <v>325</v>
      </c>
      <c r="E253" s="82" t="str">
        <f>'Index Formatting'!I$30</f>
        <v>M</v>
      </c>
      <c r="F253" s="7" t="s">
        <v>738</v>
      </c>
      <c r="G253" s="15" t="s">
        <v>82</v>
      </c>
      <c r="H253" s="67"/>
      <c r="I253" s="67"/>
      <c r="J253" s="67"/>
      <c r="K253" s="67"/>
      <c r="L253" s="67"/>
      <c r="M253" s="67"/>
      <c r="N253" s="67"/>
      <c r="O253" s="67"/>
      <c r="P253" s="67"/>
      <c r="Q253" s="67"/>
      <c r="R253" s="67"/>
      <c r="S253" s="67"/>
      <c r="T253" s="68">
        <f>H253*VLOOKUP($F253,'Emission Factors 2'!$A$2:$E$302,2,FALSE)</f>
        <v>0</v>
      </c>
      <c r="U253" s="68">
        <f>I253*VLOOKUP($F253,'Emission Factors 2'!$A$2:$E$302,2,FALSE)</f>
        <v>0</v>
      </c>
      <c r="V253" s="68">
        <f>J253*VLOOKUP($F253,'Emission Factors 2'!$A$2:$E$302,2,FALSE)</f>
        <v>0</v>
      </c>
      <c r="W253" s="68">
        <f>K253*VLOOKUP($F253,'Emission Factors 2'!$A$2:$E$302,2,FALSE)</f>
        <v>0</v>
      </c>
      <c r="X253" s="68">
        <f>L253*VLOOKUP($F253,'Emission Factors 2'!$A$2:$E$302,2,FALSE)</f>
        <v>0</v>
      </c>
      <c r="Y253" s="68">
        <f>M253*VLOOKUP($F253,'Emission Factors 2'!$A$2:$E$302,2,FALSE)</f>
        <v>0</v>
      </c>
      <c r="Z253" s="68">
        <f>N253*VLOOKUP($F253,'Emission Factors 2'!$A$2:$E$302,2,FALSE)</f>
        <v>0</v>
      </c>
      <c r="AA253" s="68">
        <f>O253*VLOOKUP($F253,'Emission Factors 2'!$A$2:$E$302,2,FALSE)</f>
        <v>0</v>
      </c>
      <c r="AB253" s="68">
        <f>P253*VLOOKUP($F253,'Emission Factors 2'!$A$2:$E$302,2,FALSE)</f>
        <v>0</v>
      </c>
      <c r="AC253" s="68">
        <f>Q253*VLOOKUP($F253,'Emission Factors 2'!$A$2:$E$302,2,FALSE)</f>
        <v>0</v>
      </c>
      <c r="AD253" s="68">
        <f>R253*VLOOKUP($F253,'Emission Factors 2'!$A$2:$E$302,2,FALSE)</f>
        <v>0</v>
      </c>
      <c r="AE253" s="68">
        <f>S253*VLOOKUP($F253,'Emission Factors 2'!$A$2:$E$302,2,FALSE)</f>
        <v>0</v>
      </c>
      <c r="AF253" s="19">
        <f t="shared" si="10"/>
        <v>0</v>
      </c>
      <c r="AG253" s="31"/>
      <c r="AH253" s="31"/>
      <c r="AI253" s="31"/>
      <c r="AJ253" s="31"/>
    </row>
    <row r="254" spans="1:36" ht="15.75" outlineLevel="1" x14ac:dyDescent="0.25">
      <c r="A254" s="118"/>
      <c r="B254" s="133"/>
      <c r="C254" s="29"/>
      <c r="D254" s="27" t="s">
        <v>325</v>
      </c>
      <c r="E254" s="82" t="str">
        <f>'Index Formatting'!I$30</f>
        <v>M</v>
      </c>
      <c r="F254" s="7" t="s">
        <v>738</v>
      </c>
      <c r="G254" s="15" t="s">
        <v>82</v>
      </c>
      <c r="H254" s="67"/>
      <c r="I254" s="67"/>
      <c r="J254" s="67"/>
      <c r="K254" s="67"/>
      <c r="L254" s="67"/>
      <c r="M254" s="67"/>
      <c r="N254" s="67"/>
      <c r="O254" s="67"/>
      <c r="P254" s="67"/>
      <c r="Q254" s="67"/>
      <c r="R254" s="67"/>
      <c r="S254" s="67"/>
      <c r="T254" s="68">
        <f>H254*VLOOKUP($F254,'Emission Factors 2'!$A$2:$E$302,2,FALSE)</f>
        <v>0</v>
      </c>
      <c r="U254" s="68">
        <f>I254*VLOOKUP($F254,'Emission Factors 2'!$A$2:$E$302,2,FALSE)</f>
        <v>0</v>
      </c>
      <c r="V254" s="68">
        <f>J254*VLOOKUP($F254,'Emission Factors 2'!$A$2:$E$302,2,FALSE)</f>
        <v>0</v>
      </c>
      <c r="W254" s="68">
        <f>K254*VLOOKUP($F254,'Emission Factors 2'!$A$2:$E$302,2,FALSE)</f>
        <v>0</v>
      </c>
      <c r="X254" s="68">
        <f>L254*VLOOKUP($F254,'Emission Factors 2'!$A$2:$E$302,2,FALSE)</f>
        <v>0</v>
      </c>
      <c r="Y254" s="68">
        <f>M254*VLOOKUP($F254,'Emission Factors 2'!$A$2:$E$302,2,FALSE)</f>
        <v>0</v>
      </c>
      <c r="Z254" s="68">
        <f>N254*VLOOKUP($F254,'Emission Factors 2'!$A$2:$E$302,2,FALSE)</f>
        <v>0</v>
      </c>
      <c r="AA254" s="68">
        <f>O254*VLOOKUP($F254,'Emission Factors 2'!$A$2:$E$302,2,FALSE)</f>
        <v>0</v>
      </c>
      <c r="AB254" s="68">
        <f>P254*VLOOKUP($F254,'Emission Factors 2'!$A$2:$E$302,2,FALSE)</f>
        <v>0</v>
      </c>
      <c r="AC254" s="68">
        <f>Q254*VLOOKUP($F254,'Emission Factors 2'!$A$2:$E$302,2,FALSE)</f>
        <v>0</v>
      </c>
      <c r="AD254" s="68">
        <f>R254*VLOOKUP($F254,'Emission Factors 2'!$A$2:$E$302,2,FALSE)</f>
        <v>0</v>
      </c>
      <c r="AE254" s="68">
        <f>S254*VLOOKUP($F254,'Emission Factors 2'!$A$2:$E$302,2,FALSE)</f>
        <v>0</v>
      </c>
      <c r="AF254" s="19">
        <f t="shared" si="10"/>
        <v>0</v>
      </c>
      <c r="AG254" s="31"/>
      <c r="AH254" s="31"/>
      <c r="AI254" s="31"/>
      <c r="AJ254" s="31"/>
    </row>
    <row r="255" spans="1:36" ht="15.75" outlineLevel="1" x14ac:dyDescent="0.25">
      <c r="A255" s="118"/>
      <c r="B255" s="133"/>
      <c r="C255" s="29"/>
      <c r="D255" s="27" t="s">
        <v>325</v>
      </c>
      <c r="E255" s="82" t="str">
        <f>'Index Formatting'!I$30</f>
        <v>M</v>
      </c>
      <c r="F255" s="7" t="s">
        <v>742</v>
      </c>
      <c r="G255" s="15" t="s">
        <v>82</v>
      </c>
      <c r="H255" s="67"/>
      <c r="I255" s="67"/>
      <c r="J255" s="67"/>
      <c r="K255" s="67"/>
      <c r="L255" s="67"/>
      <c r="M255" s="67"/>
      <c r="N255" s="67"/>
      <c r="O255" s="67"/>
      <c r="P255" s="67"/>
      <c r="Q255" s="67"/>
      <c r="R255" s="67"/>
      <c r="S255" s="67"/>
      <c r="T255" s="68">
        <f>H255*VLOOKUP($F255,'Emission Factors 2'!$A$2:$E$302,2,FALSE)</f>
        <v>0</v>
      </c>
      <c r="U255" s="68">
        <f>I255*VLOOKUP($F255,'Emission Factors 2'!$A$2:$E$302,2,FALSE)</f>
        <v>0</v>
      </c>
      <c r="V255" s="68">
        <f>J255*VLOOKUP($F255,'Emission Factors 2'!$A$2:$E$302,2,FALSE)</f>
        <v>0</v>
      </c>
      <c r="W255" s="68">
        <f>K255*VLOOKUP($F255,'Emission Factors 2'!$A$2:$E$302,2,FALSE)</f>
        <v>0</v>
      </c>
      <c r="X255" s="68">
        <f>L255*VLOOKUP($F255,'Emission Factors 2'!$A$2:$E$302,2,FALSE)</f>
        <v>0</v>
      </c>
      <c r="Y255" s="68">
        <f>M255*VLOOKUP($F255,'Emission Factors 2'!$A$2:$E$302,2,FALSE)</f>
        <v>0</v>
      </c>
      <c r="Z255" s="68">
        <f>N255*VLOOKUP($F255,'Emission Factors 2'!$A$2:$E$302,2,FALSE)</f>
        <v>0</v>
      </c>
      <c r="AA255" s="68">
        <f>O255*VLOOKUP($F255,'Emission Factors 2'!$A$2:$E$302,2,FALSE)</f>
        <v>0</v>
      </c>
      <c r="AB255" s="68">
        <f>P255*VLOOKUP($F255,'Emission Factors 2'!$A$2:$E$302,2,FALSE)</f>
        <v>0</v>
      </c>
      <c r="AC255" s="68">
        <f>Q255*VLOOKUP($F255,'Emission Factors 2'!$A$2:$E$302,2,FALSE)</f>
        <v>0</v>
      </c>
      <c r="AD255" s="68">
        <f>R255*VLOOKUP($F255,'Emission Factors 2'!$A$2:$E$302,2,FALSE)</f>
        <v>0</v>
      </c>
      <c r="AE255" s="68">
        <f>S255*VLOOKUP($F255,'Emission Factors 2'!$A$2:$E$302,2,FALSE)</f>
        <v>0</v>
      </c>
      <c r="AF255" s="19">
        <f t="shared" si="10"/>
        <v>0</v>
      </c>
      <c r="AG255" s="65"/>
      <c r="AH255" s="65"/>
      <c r="AI255" s="65"/>
      <c r="AJ255" s="65"/>
    </row>
  </sheetData>
  <mergeCells count="118">
    <mergeCell ref="H56:AE56"/>
    <mergeCell ref="H57:AE57"/>
    <mergeCell ref="H89:AE89"/>
    <mergeCell ref="H103:AE103"/>
    <mergeCell ref="H104:AE104"/>
    <mergeCell ref="H119:AE119"/>
    <mergeCell ref="AF1:AF2"/>
    <mergeCell ref="AG1:AG2"/>
    <mergeCell ref="AH1:AH2"/>
    <mergeCell ref="H18:AE18"/>
    <mergeCell ref="AI1:AI2"/>
    <mergeCell ref="AJ1:AJ2"/>
    <mergeCell ref="A206:G206"/>
    <mergeCell ref="B199:B205"/>
    <mergeCell ref="A199:A205"/>
    <mergeCell ref="A104:G104"/>
    <mergeCell ref="A119:G119"/>
    <mergeCell ref="H142:AE142"/>
    <mergeCell ref="A57:G57"/>
    <mergeCell ref="A89:G89"/>
    <mergeCell ref="A120:A141"/>
    <mergeCell ref="B120:B141"/>
    <mergeCell ref="H1:S1"/>
    <mergeCell ref="T1:AE1"/>
    <mergeCell ref="H3:AE3"/>
    <mergeCell ref="H12:AE12"/>
    <mergeCell ref="H21:AE21"/>
    <mergeCell ref="H34:AE34"/>
    <mergeCell ref="H174:AE174"/>
    <mergeCell ref="A165:G165"/>
    <mergeCell ref="A174:G174"/>
    <mergeCell ref="H189:AE189"/>
    <mergeCell ref="A143:G143"/>
    <mergeCell ref="H149:AE149"/>
    <mergeCell ref="H164:AE164"/>
    <mergeCell ref="H165:AE165"/>
    <mergeCell ref="A150:A163"/>
    <mergeCell ref="B150:B163"/>
    <mergeCell ref="H143:AE143"/>
    <mergeCell ref="A90:A102"/>
    <mergeCell ref="B90:B102"/>
    <mergeCell ref="H242:AE242"/>
    <mergeCell ref="H228:AE228"/>
    <mergeCell ref="H221:AE221"/>
    <mergeCell ref="H206:AE206"/>
    <mergeCell ref="H197:AE197"/>
    <mergeCell ref="H198:AE198"/>
    <mergeCell ref="A105:A118"/>
    <mergeCell ref="A144:A148"/>
    <mergeCell ref="A166:A173"/>
    <mergeCell ref="B105:B118"/>
    <mergeCell ref="B144:B148"/>
    <mergeCell ref="B166:B173"/>
    <mergeCell ref="A103:G103"/>
    <mergeCell ref="A142:G142"/>
    <mergeCell ref="A149:G149"/>
    <mergeCell ref="A190:A196"/>
    <mergeCell ref="A222:A227"/>
    <mergeCell ref="A164:G164"/>
    <mergeCell ref="A189:G189"/>
    <mergeCell ref="A197:G197"/>
    <mergeCell ref="A221:G221"/>
    <mergeCell ref="A1:B2"/>
    <mergeCell ref="C1:D2"/>
    <mergeCell ref="E1:F2"/>
    <mergeCell ref="G1:G2"/>
    <mergeCell ref="A4:A11"/>
    <mergeCell ref="B4:B11"/>
    <mergeCell ref="C4:C6"/>
    <mergeCell ref="D4:D6"/>
    <mergeCell ref="C7:C8"/>
    <mergeCell ref="D7:D8"/>
    <mergeCell ref="D9:D10"/>
    <mergeCell ref="A3:G3"/>
    <mergeCell ref="C9:C10"/>
    <mergeCell ref="C48:C50"/>
    <mergeCell ref="A35:A55"/>
    <mergeCell ref="B35:B55"/>
    <mergeCell ref="B58:B88"/>
    <mergeCell ref="A56:G56"/>
    <mergeCell ref="C35:C38"/>
    <mergeCell ref="D35:D38"/>
    <mergeCell ref="C39:C41"/>
    <mergeCell ref="D39:D41"/>
    <mergeCell ref="C42:C44"/>
    <mergeCell ref="C45:C47"/>
    <mergeCell ref="A58:A88"/>
    <mergeCell ref="A12:G12"/>
    <mergeCell ref="A18:G18"/>
    <mergeCell ref="A21:G21"/>
    <mergeCell ref="A34:G34"/>
    <mergeCell ref="A19:A20"/>
    <mergeCell ref="B19:B20"/>
    <mergeCell ref="C19:C20"/>
    <mergeCell ref="D19:D20"/>
    <mergeCell ref="A22:A33"/>
    <mergeCell ref="B22:B33"/>
    <mergeCell ref="C22:C26"/>
    <mergeCell ref="D22:D26"/>
    <mergeCell ref="C29:C32"/>
    <mergeCell ref="D29:D32"/>
    <mergeCell ref="A13:A17"/>
    <mergeCell ref="B13:B17"/>
    <mergeCell ref="C13:C16"/>
    <mergeCell ref="D13:D16"/>
    <mergeCell ref="A228:G228"/>
    <mergeCell ref="A242:G242"/>
    <mergeCell ref="B229:B241"/>
    <mergeCell ref="A229:A241"/>
    <mergeCell ref="A243:A255"/>
    <mergeCell ref="B243:B255"/>
    <mergeCell ref="B222:B227"/>
    <mergeCell ref="B190:B196"/>
    <mergeCell ref="A175:A188"/>
    <mergeCell ref="B175:B188"/>
    <mergeCell ref="B207:B220"/>
    <mergeCell ref="A207:A220"/>
    <mergeCell ref="A198:G198"/>
  </mergeCells>
  <phoneticPr fontId="11" type="noConversion"/>
  <conditionalFormatting sqref="A3">
    <cfRule type="containsText" dxfId="105" priority="67" operator="containsText" text="(Optional)">
      <formula>NOT(ISERROR(SEARCH("(Optional)",A3)))</formula>
    </cfRule>
  </conditionalFormatting>
  <conditionalFormatting sqref="A12:G12">
    <cfRule type="containsText" dxfId="104" priority="68" operator="containsText" text="(Optional)">
      <formula>NOT(ISERROR(SEARCH("(Optional)",A12)))</formula>
    </cfRule>
  </conditionalFormatting>
  <conditionalFormatting sqref="A18:G18">
    <cfRule type="containsText" dxfId="103" priority="69" operator="containsText" text="(Optional)">
      <formula>NOT(ISERROR(SEARCH("(Optional)",A18)))</formula>
    </cfRule>
  </conditionalFormatting>
  <conditionalFormatting sqref="A21:G21">
    <cfRule type="containsText" dxfId="102" priority="70" operator="containsText" text="(Optional)">
      <formula>NOT(ISERROR(SEARCH("(Optional)",A21)))</formula>
    </cfRule>
  </conditionalFormatting>
  <conditionalFormatting sqref="A34:G34">
    <cfRule type="containsText" dxfId="101" priority="66" operator="containsText" text="(Optional)">
      <formula>NOT(ISERROR(SEARCH("(Optional)",A34)))</formula>
    </cfRule>
  </conditionalFormatting>
  <conditionalFormatting sqref="A56:G57">
    <cfRule type="containsText" dxfId="100" priority="64" operator="containsText" text="(Optional)">
      <formula>NOT(ISERROR(SEARCH("(Optional)",A56)))</formula>
    </cfRule>
  </conditionalFormatting>
  <conditionalFormatting sqref="A89:G89">
    <cfRule type="containsText" dxfId="99" priority="71" operator="containsText" text="(Optional)">
      <formula>NOT(ISERROR(SEARCH("(Optional)",A89)))</formula>
    </cfRule>
  </conditionalFormatting>
  <conditionalFormatting sqref="A103:G104">
    <cfRule type="containsText" dxfId="98" priority="85" operator="containsText" text="(Optional)">
      <formula>NOT(ISERROR(SEARCH("(Optional)",A103)))</formula>
    </cfRule>
  </conditionalFormatting>
  <conditionalFormatting sqref="A119:G119">
    <cfRule type="containsText" dxfId="97" priority="84" operator="containsText" text="(Optional)">
      <formula>NOT(ISERROR(SEARCH("(Optional)",A119)))</formula>
    </cfRule>
  </conditionalFormatting>
  <conditionalFormatting sqref="A142:G143">
    <cfRule type="containsText" dxfId="96" priority="82" operator="containsText" text="(Optional)">
      <formula>NOT(ISERROR(SEARCH("(Optional)",A142)))</formula>
    </cfRule>
  </conditionalFormatting>
  <conditionalFormatting sqref="A149:G149">
    <cfRule type="containsText" dxfId="95" priority="81" operator="containsText" text="(Optional)">
      <formula>NOT(ISERROR(SEARCH("(Optional)",A149)))</formula>
    </cfRule>
  </conditionalFormatting>
  <conditionalFormatting sqref="A164:G165">
    <cfRule type="containsText" dxfId="94" priority="79" operator="containsText" text="(Optional)">
      <formula>NOT(ISERROR(SEARCH("(Optional)",A164)))</formula>
    </cfRule>
  </conditionalFormatting>
  <conditionalFormatting sqref="A174:G174">
    <cfRule type="containsText" dxfId="93" priority="93" operator="containsText" text="(Optional)">
      <formula>NOT(ISERROR(SEARCH("(Optional)",A174)))</formula>
    </cfRule>
  </conditionalFormatting>
  <conditionalFormatting sqref="A189:G189">
    <cfRule type="containsText" dxfId="92" priority="78" operator="containsText" text="(Optional)">
      <formula>NOT(ISERROR(SEARCH("(Optional)",A189)))</formula>
    </cfRule>
  </conditionalFormatting>
  <conditionalFormatting sqref="A197:G198">
    <cfRule type="containsText" dxfId="91" priority="76" operator="containsText" text="(Optional)">
      <formula>NOT(ISERROR(SEARCH("(Optional)",A197)))</formula>
    </cfRule>
  </conditionalFormatting>
  <conditionalFormatting sqref="A206:G206">
    <cfRule type="containsText" dxfId="90" priority="75" operator="containsText" text="(Optional)">
      <formula>NOT(ISERROR(SEARCH("(Optional)",A206)))</formula>
    </cfRule>
  </conditionalFormatting>
  <conditionalFormatting sqref="A221:G221">
    <cfRule type="containsText" dxfId="89" priority="74" operator="containsText" text="(Optional)">
      <formula>NOT(ISERROR(SEARCH("(Optional)",A221)))</formula>
    </cfRule>
  </conditionalFormatting>
  <conditionalFormatting sqref="A228:G228">
    <cfRule type="containsText" dxfId="88" priority="73" operator="containsText" text="(Optional)">
      <formula>NOT(ISERROR(SEARCH("(Optional)",A228)))</formula>
    </cfRule>
  </conditionalFormatting>
  <conditionalFormatting sqref="A242:G242">
    <cfRule type="containsText" dxfId="87" priority="72" operator="containsText" text="(Optional)">
      <formula>NOT(ISERROR(SEARCH("(Optional)",A242)))</formula>
    </cfRule>
  </conditionalFormatting>
  <conditionalFormatting sqref="E4:E11 E19:E20 E22:E33 E199:E205 E229:E241">
    <cfRule type="containsText" dxfId="86" priority="160" operator="containsText" text="M">
      <formula>NOT(ISERROR(SEARCH("M",E4)))</formula>
    </cfRule>
    <cfRule type="containsText" dxfId="85" priority="159" operator="containsText" text="R">
      <formula>NOT(ISERROR(SEARCH("R",E4)))</formula>
    </cfRule>
    <cfRule type="containsText" dxfId="84" priority="161" operator="containsText" text="O">
      <formula>NOT(ISERROR(SEARCH("O",E4)))</formula>
    </cfRule>
  </conditionalFormatting>
  <conditionalFormatting sqref="E13:E17">
    <cfRule type="containsText" dxfId="83" priority="113" operator="containsText" text="O">
      <formula>NOT(ISERROR(SEARCH("O",E13)))</formula>
    </cfRule>
    <cfRule type="containsText" dxfId="82" priority="112" operator="containsText" text="M">
      <formula>NOT(ISERROR(SEARCH("M",E13)))</formula>
    </cfRule>
    <cfRule type="containsText" dxfId="81" priority="111" operator="containsText" text="R">
      <formula>NOT(ISERROR(SEARCH("R",E13)))</formula>
    </cfRule>
  </conditionalFormatting>
  <conditionalFormatting sqref="E35:E55">
    <cfRule type="containsText" dxfId="80" priority="158" operator="containsText" text="O">
      <formula>NOT(ISERROR(SEARCH("O",E35)))</formula>
    </cfRule>
    <cfRule type="containsText" dxfId="79" priority="157" operator="containsText" text="M">
      <formula>NOT(ISERROR(SEARCH("M",E35)))</formula>
    </cfRule>
    <cfRule type="containsText" dxfId="78" priority="156" operator="containsText" text="R">
      <formula>NOT(ISERROR(SEARCH("R",E35)))</formula>
    </cfRule>
  </conditionalFormatting>
  <conditionalFormatting sqref="E58:E88">
    <cfRule type="containsText" dxfId="77" priority="155" operator="containsText" text="O">
      <formula>NOT(ISERROR(SEARCH("O",E58)))</formula>
    </cfRule>
    <cfRule type="containsText" dxfId="76" priority="154" operator="containsText" text="M">
      <formula>NOT(ISERROR(SEARCH("M",E58)))</formula>
    </cfRule>
    <cfRule type="containsText" dxfId="75" priority="153" operator="containsText" text="R">
      <formula>NOT(ISERROR(SEARCH("R",E58)))</formula>
    </cfRule>
  </conditionalFormatting>
  <conditionalFormatting sqref="E90:E102">
    <cfRule type="containsText" dxfId="74" priority="152" operator="containsText" text="O">
      <formula>NOT(ISERROR(SEARCH("O",E90)))</formula>
    </cfRule>
    <cfRule type="containsText" dxfId="73" priority="151" operator="containsText" text="M">
      <formula>NOT(ISERROR(SEARCH("M",E90)))</formula>
    </cfRule>
    <cfRule type="containsText" dxfId="72" priority="150" operator="containsText" text="R">
      <formula>NOT(ISERROR(SEARCH("R",E90)))</formula>
    </cfRule>
  </conditionalFormatting>
  <conditionalFormatting sqref="E105:E118">
    <cfRule type="containsText" dxfId="71" priority="147" operator="containsText" text="R">
      <formula>NOT(ISERROR(SEARCH("R",E105)))</formula>
    </cfRule>
    <cfRule type="containsText" dxfId="70" priority="148" operator="containsText" text="M">
      <formula>NOT(ISERROR(SEARCH("M",E105)))</formula>
    </cfRule>
    <cfRule type="containsText" dxfId="69" priority="149" operator="containsText" text="O">
      <formula>NOT(ISERROR(SEARCH("O",E105)))</formula>
    </cfRule>
  </conditionalFormatting>
  <conditionalFormatting sqref="E120:E141">
    <cfRule type="containsText" dxfId="68" priority="146" operator="containsText" text="O">
      <formula>NOT(ISERROR(SEARCH("O",E120)))</formula>
    </cfRule>
    <cfRule type="containsText" dxfId="67" priority="145" operator="containsText" text="M">
      <formula>NOT(ISERROR(SEARCH("M",E120)))</formula>
    </cfRule>
    <cfRule type="containsText" dxfId="66" priority="144" operator="containsText" text="R">
      <formula>NOT(ISERROR(SEARCH("R",E120)))</formula>
    </cfRule>
  </conditionalFormatting>
  <conditionalFormatting sqref="E144:E148">
    <cfRule type="containsText" dxfId="65" priority="143" operator="containsText" text="O">
      <formula>NOT(ISERROR(SEARCH("O",E144)))</formula>
    </cfRule>
    <cfRule type="containsText" dxfId="64" priority="142" operator="containsText" text="M">
      <formula>NOT(ISERROR(SEARCH("M",E144)))</formula>
    </cfRule>
    <cfRule type="containsText" dxfId="63" priority="141" operator="containsText" text="R">
      <formula>NOT(ISERROR(SEARCH("R",E144)))</formula>
    </cfRule>
  </conditionalFormatting>
  <conditionalFormatting sqref="E150:E163">
    <cfRule type="containsText" dxfId="62" priority="140" operator="containsText" text="O">
      <formula>NOT(ISERROR(SEARCH("O",E150)))</formula>
    </cfRule>
    <cfRule type="containsText" dxfId="61" priority="139" operator="containsText" text="M">
      <formula>NOT(ISERROR(SEARCH("M",E150)))</formula>
    </cfRule>
    <cfRule type="containsText" dxfId="60" priority="138" operator="containsText" text="R">
      <formula>NOT(ISERROR(SEARCH("R",E150)))</formula>
    </cfRule>
  </conditionalFormatting>
  <conditionalFormatting sqref="E166:E173">
    <cfRule type="containsText" dxfId="59" priority="137" operator="containsText" text="O">
      <formula>NOT(ISERROR(SEARCH("O",E166)))</formula>
    </cfRule>
    <cfRule type="containsText" dxfId="58" priority="136" operator="containsText" text="M">
      <formula>NOT(ISERROR(SEARCH("M",E166)))</formula>
    </cfRule>
    <cfRule type="containsText" dxfId="57" priority="135" operator="containsText" text="R">
      <formula>NOT(ISERROR(SEARCH("R",E166)))</formula>
    </cfRule>
  </conditionalFormatting>
  <conditionalFormatting sqref="E175:E188">
    <cfRule type="containsText" dxfId="56" priority="134" operator="containsText" text="O">
      <formula>NOT(ISERROR(SEARCH("O",E175)))</formula>
    </cfRule>
    <cfRule type="containsText" dxfId="55" priority="133" operator="containsText" text="M">
      <formula>NOT(ISERROR(SEARCH("M",E175)))</formula>
    </cfRule>
    <cfRule type="containsText" dxfId="54" priority="132" operator="containsText" text="R">
      <formula>NOT(ISERROR(SEARCH("R",E175)))</formula>
    </cfRule>
  </conditionalFormatting>
  <conditionalFormatting sqref="E190:E196">
    <cfRule type="containsText" dxfId="53" priority="129" operator="containsText" text="R">
      <formula>NOT(ISERROR(SEARCH("R",E190)))</formula>
    </cfRule>
    <cfRule type="containsText" dxfId="52" priority="131" operator="containsText" text="O">
      <formula>NOT(ISERROR(SEARCH("O",E190)))</formula>
    </cfRule>
    <cfRule type="containsText" dxfId="51" priority="130" operator="containsText" text="M">
      <formula>NOT(ISERROR(SEARCH("M",E190)))</formula>
    </cfRule>
  </conditionalFormatting>
  <conditionalFormatting sqref="E207:E220">
    <cfRule type="containsText" dxfId="50" priority="124" operator="containsText" text="M">
      <formula>NOT(ISERROR(SEARCH("M",E207)))</formula>
    </cfRule>
    <cfRule type="containsText" dxfId="49" priority="125" operator="containsText" text="O">
      <formula>NOT(ISERROR(SEARCH("O",E207)))</formula>
    </cfRule>
    <cfRule type="containsText" dxfId="48" priority="123" operator="containsText" text="R">
      <formula>NOT(ISERROR(SEARCH("R",E207)))</formula>
    </cfRule>
  </conditionalFormatting>
  <conditionalFormatting sqref="E222:E227">
    <cfRule type="containsText" dxfId="47" priority="120" operator="containsText" text="R">
      <formula>NOT(ISERROR(SEARCH("R",E222)))</formula>
    </cfRule>
    <cfRule type="containsText" dxfId="46" priority="121" operator="containsText" text="M">
      <formula>NOT(ISERROR(SEARCH("M",E222)))</formula>
    </cfRule>
    <cfRule type="containsText" dxfId="45" priority="122" operator="containsText" text="O">
      <formula>NOT(ISERROR(SEARCH("O",E222)))</formula>
    </cfRule>
  </conditionalFormatting>
  <conditionalFormatting sqref="E243:E255">
    <cfRule type="containsText" dxfId="44" priority="115" operator="containsText" text="M">
      <formula>NOT(ISERROR(SEARCH("M",E243)))</formula>
    </cfRule>
    <cfRule type="containsText" dxfId="43" priority="114" operator="containsText" text="R">
      <formula>NOT(ISERROR(SEARCH("R",E243)))</formula>
    </cfRule>
    <cfRule type="containsText" dxfId="42" priority="116" operator="containsText" text="O">
      <formula>NOT(ISERROR(SEARCH("O",E243)))</formula>
    </cfRule>
  </conditionalFormatting>
  <conditionalFormatting sqref="I4:S11">
    <cfRule type="expression" dxfId="39" priority="62">
      <formula>$I$3=""</formula>
    </cfRule>
  </conditionalFormatting>
  <conditionalFormatting sqref="I13:S17">
    <cfRule type="expression" dxfId="38" priority="48">
      <formula>$I$3=""</formula>
    </cfRule>
  </conditionalFormatting>
  <conditionalFormatting sqref="I19:S20">
    <cfRule type="expression" dxfId="35" priority="46">
      <formula>$I$3=""</formula>
    </cfRule>
  </conditionalFormatting>
  <conditionalFormatting sqref="I22:S33">
    <cfRule type="expression" dxfId="34" priority="44">
      <formula>$I$3=""</formula>
    </cfRule>
  </conditionalFormatting>
  <conditionalFormatting sqref="I35:S55">
    <cfRule type="expression" dxfId="33" priority="40">
      <formula>$I$3=""</formula>
    </cfRule>
  </conditionalFormatting>
  <conditionalFormatting sqref="I58:S88">
    <cfRule type="expression" dxfId="30" priority="28">
      <formula>$I$3=""</formula>
    </cfRule>
  </conditionalFormatting>
  <conditionalFormatting sqref="I90:S102">
    <cfRule type="expression" dxfId="28" priority="26">
      <formula>$I$3=""</formula>
    </cfRule>
  </conditionalFormatting>
  <conditionalFormatting sqref="I105:S118">
    <cfRule type="expression" dxfId="27" priority="24">
      <formula>$I$3=""</formula>
    </cfRule>
  </conditionalFormatting>
  <conditionalFormatting sqref="I120:S141">
    <cfRule type="expression" dxfId="25" priority="22">
      <formula>$I$3=""</formula>
    </cfRule>
  </conditionalFormatting>
  <conditionalFormatting sqref="I144:S148">
    <cfRule type="expression" dxfId="23" priority="20">
      <formula>$I$3=""</formula>
    </cfRule>
  </conditionalFormatting>
  <conditionalFormatting sqref="I150:S163">
    <cfRule type="expression" dxfId="20" priority="18">
      <formula>$I$3=""</formula>
    </cfRule>
  </conditionalFormatting>
  <conditionalFormatting sqref="I166:S173">
    <cfRule type="expression" dxfId="18" priority="16">
      <formula>$I$3=""</formula>
    </cfRule>
  </conditionalFormatting>
  <conditionalFormatting sqref="I175:S188">
    <cfRule type="expression" dxfId="16" priority="14">
      <formula>$I$3=""</formula>
    </cfRule>
  </conditionalFormatting>
  <conditionalFormatting sqref="I190:S196">
    <cfRule type="expression" dxfId="15" priority="12">
      <formula>$I$3=""</formula>
    </cfRule>
  </conditionalFormatting>
  <conditionalFormatting sqref="I199:S205">
    <cfRule type="expression" dxfId="13" priority="10">
      <formula>$I$3=""</formula>
    </cfRule>
  </conditionalFormatting>
  <conditionalFormatting sqref="I207:S220">
    <cfRule type="expression" dxfId="10" priority="8">
      <formula>$I$3=""</formula>
    </cfRule>
  </conditionalFormatting>
  <conditionalFormatting sqref="I222:S227">
    <cfRule type="expression" dxfId="8" priority="6">
      <formula>$I$3=""</formula>
    </cfRule>
  </conditionalFormatting>
  <conditionalFormatting sqref="I229:S241">
    <cfRule type="expression" dxfId="6" priority="4">
      <formula>$I$3=""</formula>
    </cfRule>
  </conditionalFormatting>
  <conditionalFormatting sqref="I243:S255">
    <cfRule type="expression" dxfId="5" priority="2">
      <formula>$I$3=""</formula>
    </cfRule>
  </conditionalFormatting>
  <conditionalFormatting sqref="I2:AE2">
    <cfRule type="containsBlanks" dxfId="3" priority="63">
      <formula>LEN(TRIM(I2))=0</formula>
    </cfRule>
  </conditionalFormatting>
  <dataValidations count="1">
    <dataValidation type="list" allowBlank="1" showInputMessage="1" showErrorMessage="1" sqref="F151" xr:uid="{C0CEF263-8EC9-4B29-9569-420C4C31A121}">
      <formula1>#REF!</formula1>
    </dataValidation>
  </dataValidations>
  <hyperlinks>
    <hyperlink ref="A22:A33" location="README!O51" display="README!O51" xr:uid="{07079976-92A3-47E9-B264-5852AC358BBC}"/>
    <hyperlink ref="A19:A20" location="README!O43" display="README!O43" xr:uid="{DDA2A98A-D384-4407-8847-3A91F2DECC6E}"/>
    <hyperlink ref="A13:A17" location="README!O31" display="README!O31" xr:uid="{76C79ECA-92DB-4379-B8EE-CA4CF68A94A0}"/>
    <hyperlink ref="A4:A11" location="README!O23" display="README!O23" xr:uid="{203AB2DF-9C39-4157-9179-E15BD5DBF8E9}"/>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1" id="{89600BF6-A279-4851-897C-E33258BAE5E9}">
            <xm:f>'Project Details'!$B$8="Monthly"</xm:f>
            <x14:dxf>
              <fill>
                <patternFill>
                  <bgColor rgb="FFE8F0AE"/>
                </patternFill>
              </fill>
            </x14:dxf>
          </x14:cfRule>
          <xm:sqref>H22:S33</xm:sqref>
        </x14:conditionalFormatting>
        <x14:conditionalFormatting xmlns:xm="http://schemas.microsoft.com/office/excel/2006/main">
          <x14:cfRule type="expression" priority="51" id="{CA79F0D5-8863-4A18-AE6C-A0A0F295EE7A}">
            <xm:f>'Project Details'!$B$8="Monthly"</xm:f>
            <x14:dxf>
              <fill>
                <patternFill>
                  <bgColor rgb="FFE8F0AE"/>
                </patternFill>
              </fill>
            </x14:dxf>
          </x14:cfRule>
          <xm:sqref>I4:S11</xm:sqref>
        </x14:conditionalFormatting>
        <x14:conditionalFormatting xmlns:xm="http://schemas.microsoft.com/office/excel/2006/main">
          <x14:cfRule type="expression" priority="47" id="{38EC6CB4-9133-471F-895C-DF108625E819}">
            <xm:f>'Project Details'!$B$8="Monthly"</xm:f>
            <x14:dxf>
              <fill>
                <patternFill>
                  <bgColor rgb="FFE8F0AE"/>
                </patternFill>
              </fill>
            </x14:dxf>
          </x14:cfRule>
          <xm:sqref>I13:S17</xm:sqref>
        </x14:conditionalFormatting>
        <x14:conditionalFormatting xmlns:xm="http://schemas.microsoft.com/office/excel/2006/main">
          <x14:cfRule type="expression" priority="45" id="{DFB36454-5787-4D3F-B67A-4BE8DC253CD8}">
            <xm:f>'Project Details'!$B$8="Monthly"</xm:f>
            <x14:dxf>
              <fill>
                <patternFill>
                  <bgColor rgb="FFE8F0AE"/>
                </patternFill>
              </fill>
            </x14:dxf>
          </x14:cfRule>
          <xm:sqref>I19:S20</xm:sqref>
        </x14:conditionalFormatting>
        <x14:conditionalFormatting xmlns:xm="http://schemas.microsoft.com/office/excel/2006/main">
          <x14:cfRule type="expression" priority="39" id="{AB5EA479-7A06-49BA-A56F-681E5951A26C}">
            <xm:f>'Project Details'!$B$8="Monthly"</xm:f>
            <x14:dxf>
              <fill>
                <patternFill>
                  <bgColor rgb="FFE8F0AE"/>
                </patternFill>
              </fill>
            </x14:dxf>
          </x14:cfRule>
          <xm:sqref>I35:S55</xm:sqref>
        </x14:conditionalFormatting>
        <x14:conditionalFormatting xmlns:xm="http://schemas.microsoft.com/office/excel/2006/main">
          <x14:cfRule type="expression" priority="27" id="{536633A6-BE59-412F-A10E-8844E8D48D34}">
            <xm:f>'Project Details'!$B$8="Monthly"</xm:f>
            <x14:dxf>
              <fill>
                <patternFill>
                  <bgColor rgb="FFE8F0AE"/>
                </patternFill>
              </fill>
            </x14:dxf>
          </x14:cfRule>
          <xm:sqref>I58:S88</xm:sqref>
        </x14:conditionalFormatting>
        <x14:conditionalFormatting xmlns:xm="http://schemas.microsoft.com/office/excel/2006/main">
          <x14:cfRule type="expression" priority="25" id="{E957418D-DD94-439A-95EC-F4E151EF133D}">
            <xm:f>'Project Details'!$B$8="Monthly"</xm:f>
            <x14:dxf>
              <fill>
                <patternFill>
                  <bgColor rgb="FFE8F0AE"/>
                </patternFill>
              </fill>
            </x14:dxf>
          </x14:cfRule>
          <xm:sqref>I90:S102</xm:sqref>
        </x14:conditionalFormatting>
        <x14:conditionalFormatting xmlns:xm="http://schemas.microsoft.com/office/excel/2006/main">
          <x14:cfRule type="expression" priority="23" id="{939A6378-8A1D-4A84-8C5F-34AD3E3B8F5C}">
            <xm:f>'Project Details'!$B$8="Monthly"</xm:f>
            <x14:dxf>
              <fill>
                <patternFill>
                  <bgColor rgb="FFE8F0AE"/>
                </patternFill>
              </fill>
            </x14:dxf>
          </x14:cfRule>
          <xm:sqref>I105:S118</xm:sqref>
        </x14:conditionalFormatting>
        <x14:conditionalFormatting xmlns:xm="http://schemas.microsoft.com/office/excel/2006/main">
          <x14:cfRule type="expression" priority="21" id="{9BF40CCF-54CF-4645-AD0B-D1B8AE663626}">
            <xm:f>'Project Details'!$B$8="Monthly"</xm:f>
            <x14:dxf>
              <fill>
                <patternFill>
                  <bgColor rgb="FFE8F0AE"/>
                </patternFill>
              </fill>
            </x14:dxf>
          </x14:cfRule>
          <xm:sqref>I120:S141</xm:sqref>
        </x14:conditionalFormatting>
        <x14:conditionalFormatting xmlns:xm="http://schemas.microsoft.com/office/excel/2006/main">
          <x14:cfRule type="expression" priority="19" id="{0AD868CD-3F7B-4FAB-963B-5B0DFC38CE85}">
            <xm:f>'Project Details'!$B$8="Monthly"</xm:f>
            <x14:dxf>
              <fill>
                <patternFill>
                  <bgColor rgb="FFE8F0AE"/>
                </patternFill>
              </fill>
            </x14:dxf>
          </x14:cfRule>
          <xm:sqref>I144:S148</xm:sqref>
        </x14:conditionalFormatting>
        <x14:conditionalFormatting xmlns:xm="http://schemas.microsoft.com/office/excel/2006/main">
          <x14:cfRule type="expression" priority="17" id="{7B07C31D-BCC9-4CCF-9DD1-9BECE224CAAB}">
            <xm:f>'Project Details'!$B$8="Monthly"</xm:f>
            <x14:dxf>
              <fill>
                <patternFill>
                  <bgColor rgb="FFE8F0AE"/>
                </patternFill>
              </fill>
            </x14:dxf>
          </x14:cfRule>
          <xm:sqref>I150:S163</xm:sqref>
        </x14:conditionalFormatting>
        <x14:conditionalFormatting xmlns:xm="http://schemas.microsoft.com/office/excel/2006/main">
          <x14:cfRule type="expression" priority="15" id="{C60E09E6-2102-43CF-BD18-817932F659BC}">
            <xm:f>'Project Details'!$B$8="Monthly"</xm:f>
            <x14:dxf>
              <fill>
                <patternFill>
                  <bgColor rgb="FFE8F0AE"/>
                </patternFill>
              </fill>
            </x14:dxf>
          </x14:cfRule>
          <xm:sqref>I166:S173</xm:sqref>
        </x14:conditionalFormatting>
        <x14:conditionalFormatting xmlns:xm="http://schemas.microsoft.com/office/excel/2006/main">
          <x14:cfRule type="expression" priority="13" id="{0FEC3B7F-B2CA-44DE-82C5-FED591DCB5F7}">
            <xm:f>'Project Details'!$B$8="Monthly"</xm:f>
            <x14:dxf>
              <fill>
                <patternFill>
                  <bgColor rgb="FFE8F0AE"/>
                </patternFill>
              </fill>
            </x14:dxf>
          </x14:cfRule>
          <xm:sqref>I175:S188</xm:sqref>
        </x14:conditionalFormatting>
        <x14:conditionalFormatting xmlns:xm="http://schemas.microsoft.com/office/excel/2006/main">
          <x14:cfRule type="expression" priority="11" id="{8ADB1ED9-C4A5-4D86-BF3B-864080A0CC88}">
            <xm:f>'Project Details'!$B$8="Monthly"</xm:f>
            <x14:dxf>
              <fill>
                <patternFill>
                  <bgColor rgb="FFE8F0AE"/>
                </patternFill>
              </fill>
            </x14:dxf>
          </x14:cfRule>
          <xm:sqref>I190:S196</xm:sqref>
        </x14:conditionalFormatting>
        <x14:conditionalFormatting xmlns:xm="http://schemas.microsoft.com/office/excel/2006/main">
          <x14:cfRule type="expression" priority="9" id="{490906D5-9347-43CD-90B5-024158AA6413}">
            <xm:f>'Project Details'!$B$8="Monthly"</xm:f>
            <x14:dxf>
              <fill>
                <patternFill>
                  <bgColor rgb="FFE8F0AE"/>
                </patternFill>
              </fill>
            </x14:dxf>
          </x14:cfRule>
          <xm:sqref>I199:S205</xm:sqref>
        </x14:conditionalFormatting>
        <x14:conditionalFormatting xmlns:xm="http://schemas.microsoft.com/office/excel/2006/main">
          <x14:cfRule type="expression" priority="7" id="{E144D26C-7CCD-4500-8B83-EA98F4412C1D}">
            <xm:f>'Project Details'!$B$8="Monthly"</xm:f>
            <x14:dxf>
              <fill>
                <patternFill>
                  <bgColor rgb="FFE8F0AE"/>
                </patternFill>
              </fill>
            </x14:dxf>
          </x14:cfRule>
          <xm:sqref>I207:S220</xm:sqref>
        </x14:conditionalFormatting>
        <x14:conditionalFormatting xmlns:xm="http://schemas.microsoft.com/office/excel/2006/main">
          <x14:cfRule type="expression" priority="5" id="{31925C46-9121-4CBD-B6C2-E320CD07B149}">
            <xm:f>'Project Details'!$B$8="Monthly"</xm:f>
            <x14:dxf>
              <fill>
                <patternFill>
                  <bgColor rgb="FFE8F0AE"/>
                </patternFill>
              </fill>
            </x14:dxf>
          </x14:cfRule>
          <xm:sqref>I222:S227</xm:sqref>
        </x14:conditionalFormatting>
        <x14:conditionalFormatting xmlns:xm="http://schemas.microsoft.com/office/excel/2006/main">
          <x14:cfRule type="expression" priority="3" id="{F20CC8C1-4FCA-4660-9CD7-FAB74444DBFF}">
            <xm:f>'Project Details'!$B$8="Monthly"</xm:f>
            <x14:dxf>
              <fill>
                <patternFill>
                  <bgColor rgb="FFE8F0AE"/>
                </patternFill>
              </fill>
            </x14:dxf>
          </x14:cfRule>
          <xm:sqref>I229:S241</xm:sqref>
        </x14:conditionalFormatting>
        <x14:conditionalFormatting xmlns:xm="http://schemas.microsoft.com/office/excel/2006/main">
          <x14:cfRule type="expression" priority="1" id="{7B5454F4-8B4F-4133-BC01-C005914162B8}">
            <xm:f>'Project Details'!$B$8="Monthly"</xm:f>
            <x14:dxf>
              <fill>
                <patternFill>
                  <bgColor rgb="FFE8F0AE"/>
                </patternFill>
              </fill>
            </x14:dxf>
          </x14:cfRule>
          <xm:sqref>I243:S255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874FB257-A37A-4611-88B3-E539E0A33334}">
          <x14:formula1>
            <xm:f>Lookup!$D$3:$D$6</xm:f>
          </x14:formula1>
          <xm:sqref>AI3:AI255</xm:sqref>
        </x14:dataValidation>
        <x14:dataValidation type="list" allowBlank="1" showInputMessage="1" showErrorMessage="1" xr:uid="{5F16201E-3A1F-4FE1-9D9C-DE8352B7F2B1}">
          <x14:formula1>
            <xm:f>'Emission Factors 2'!$A$260:$A$285</xm:f>
          </x14:formula1>
          <xm:sqref>F97:F102 F250:F255 F236:F241 F183:F188 F214:F219 F158:F163 F136:F141</xm:sqref>
        </x14:dataValidation>
        <x14:dataValidation type="list" allowBlank="1" showInputMessage="1" showErrorMessage="1" xr:uid="{C4C47C33-8E7A-4FBB-ACE2-DB5538589368}">
          <x14:formula1>
            <xm:f>'Emission Factors 2'!$A$303:$A$312</xm:f>
          </x14:formula1>
          <xm:sqref>F127:F135 F42:F50</xm:sqref>
        </x14:dataValidation>
        <x14:dataValidation type="list" allowBlank="1" showInputMessage="1" showErrorMessage="1" xr:uid="{757F74EB-020F-405B-8128-F5D2B2806BE8}">
          <x14:formula1>
            <xm:f>'Emission Factors 2'!$A$286:$A$287</xm:f>
          </x14:formula1>
          <xm:sqref>F176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471C-003C-4DC7-B441-D4F2B769009B}">
  <dimension ref="A1:N21"/>
  <sheetViews>
    <sheetView topLeftCell="A15" workbookViewId="0">
      <selection activeCell="P15" sqref="P15"/>
    </sheetView>
  </sheetViews>
  <sheetFormatPr defaultRowHeight="15" x14ac:dyDescent="0.25"/>
  <cols>
    <col min="1" max="1" width="40.5703125" customWidth="1"/>
  </cols>
  <sheetData>
    <row r="1" spans="1:14" ht="20.25" thickTop="1" x14ac:dyDescent="0.25">
      <c r="A1" t="s">
        <v>940</v>
      </c>
      <c r="B1" s="66" t="s">
        <v>10</v>
      </c>
      <c r="C1" s="66" t="s">
        <v>267</v>
      </c>
      <c r="D1" s="66" t="s">
        <v>268</v>
      </c>
      <c r="E1" s="66" t="s">
        <v>269</v>
      </c>
      <c r="F1" s="66" t="s">
        <v>13</v>
      </c>
      <c r="G1" s="66" t="s">
        <v>270</v>
      </c>
      <c r="H1" s="66" t="s">
        <v>271</v>
      </c>
      <c r="I1" s="66" t="s">
        <v>272</v>
      </c>
      <c r="J1" s="66" t="s">
        <v>273</v>
      </c>
      <c r="K1" s="66" t="s">
        <v>274</v>
      </c>
      <c r="L1" s="66" t="s">
        <v>275</v>
      </c>
      <c r="M1" s="66" t="s">
        <v>276</v>
      </c>
      <c r="N1" s="87" t="s">
        <v>946</v>
      </c>
    </row>
    <row r="2" spans="1:14" x14ac:dyDescent="0.25">
      <c r="A2" t="s">
        <v>277</v>
      </c>
      <c r="B2">
        <f>SUM('Data Collection'!H4:H11)</f>
        <v>3739475.9195528217</v>
      </c>
      <c r="C2">
        <f>SUM('Data Collection'!I4:I11)</f>
        <v>3689571.5449966728</v>
      </c>
      <c r="D2">
        <f>SUM('Data Collection'!J4:J11)</f>
        <v>3714832.6301709265</v>
      </c>
      <c r="E2">
        <f>SUM('Data Collection'!K4:K11)</f>
        <v>3731551.8880728669</v>
      </c>
      <c r="F2">
        <f>SUM('Data Collection'!L4:L11)</f>
        <v>3729217.4087944697</v>
      </c>
      <c r="G2">
        <f>SUM('Data Collection'!M4:M11)</f>
        <v>3712976.4201296135</v>
      </c>
      <c r="H2">
        <f>SUM('Data Collection'!N4:N11)</f>
        <v>3730426.9920865046</v>
      </c>
      <c r="I2">
        <f>SUM('Data Collection'!O4:O11)</f>
        <v>3703645.3342623576</v>
      </c>
      <c r="J2">
        <f>SUM('Data Collection'!P4:P11)</f>
        <v>3704032.97720434</v>
      </c>
      <c r="K2">
        <f>SUM('Data Collection'!Q4:Q11)</f>
        <v>3691423.75169673</v>
      </c>
      <c r="L2">
        <f>SUM('Data Collection'!R4:R11)</f>
        <v>3689514.6816967302</v>
      </c>
      <c r="M2">
        <f>SUM('Data Collection'!S4:S11)</f>
        <v>3683762.4816967305</v>
      </c>
      <c r="N2">
        <f>SUM(B2:M2)</f>
        <v>44520432.030360758</v>
      </c>
    </row>
    <row r="3" spans="1:14" x14ac:dyDescent="0.25">
      <c r="A3" t="s">
        <v>17</v>
      </c>
      <c r="B3">
        <f>SUM('Data Collection'!H13:H17)</f>
        <v>295843.13264141412</v>
      </c>
      <c r="C3">
        <f>SUM('Data Collection'!I13:I17)</f>
        <v>319998.62466666661</v>
      </c>
      <c r="D3">
        <f>SUM('Data Collection'!J13:J17)</f>
        <v>294915.59566666669</v>
      </c>
      <c r="E3">
        <f>SUM('Data Collection'!K13:K17)</f>
        <v>333237.08933333337</v>
      </c>
      <c r="F3">
        <f>SUM('Data Collection'!L13:L17)</f>
        <v>337195.32933333336</v>
      </c>
      <c r="G3">
        <f>SUM('Data Collection'!M13:M17)</f>
        <v>296564.33733333333</v>
      </c>
      <c r="H3">
        <f>SUM('Data Collection'!N13:N17)</f>
        <v>278044.45333333331</v>
      </c>
      <c r="I3">
        <f>SUM('Data Collection'!O13:O17)</f>
        <v>271372.33133333334</v>
      </c>
      <c r="J3">
        <f>SUM('Data Collection'!P13:P17)</f>
        <v>348712.22333333339</v>
      </c>
      <c r="K3">
        <f>SUM('Data Collection'!Q13:Q17)</f>
        <v>295271.24188888888</v>
      </c>
      <c r="L3">
        <f>SUM('Data Collection'!R13:R17)</f>
        <v>304919.35188888892</v>
      </c>
      <c r="M3">
        <f>SUM('Data Collection'!S13:S17)</f>
        <v>302613.41188888886</v>
      </c>
      <c r="N3">
        <f t="shared" ref="N3:N21" si="0">SUM(B3:M3)</f>
        <v>3678687.1226414139</v>
      </c>
    </row>
    <row r="4" spans="1:14" x14ac:dyDescent="0.25">
      <c r="A4" t="s">
        <v>71</v>
      </c>
      <c r="B4">
        <f>SUM('Data Collection'!H19:H20)</f>
        <v>0</v>
      </c>
      <c r="C4">
        <f>SUM('Data Collection'!I19:I20)</f>
        <v>0</v>
      </c>
      <c r="D4">
        <f>SUM('Data Collection'!J19:J20)</f>
        <v>0</v>
      </c>
      <c r="E4">
        <f>SUM('Data Collection'!K19:K20)</f>
        <v>0</v>
      </c>
      <c r="F4">
        <f>SUM('Data Collection'!L19:L20)</f>
        <v>0</v>
      </c>
      <c r="G4">
        <f>SUM('Data Collection'!M19:M20)</f>
        <v>0</v>
      </c>
      <c r="H4">
        <f>SUM('Data Collection'!N19:N20)</f>
        <v>0</v>
      </c>
      <c r="I4">
        <f>SUM('Data Collection'!O19:O20)</f>
        <v>0</v>
      </c>
      <c r="J4">
        <f>SUM('Data Collection'!P19:P20)</f>
        <v>0</v>
      </c>
      <c r="K4">
        <f>SUM('Data Collection'!Q19:Q20)</f>
        <v>0</v>
      </c>
      <c r="L4">
        <f>SUM('Data Collection'!R19:R20)</f>
        <v>0</v>
      </c>
      <c r="M4">
        <f>SUM('Data Collection'!S19:S20)</f>
        <v>0</v>
      </c>
      <c r="N4">
        <f t="shared" si="0"/>
        <v>0</v>
      </c>
    </row>
    <row r="5" spans="1:14" x14ac:dyDescent="0.25">
      <c r="A5" t="s">
        <v>78</v>
      </c>
      <c r="B5">
        <f>SUM('Data Collection'!H22:H33)</f>
        <v>0</v>
      </c>
      <c r="C5">
        <f>SUM('Data Collection'!I22:I33)</f>
        <v>0</v>
      </c>
      <c r="D5">
        <f>SUM('Data Collection'!J22:J33)</f>
        <v>0</v>
      </c>
      <c r="E5">
        <f>SUM('Data Collection'!K22:K33)</f>
        <v>0</v>
      </c>
      <c r="F5">
        <f>SUM('Data Collection'!L22:L33)</f>
        <v>0</v>
      </c>
      <c r="G5">
        <f>SUM('Data Collection'!M22:M33)</f>
        <v>0</v>
      </c>
      <c r="H5">
        <f>SUM('Data Collection'!N22:N33)</f>
        <v>0</v>
      </c>
      <c r="I5">
        <f>SUM('Data Collection'!O22:O33)</f>
        <v>0</v>
      </c>
      <c r="J5">
        <f>SUM('Data Collection'!P22:P33)</f>
        <v>0</v>
      </c>
      <c r="K5">
        <f>SUM('Data Collection'!Q22:Q33)</f>
        <v>0</v>
      </c>
      <c r="L5">
        <f>SUM('Data Collection'!R22:R33)</f>
        <v>0</v>
      </c>
      <c r="M5">
        <f>SUM('Data Collection'!S22:S33)</f>
        <v>0</v>
      </c>
      <c r="N5">
        <f t="shared" si="0"/>
        <v>0</v>
      </c>
    </row>
    <row r="6" spans="1:14" x14ac:dyDescent="0.25">
      <c r="A6" t="s">
        <v>21</v>
      </c>
      <c r="B6">
        <f>SUM('Data Collection'!H35:H55)</f>
        <v>4198.1099999999997</v>
      </c>
      <c r="C6">
        <f>SUM('Data Collection'!I35:I55)</f>
        <v>5079</v>
      </c>
      <c r="D6">
        <f>SUM('Data Collection'!J35:J55)</f>
        <v>4022</v>
      </c>
      <c r="E6">
        <f>SUM('Data Collection'!K35:K55)</f>
        <v>36571</v>
      </c>
      <c r="F6">
        <f>SUM('Data Collection'!L35:L55)</f>
        <v>67310</v>
      </c>
      <c r="G6">
        <f>SUM('Data Collection'!M35:M55)</f>
        <v>58669</v>
      </c>
      <c r="H6">
        <f>SUM('Data Collection'!N35:N55)</f>
        <v>52048</v>
      </c>
      <c r="I6">
        <f>SUM('Data Collection'!O35:O55)</f>
        <v>90453</v>
      </c>
      <c r="J6">
        <f>SUM('Data Collection'!P35:P55)</f>
        <v>78732</v>
      </c>
      <c r="K6">
        <f>SUM('Data Collection'!Q35:Q55)</f>
        <v>44659</v>
      </c>
      <c r="L6">
        <f>SUM('Data Collection'!R35:R55)</f>
        <v>21831.927722222223</v>
      </c>
      <c r="M6">
        <f>SUM('Data Collection'!S35:S55)</f>
        <v>10915.963861111111</v>
      </c>
      <c r="N6">
        <f t="shared" si="0"/>
        <v>474489.0015833333</v>
      </c>
    </row>
    <row r="7" spans="1:14" x14ac:dyDescent="0.25">
      <c r="A7" t="s">
        <v>941</v>
      </c>
      <c r="B7">
        <f>SUM('Data Collection'!H58:H88)</f>
        <v>0</v>
      </c>
      <c r="C7">
        <f>SUM('Data Collection'!I58:I88)</f>
        <v>0</v>
      </c>
      <c r="D7">
        <f>SUM('Data Collection'!J58:J88)</f>
        <v>0</v>
      </c>
      <c r="E7">
        <f>SUM('Data Collection'!K58:K88)</f>
        <v>0</v>
      </c>
      <c r="F7">
        <f>SUM('Data Collection'!L58:L88)</f>
        <v>0</v>
      </c>
      <c r="G7">
        <f>SUM('Data Collection'!M58:M88)</f>
        <v>0</v>
      </c>
      <c r="H7">
        <f>SUM('Data Collection'!N58:N88)</f>
        <v>0</v>
      </c>
      <c r="I7">
        <f>SUM('Data Collection'!O58:O88)</f>
        <v>0</v>
      </c>
      <c r="J7">
        <f>SUM('Data Collection'!P58:P88)</f>
        <v>0</v>
      </c>
      <c r="K7">
        <f>SUM('Data Collection'!Q58:Q88)</f>
        <v>0</v>
      </c>
      <c r="L7">
        <f>SUM('Data Collection'!R58:R88)</f>
        <v>0</v>
      </c>
      <c r="M7">
        <f>SUM('Data Collection'!S58:S88)</f>
        <v>0</v>
      </c>
      <c r="N7">
        <f t="shared" si="0"/>
        <v>0</v>
      </c>
    </row>
    <row r="8" spans="1:14" x14ac:dyDescent="0.25">
      <c r="A8" t="s">
        <v>324</v>
      </c>
      <c r="B8">
        <f>SUM('Data Collection'!H90:H102)</f>
        <v>0</v>
      </c>
      <c r="C8">
        <f>SUM('Data Collection'!I90:I102)</f>
        <v>0</v>
      </c>
      <c r="D8">
        <f>SUM('Data Collection'!J90:J102)</f>
        <v>0</v>
      </c>
      <c r="E8">
        <f>SUM('Data Collection'!K90:K102)</f>
        <v>0</v>
      </c>
      <c r="F8">
        <f>SUM('Data Collection'!L90:L102)</f>
        <v>0</v>
      </c>
      <c r="G8">
        <f>SUM('Data Collection'!M90:M102)</f>
        <v>0</v>
      </c>
      <c r="H8">
        <f>SUM('Data Collection'!N90:N102)</f>
        <v>0</v>
      </c>
      <c r="I8">
        <f>SUM('Data Collection'!O90:O102)</f>
        <v>0</v>
      </c>
      <c r="J8">
        <f>SUM('Data Collection'!P90:P102)</f>
        <v>0</v>
      </c>
      <c r="K8">
        <f>SUM('Data Collection'!Q90:Q102)</f>
        <v>0</v>
      </c>
      <c r="L8">
        <f>SUM('Data Collection'!R90:R102)</f>
        <v>0</v>
      </c>
      <c r="M8">
        <f>SUM('Data Collection'!S90:S102)</f>
        <v>0</v>
      </c>
      <c r="N8">
        <f t="shared" si="0"/>
        <v>0</v>
      </c>
    </row>
    <row r="9" spans="1:14" x14ac:dyDescent="0.25">
      <c r="A9" t="s">
        <v>335</v>
      </c>
      <c r="B9">
        <f>SUM('Data Collection'!H105:H118)</f>
        <v>0</v>
      </c>
      <c r="C9">
        <f>SUM('Data Collection'!I105:I118)</f>
        <v>0</v>
      </c>
      <c r="D9">
        <f>SUM('Data Collection'!J105:J118)</f>
        <v>0</v>
      </c>
      <c r="E9">
        <f>SUM('Data Collection'!K105:K118)</f>
        <v>0</v>
      </c>
      <c r="F9">
        <f>SUM('Data Collection'!L105:L118)</f>
        <v>0</v>
      </c>
      <c r="G9">
        <f>SUM('Data Collection'!M105:M118)</f>
        <v>0</v>
      </c>
      <c r="H9">
        <f>SUM('Data Collection'!N105:N118)</f>
        <v>0</v>
      </c>
      <c r="I9">
        <f>SUM('Data Collection'!O105:O118)</f>
        <v>0</v>
      </c>
      <c r="J9">
        <f>SUM('Data Collection'!P105:P118)</f>
        <v>0</v>
      </c>
      <c r="K9">
        <f>SUM('Data Collection'!Q105:Q118)</f>
        <v>0</v>
      </c>
      <c r="L9">
        <f>SUM('Data Collection'!R105:R118)</f>
        <v>0</v>
      </c>
      <c r="M9">
        <f>SUM('Data Collection'!S105:S118)</f>
        <v>0</v>
      </c>
      <c r="N9">
        <f t="shared" si="0"/>
        <v>0</v>
      </c>
    </row>
    <row r="10" spans="1:14" x14ac:dyDescent="0.25">
      <c r="A10" t="s">
        <v>354</v>
      </c>
      <c r="B10">
        <f>SUM('Data Collection'!H120:H141)</f>
        <v>170.30999999999997</v>
      </c>
      <c r="C10">
        <f>SUM('Data Collection'!I120:I141)</f>
        <v>1483</v>
      </c>
      <c r="D10">
        <f>SUM('Data Collection'!J120:J141)</f>
        <v>1526</v>
      </c>
      <c r="E10">
        <f>SUM('Data Collection'!K120:K141)</f>
        <v>6950</v>
      </c>
      <c r="F10">
        <f>SUM('Data Collection'!L120:L141)</f>
        <v>5793</v>
      </c>
      <c r="G10">
        <f>SUM('Data Collection'!M120:M141)</f>
        <v>1950</v>
      </c>
      <c r="H10">
        <f>SUM('Data Collection'!N120:N141)</f>
        <v>4700</v>
      </c>
      <c r="I10">
        <f>SUM('Data Collection'!O120:O141)</f>
        <v>8155</v>
      </c>
      <c r="J10">
        <f>SUM('Data Collection'!P120:P141)</f>
        <v>7946</v>
      </c>
      <c r="K10">
        <f>SUM('Data Collection'!Q120:Q141)</f>
        <v>4242</v>
      </c>
      <c r="L10">
        <f>SUM('Data Collection'!R120:R141)</f>
        <v>1981.6154999999999</v>
      </c>
      <c r="M10">
        <f>SUM('Data Collection'!S120:S141)</f>
        <v>990.80774999999994</v>
      </c>
      <c r="N10">
        <f t="shared" si="0"/>
        <v>45887.733249999997</v>
      </c>
    </row>
    <row r="11" spans="1:14" x14ac:dyDescent="0.25">
      <c r="A11" t="s">
        <v>942</v>
      </c>
      <c r="B11">
        <f>SUM('Data Collection'!H144:H148)</f>
        <v>0</v>
      </c>
      <c r="C11">
        <f>SUM('Data Collection'!I144:I148)</f>
        <v>0</v>
      </c>
      <c r="D11">
        <f>SUM('Data Collection'!J144:J148)</f>
        <v>0</v>
      </c>
      <c r="E11">
        <f>SUM('Data Collection'!K144:K148)</f>
        <v>0</v>
      </c>
      <c r="F11">
        <f>SUM('Data Collection'!L144:L148)</f>
        <v>0</v>
      </c>
      <c r="G11">
        <f>SUM('Data Collection'!M144:M148)</f>
        <v>0</v>
      </c>
      <c r="H11">
        <f>SUM('Data Collection'!N144:N148)</f>
        <v>0</v>
      </c>
      <c r="I11">
        <f>SUM('Data Collection'!O144:O148)</f>
        <v>0</v>
      </c>
      <c r="J11">
        <f>SUM('Data Collection'!P144:P148)</f>
        <v>0</v>
      </c>
      <c r="K11">
        <f>SUM('Data Collection'!Q144:Q148)</f>
        <v>0</v>
      </c>
      <c r="L11">
        <f>SUM('Data Collection'!R144:R148)</f>
        <v>0</v>
      </c>
      <c r="M11">
        <f>SUM('Data Collection'!S144:S148)</f>
        <v>0</v>
      </c>
      <c r="N11">
        <f t="shared" si="0"/>
        <v>0</v>
      </c>
    </row>
    <row r="12" spans="1:14" x14ac:dyDescent="0.25">
      <c r="A12" t="s">
        <v>363</v>
      </c>
      <c r="B12">
        <f>SUM('Data Collection'!H150:H163)</f>
        <v>0</v>
      </c>
      <c r="C12">
        <f>SUM('Data Collection'!I150:I163)</f>
        <v>0</v>
      </c>
      <c r="D12">
        <f>SUM('Data Collection'!J150:J163)</f>
        <v>0</v>
      </c>
      <c r="E12">
        <f>SUM('Data Collection'!K150:K163)</f>
        <v>0</v>
      </c>
      <c r="F12">
        <f>SUM('Data Collection'!L150:L163)</f>
        <v>0</v>
      </c>
      <c r="G12">
        <f>SUM('Data Collection'!M150:M163)</f>
        <v>0</v>
      </c>
      <c r="H12">
        <f>SUM('Data Collection'!N150:N163)</f>
        <v>0</v>
      </c>
      <c r="I12">
        <f>SUM('Data Collection'!O150:O163)</f>
        <v>0</v>
      </c>
      <c r="J12">
        <f>SUM('Data Collection'!P150:P163)</f>
        <v>0</v>
      </c>
      <c r="K12">
        <f>SUM('Data Collection'!Q150:Q163)</f>
        <v>0</v>
      </c>
      <c r="L12">
        <f>SUM('Data Collection'!R150:R163)</f>
        <v>0</v>
      </c>
      <c r="M12">
        <f>SUM('Data Collection'!S150:S163)</f>
        <v>0</v>
      </c>
      <c r="N12">
        <f t="shared" si="0"/>
        <v>0</v>
      </c>
    </row>
    <row r="13" spans="1:14" x14ac:dyDescent="0.25">
      <c r="A13" t="s">
        <v>943</v>
      </c>
      <c r="B13">
        <f>SUM('Data Collection'!H166:H173)</f>
        <v>0</v>
      </c>
      <c r="C13">
        <f>SUM('Data Collection'!I166:I173)</f>
        <v>0</v>
      </c>
      <c r="D13">
        <f>SUM('Data Collection'!J166:J173)</f>
        <v>0</v>
      </c>
      <c r="E13">
        <f>SUM('Data Collection'!K166:K173)</f>
        <v>0</v>
      </c>
      <c r="F13">
        <f>SUM('Data Collection'!L166:L173)</f>
        <v>0</v>
      </c>
      <c r="G13">
        <f>SUM('Data Collection'!M166:M173)</f>
        <v>0</v>
      </c>
      <c r="H13">
        <f>SUM('Data Collection'!N166:N173)</f>
        <v>0</v>
      </c>
      <c r="I13">
        <f>SUM('Data Collection'!O166:O173)</f>
        <v>0</v>
      </c>
      <c r="J13">
        <f>SUM('Data Collection'!P166:P173)</f>
        <v>0</v>
      </c>
      <c r="K13">
        <f>SUM('Data Collection'!Q166:Q173)</f>
        <v>0</v>
      </c>
      <c r="L13">
        <f>SUM('Data Collection'!R166:R173)</f>
        <v>0</v>
      </c>
      <c r="M13">
        <f>SUM('Data Collection'!S166:S173)</f>
        <v>0</v>
      </c>
      <c r="N13">
        <f t="shared" si="0"/>
        <v>0</v>
      </c>
    </row>
    <row r="14" spans="1:14" x14ac:dyDescent="0.25">
      <c r="A14" t="s">
        <v>944</v>
      </c>
      <c r="B14">
        <f>SUM('Data Collection'!H175:H188)</f>
        <v>0</v>
      </c>
      <c r="C14">
        <f>SUM('Data Collection'!I175:I188)</f>
        <v>0</v>
      </c>
      <c r="D14">
        <f>SUM('Data Collection'!J175:J188)</f>
        <v>0</v>
      </c>
      <c r="E14">
        <f>SUM('Data Collection'!K175:K188)</f>
        <v>0</v>
      </c>
      <c r="F14">
        <f>SUM('Data Collection'!L175:L188)</f>
        <v>0</v>
      </c>
      <c r="G14">
        <f>SUM('Data Collection'!M175:M188)</f>
        <v>0</v>
      </c>
      <c r="H14">
        <f>SUM('Data Collection'!N175:N188)</f>
        <v>0</v>
      </c>
      <c r="I14">
        <f>SUM('Data Collection'!O175:O188)</f>
        <v>0</v>
      </c>
      <c r="J14">
        <f>SUM('Data Collection'!P175:P188)</f>
        <v>0</v>
      </c>
      <c r="K14">
        <f>SUM('Data Collection'!Q175:Q188)</f>
        <v>0</v>
      </c>
      <c r="L14">
        <f>SUM('Data Collection'!R175:R188)</f>
        <v>0</v>
      </c>
      <c r="M14">
        <f>SUM('Data Collection'!S175:S188)</f>
        <v>0</v>
      </c>
      <c r="N14">
        <f t="shared" si="0"/>
        <v>0</v>
      </c>
    </row>
    <row r="15" spans="1:14" x14ac:dyDescent="0.25">
      <c r="A15" t="s">
        <v>380</v>
      </c>
      <c r="B15">
        <f>SUM('Data Collection'!H190:H196)</f>
        <v>0</v>
      </c>
      <c r="C15">
        <f>SUM('Data Collection'!I190:I196)</f>
        <v>0</v>
      </c>
      <c r="D15">
        <f>SUM('Data Collection'!J190:J196)</f>
        <v>0</v>
      </c>
      <c r="E15">
        <f>SUM('Data Collection'!K190:K196)</f>
        <v>0</v>
      </c>
      <c r="F15">
        <f>SUM('Data Collection'!L190:L196)</f>
        <v>0</v>
      </c>
      <c r="G15">
        <f>SUM('Data Collection'!M190:M196)</f>
        <v>0</v>
      </c>
      <c r="H15">
        <f>SUM('Data Collection'!N190:N196)</f>
        <v>0</v>
      </c>
      <c r="I15">
        <f>SUM('Data Collection'!O190:O196)</f>
        <v>0</v>
      </c>
      <c r="J15">
        <f>SUM('Data Collection'!P190:P196)</f>
        <v>0</v>
      </c>
      <c r="K15">
        <f>SUM('Data Collection'!Q190:Q196)</f>
        <v>0</v>
      </c>
      <c r="L15">
        <f>SUM('Data Collection'!R190:R196)</f>
        <v>0</v>
      </c>
      <c r="M15">
        <f>SUM('Data Collection'!S190:S196)</f>
        <v>0</v>
      </c>
      <c r="N15">
        <f t="shared" si="0"/>
        <v>0</v>
      </c>
    </row>
    <row r="16" spans="1:14" x14ac:dyDescent="0.25">
      <c r="A16" t="s">
        <v>391</v>
      </c>
      <c r="B16">
        <f>SUM('Data Collection'!H199:H205)</f>
        <v>0</v>
      </c>
      <c r="C16">
        <f>SUM('Data Collection'!I199:I205)</f>
        <v>0</v>
      </c>
      <c r="D16">
        <f>SUM('Data Collection'!J199:J205)</f>
        <v>0</v>
      </c>
      <c r="E16">
        <f>SUM('Data Collection'!K199:K205)</f>
        <v>0</v>
      </c>
      <c r="F16">
        <f>SUM('Data Collection'!L199:L205)</f>
        <v>0</v>
      </c>
      <c r="G16">
        <f>SUM('Data Collection'!M199:M205)</f>
        <v>0</v>
      </c>
      <c r="H16">
        <f>SUM('Data Collection'!N199:N205)</f>
        <v>0</v>
      </c>
      <c r="I16">
        <f>SUM('Data Collection'!O199:O205)</f>
        <v>0</v>
      </c>
      <c r="J16">
        <f>SUM('Data Collection'!P199:P205)</f>
        <v>0</v>
      </c>
      <c r="K16">
        <f>SUM('Data Collection'!Q199:Q205)</f>
        <v>0</v>
      </c>
      <c r="L16">
        <f>SUM('Data Collection'!R199:R205)</f>
        <v>0</v>
      </c>
      <c r="M16">
        <f>SUM('Data Collection'!S199:S205)</f>
        <v>0</v>
      </c>
      <c r="N16">
        <f t="shared" si="0"/>
        <v>0</v>
      </c>
    </row>
    <row r="17" spans="1:14" x14ac:dyDescent="0.25">
      <c r="A17" t="s">
        <v>945</v>
      </c>
      <c r="B17">
        <f>SUM('Data Collection'!H207:H220)</f>
        <v>0</v>
      </c>
      <c r="C17">
        <f>SUM('Data Collection'!I207:I220)</f>
        <v>0</v>
      </c>
      <c r="D17">
        <f>SUM('Data Collection'!J207:J220)</f>
        <v>0</v>
      </c>
      <c r="E17">
        <f>SUM('Data Collection'!K207:K220)</f>
        <v>0</v>
      </c>
      <c r="F17">
        <f>SUM('Data Collection'!L207:L220)</f>
        <v>0</v>
      </c>
      <c r="G17">
        <f>SUM('Data Collection'!M207:M220)</f>
        <v>0</v>
      </c>
      <c r="H17">
        <f>SUM('Data Collection'!N207:N220)</f>
        <v>0</v>
      </c>
      <c r="I17">
        <f>SUM('Data Collection'!O207:O220)</f>
        <v>0</v>
      </c>
      <c r="J17">
        <f>SUM('Data Collection'!P207:P220)</f>
        <v>0</v>
      </c>
      <c r="K17">
        <f>SUM('Data Collection'!Q207:Q220)</f>
        <v>0</v>
      </c>
      <c r="L17">
        <f>SUM('Data Collection'!R207:R220)</f>
        <v>0</v>
      </c>
      <c r="M17">
        <f>SUM('Data Collection'!S207:S220)</f>
        <v>0</v>
      </c>
      <c r="N17">
        <f t="shared" si="0"/>
        <v>0</v>
      </c>
    </row>
    <row r="18" spans="1:14" x14ac:dyDescent="0.25">
      <c r="A18" t="s">
        <v>403</v>
      </c>
      <c r="B18">
        <f>SUM('Data Collection'!H222:H227)</f>
        <v>0</v>
      </c>
      <c r="C18">
        <f>SUM('Data Collection'!I222:I227)</f>
        <v>0</v>
      </c>
      <c r="D18">
        <f>SUM('Data Collection'!J222:J227)</f>
        <v>0</v>
      </c>
      <c r="E18">
        <f>SUM('Data Collection'!K222:K227)</f>
        <v>0</v>
      </c>
      <c r="F18">
        <f>SUM('Data Collection'!L222:L227)</f>
        <v>0</v>
      </c>
      <c r="G18">
        <f>SUM('Data Collection'!M222:M227)</f>
        <v>0</v>
      </c>
      <c r="H18">
        <f>SUM('Data Collection'!N222:N227)</f>
        <v>0</v>
      </c>
      <c r="I18">
        <f>SUM('Data Collection'!O222:O227)</f>
        <v>0</v>
      </c>
      <c r="J18">
        <f>SUM('Data Collection'!P222:P227)</f>
        <v>0</v>
      </c>
      <c r="K18">
        <f>SUM('Data Collection'!Q222:Q227)</f>
        <v>0</v>
      </c>
      <c r="L18">
        <f>SUM('Data Collection'!R222:R227)</f>
        <v>0</v>
      </c>
      <c r="M18">
        <f>SUM('Data Collection'!S222:S227)</f>
        <v>0</v>
      </c>
      <c r="N18">
        <f t="shared" si="0"/>
        <v>0</v>
      </c>
    </row>
    <row r="19" spans="1:14" x14ac:dyDescent="0.25">
      <c r="A19" t="s">
        <v>412</v>
      </c>
      <c r="B19">
        <f>SUM('Data Collection'!H229:H241)</f>
        <v>0</v>
      </c>
      <c r="C19">
        <f>SUM('Data Collection'!I229:I241)</f>
        <v>0</v>
      </c>
      <c r="D19">
        <f>SUM('Data Collection'!J229:J241)</f>
        <v>0</v>
      </c>
      <c r="E19">
        <f>SUM('Data Collection'!K229:K241)</f>
        <v>0</v>
      </c>
      <c r="F19">
        <f>SUM('Data Collection'!L229:L241)</f>
        <v>0</v>
      </c>
      <c r="G19">
        <f>SUM('Data Collection'!M229:M241)</f>
        <v>0</v>
      </c>
      <c r="H19">
        <f>SUM('Data Collection'!N229:N241)</f>
        <v>0</v>
      </c>
      <c r="I19">
        <f>SUM('Data Collection'!O229:O241)</f>
        <v>0</v>
      </c>
      <c r="J19">
        <f>SUM('Data Collection'!P229:P241)</f>
        <v>0</v>
      </c>
      <c r="K19">
        <f>SUM('Data Collection'!Q229:Q241)</f>
        <v>0</v>
      </c>
      <c r="L19">
        <f>SUM('Data Collection'!R229:R241)</f>
        <v>0</v>
      </c>
      <c r="M19">
        <f>SUM('Data Collection'!S229:S241)</f>
        <v>0</v>
      </c>
      <c r="N19">
        <f t="shared" si="0"/>
        <v>0</v>
      </c>
    </row>
    <row r="20" spans="1:14" x14ac:dyDescent="0.25">
      <c r="A20" t="s">
        <v>413</v>
      </c>
      <c r="B20">
        <f>SUM('Data Collection'!H243:H255)</f>
        <v>0</v>
      </c>
      <c r="C20">
        <f>SUM('Data Collection'!I243:I255)</f>
        <v>0</v>
      </c>
      <c r="D20">
        <f>SUM('Data Collection'!J243:J255)</f>
        <v>0</v>
      </c>
      <c r="E20">
        <f>SUM('Data Collection'!K243:K255)</f>
        <v>0</v>
      </c>
      <c r="F20">
        <f>SUM('Data Collection'!L243:L255)</f>
        <v>0</v>
      </c>
      <c r="G20">
        <f>SUM('Data Collection'!M243:M255)</f>
        <v>0</v>
      </c>
      <c r="H20">
        <f>SUM('Data Collection'!N243:N255)</f>
        <v>0</v>
      </c>
      <c r="I20">
        <f>SUM('Data Collection'!O243:O255)</f>
        <v>0</v>
      </c>
      <c r="J20">
        <f>SUM('Data Collection'!P243:P255)</f>
        <v>0</v>
      </c>
      <c r="K20">
        <f>SUM('Data Collection'!Q243:Q255)</f>
        <v>0</v>
      </c>
      <c r="L20">
        <f>SUM('Data Collection'!R243:R255)</f>
        <v>0</v>
      </c>
      <c r="M20">
        <f>SUM('Data Collection'!S243:S255)</f>
        <v>0</v>
      </c>
      <c r="N20">
        <f t="shared" si="0"/>
        <v>0</v>
      </c>
    </row>
    <row r="21" spans="1:14" x14ac:dyDescent="0.25">
      <c r="A21" t="s">
        <v>946</v>
      </c>
      <c r="B21">
        <f>SUM(B2:B20)</f>
        <v>4039687.4721942358</v>
      </c>
      <c r="C21">
        <f t="shared" ref="C21:M21" si="1">SUM(C2:C20)</f>
        <v>4016132.1696633394</v>
      </c>
      <c r="D21">
        <f t="shared" si="1"/>
        <v>4015296.225837593</v>
      </c>
      <c r="E21">
        <f t="shared" si="1"/>
        <v>4108309.9774062005</v>
      </c>
      <c r="F21">
        <f t="shared" si="1"/>
        <v>4139515.738127803</v>
      </c>
      <c r="G21">
        <f t="shared" si="1"/>
        <v>4070159.7574629467</v>
      </c>
      <c r="H21">
        <f t="shared" si="1"/>
        <v>4065219.4454198377</v>
      </c>
      <c r="I21">
        <f t="shared" si="1"/>
        <v>4073625.6655956907</v>
      </c>
      <c r="J21">
        <f t="shared" si="1"/>
        <v>4139423.2005376732</v>
      </c>
      <c r="K21">
        <f t="shared" si="1"/>
        <v>4035595.9935856191</v>
      </c>
      <c r="L21">
        <f t="shared" si="1"/>
        <v>4018247.5768078412</v>
      </c>
      <c r="M21">
        <f t="shared" si="1"/>
        <v>3998282.6651967308</v>
      </c>
      <c r="N21">
        <f t="shared" si="0"/>
        <v>48719495.88783551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5091-9A46-44C2-B04B-308A68F45F7E}">
  <dimension ref="A1:R30"/>
  <sheetViews>
    <sheetView topLeftCell="B1" workbookViewId="0">
      <selection activeCell="P15" sqref="P15"/>
    </sheetView>
  </sheetViews>
  <sheetFormatPr defaultRowHeight="15" x14ac:dyDescent="0.25"/>
  <cols>
    <col min="1" max="2" width="40" bestFit="1" customWidth="1"/>
    <col min="3" max="3" width="0" hidden="1" customWidth="1"/>
  </cols>
  <sheetData>
    <row r="1" spans="1:18" x14ac:dyDescent="0.25">
      <c r="A1" t="s">
        <v>418</v>
      </c>
      <c r="B1" s="82" t="s">
        <v>419</v>
      </c>
      <c r="C1" s="82" t="s">
        <v>415</v>
      </c>
      <c r="D1" s="82" t="s">
        <v>420</v>
      </c>
      <c r="E1" s="82" t="s">
        <v>421</v>
      </c>
      <c r="F1" s="82" t="s">
        <v>422</v>
      </c>
      <c r="H1" t="s">
        <v>936</v>
      </c>
      <c r="I1" t="str">
        <f>'Project Details'!B6</f>
        <v>Tier 3</v>
      </c>
      <c r="Q1" s="79" t="s">
        <v>416</v>
      </c>
      <c r="R1" t="s">
        <v>423</v>
      </c>
    </row>
    <row r="2" spans="1:18" x14ac:dyDescent="0.25">
      <c r="A2" t="s">
        <v>277</v>
      </c>
      <c r="B2" s="82" t="s">
        <v>33</v>
      </c>
      <c r="C2" s="89" t="s">
        <v>416</v>
      </c>
      <c r="D2" s="89" t="s">
        <v>416</v>
      </c>
      <c r="E2" s="89" t="s">
        <v>416</v>
      </c>
      <c r="F2" s="89" t="s">
        <v>416</v>
      </c>
      <c r="I2" t="str">
        <f>IF($I$1="Tier 1", F2, IF($I$1="Tier 2", E2, IF($I$1="Tier 3", D2, IF($I$1="NOC", C2))))</f>
        <v>M</v>
      </c>
      <c r="Q2" s="80" t="s">
        <v>417</v>
      </c>
      <c r="R2" t="s">
        <v>424</v>
      </c>
    </row>
    <row r="3" spans="1:18" x14ac:dyDescent="0.25">
      <c r="A3" t="s">
        <v>277</v>
      </c>
      <c r="B3" s="82" t="s">
        <v>42</v>
      </c>
      <c r="C3" s="90" t="s">
        <v>417</v>
      </c>
      <c r="D3" s="90" t="s">
        <v>417</v>
      </c>
      <c r="E3" s="89" t="s">
        <v>416</v>
      </c>
      <c r="F3" s="89" t="s">
        <v>416</v>
      </c>
      <c r="I3" t="str">
        <f t="shared" ref="I3:I30" si="0">IF($I$1="Tier 1", F3, IF($I$1="Tier 2", E3, IF($I$1="Tier 3", D3, IF($I$1="NOC", C3))))</f>
        <v>O</v>
      </c>
    </row>
    <row r="4" spans="1:18" x14ac:dyDescent="0.25">
      <c r="A4" t="s">
        <v>277</v>
      </c>
      <c r="B4" s="82" t="s">
        <v>49</v>
      </c>
      <c r="C4" s="90" t="s">
        <v>417</v>
      </c>
      <c r="D4" s="90" t="s">
        <v>417</v>
      </c>
      <c r="E4" s="90" t="s">
        <v>417</v>
      </c>
      <c r="F4" s="89" t="s">
        <v>416</v>
      </c>
      <c r="I4" t="str">
        <f t="shared" si="0"/>
        <v>O</v>
      </c>
    </row>
    <row r="5" spans="1:18" x14ac:dyDescent="0.25">
      <c r="A5" t="s">
        <v>17</v>
      </c>
      <c r="B5" s="82" t="s">
        <v>17</v>
      </c>
      <c r="C5" s="89" t="s">
        <v>416</v>
      </c>
      <c r="D5" s="90" t="s">
        <v>417</v>
      </c>
      <c r="E5" s="90" t="s">
        <v>417</v>
      </c>
      <c r="F5" s="89" t="s">
        <v>416</v>
      </c>
      <c r="I5" t="str">
        <f t="shared" si="0"/>
        <v>O</v>
      </c>
    </row>
    <row r="6" spans="1:18" x14ac:dyDescent="0.25">
      <c r="A6" t="s">
        <v>71</v>
      </c>
      <c r="B6" s="82" t="s">
        <v>425</v>
      </c>
      <c r="C6" s="90" t="s">
        <v>417</v>
      </c>
      <c r="D6" s="90" t="s">
        <v>417</v>
      </c>
      <c r="E6" s="89" t="s">
        <v>416</v>
      </c>
      <c r="F6" s="89" t="s">
        <v>416</v>
      </c>
      <c r="I6" t="str">
        <f>IF($I$1="Tier 1", F6, IF($I$1="Tier 2", E6, IF($I$1="Tier 3", D6, IF($I$1="NOC", C6))))</f>
        <v>O</v>
      </c>
    </row>
    <row r="7" spans="1:18" x14ac:dyDescent="0.25">
      <c r="A7" t="s">
        <v>71</v>
      </c>
      <c r="B7" s="82" t="s">
        <v>426</v>
      </c>
      <c r="C7" s="90" t="s">
        <v>417</v>
      </c>
      <c r="D7" s="90" t="s">
        <v>417</v>
      </c>
      <c r="E7" s="90" t="s">
        <v>417</v>
      </c>
      <c r="F7" s="89" t="s">
        <v>416</v>
      </c>
      <c r="I7" t="str">
        <f t="shared" si="0"/>
        <v>O</v>
      </c>
    </row>
    <row r="8" spans="1:18" x14ac:dyDescent="0.25">
      <c r="A8" t="s">
        <v>78</v>
      </c>
      <c r="B8" s="82" t="s">
        <v>79</v>
      </c>
      <c r="C8" s="89" t="s">
        <v>416</v>
      </c>
      <c r="D8" s="89" t="s">
        <v>416</v>
      </c>
      <c r="E8" s="89" t="s">
        <v>416</v>
      </c>
      <c r="F8" s="89" t="s">
        <v>416</v>
      </c>
      <c r="I8" t="str">
        <f t="shared" si="0"/>
        <v>M</v>
      </c>
    </row>
    <row r="9" spans="1:18" x14ac:dyDescent="0.25">
      <c r="A9" t="s">
        <v>78</v>
      </c>
      <c r="B9" s="82" t="s">
        <v>93</v>
      </c>
      <c r="C9" s="90" t="s">
        <v>417</v>
      </c>
      <c r="D9" s="90" t="s">
        <v>417</v>
      </c>
      <c r="E9" s="90" t="s">
        <v>417</v>
      </c>
      <c r="F9" s="89" t="s">
        <v>416</v>
      </c>
      <c r="I9" t="str">
        <f t="shared" si="0"/>
        <v>O</v>
      </c>
    </row>
    <row r="10" spans="1:18" x14ac:dyDescent="0.25">
      <c r="A10" t="s">
        <v>78</v>
      </c>
      <c r="B10" s="82" t="s">
        <v>96</v>
      </c>
      <c r="C10" s="90" t="s">
        <v>417</v>
      </c>
      <c r="D10" s="90" t="s">
        <v>417</v>
      </c>
      <c r="E10" s="90" t="s">
        <v>417</v>
      </c>
      <c r="F10" s="89" t="s">
        <v>416</v>
      </c>
      <c r="I10" t="str">
        <f t="shared" si="0"/>
        <v>O</v>
      </c>
    </row>
    <row r="11" spans="1:18" x14ac:dyDescent="0.25">
      <c r="A11" t="s">
        <v>78</v>
      </c>
      <c r="B11" s="82" t="s">
        <v>99</v>
      </c>
      <c r="C11" s="90" t="s">
        <v>417</v>
      </c>
      <c r="D11" s="90" t="s">
        <v>417</v>
      </c>
      <c r="E11" s="90" t="s">
        <v>417</v>
      </c>
      <c r="F11" s="89" t="s">
        <v>416</v>
      </c>
      <c r="I11" t="str">
        <f t="shared" si="0"/>
        <v>O</v>
      </c>
    </row>
    <row r="12" spans="1:18" x14ac:dyDescent="0.25">
      <c r="A12" t="s">
        <v>21</v>
      </c>
      <c r="B12" s="82" t="s">
        <v>189</v>
      </c>
      <c r="C12" s="90" t="s">
        <v>417</v>
      </c>
      <c r="D12" s="89" t="s">
        <v>416</v>
      </c>
      <c r="E12" s="89" t="s">
        <v>416</v>
      </c>
      <c r="F12" s="89" t="s">
        <v>416</v>
      </c>
      <c r="I12" t="str">
        <f t="shared" si="0"/>
        <v>M</v>
      </c>
    </row>
    <row r="13" spans="1:18" x14ac:dyDescent="0.25">
      <c r="A13" t="s">
        <v>21</v>
      </c>
      <c r="B13" s="82" t="s">
        <v>206</v>
      </c>
      <c r="C13" s="90" t="s">
        <v>417</v>
      </c>
      <c r="D13" s="90" t="s">
        <v>417</v>
      </c>
      <c r="E13" s="90" t="s">
        <v>417</v>
      </c>
      <c r="F13" s="89" t="s">
        <v>416</v>
      </c>
      <c r="I13" t="str">
        <f t="shared" si="0"/>
        <v>O</v>
      </c>
    </row>
    <row r="14" spans="1:18" x14ac:dyDescent="0.25">
      <c r="A14" t="s">
        <v>21</v>
      </c>
      <c r="B14" s="82" t="s">
        <v>216</v>
      </c>
      <c r="C14" s="90" t="s">
        <v>417</v>
      </c>
      <c r="D14" s="89" t="s">
        <v>416</v>
      </c>
      <c r="E14" s="89" t="s">
        <v>416</v>
      </c>
      <c r="F14" s="89" t="s">
        <v>416</v>
      </c>
      <c r="I14" t="str">
        <f t="shared" si="0"/>
        <v>M</v>
      </c>
    </row>
    <row r="15" spans="1:18" x14ac:dyDescent="0.25">
      <c r="A15" t="s">
        <v>21</v>
      </c>
      <c r="B15" s="82" t="s">
        <v>246</v>
      </c>
      <c r="C15" s="90" t="s">
        <v>417</v>
      </c>
      <c r="D15" s="90" t="s">
        <v>417</v>
      </c>
      <c r="E15" s="90" t="s">
        <v>417</v>
      </c>
      <c r="F15" s="89" t="s">
        <v>416</v>
      </c>
      <c r="I15" t="str">
        <f t="shared" si="0"/>
        <v>O</v>
      </c>
    </row>
    <row r="16" spans="1:18" x14ac:dyDescent="0.25">
      <c r="A16" t="s">
        <v>21</v>
      </c>
      <c r="B16" s="82" t="s">
        <v>249</v>
      </c>
      <c r="C16" s="90" t="s">
        <v>417</v>
      </c>
      <c r="D16" s="89" t="s">
        <v>416</v>
      </c>
      <c r="E16" s="89" t="s">
        <v>416</v>
      </c>
      <c r="F16" s="89" t="s">
        <v>416</v>
      </c>
      <c r="I16" t="str">
        <f t="shared" si="0"/>
        <v>M</v>
      </c>
    </row>
    <row r="17" spans="1:9" x14ac:dyDescent="0.25">
      <c r="A17" t="s">
        <v>279</v>
      </c>
      <c r="B17" s="82" t="s">
        <v>280</v>
      </c>
      <c r="C17" s="90" t="s">
        <v>417</v>
      </c>
      <c r="D17" s="89" t="s">
        <v>416</v>
      </c>
      <c r="E17" s="89" t="s">
        <v>416</v>
      </c>
      <c r="F17" s="89" t="s">
        <v>416</v>
      </c>
      <c r="I17" t="str">
        <f t="shared" si="0"/>
        <v>M</v>
      </c>
    </row>
    <row r="18" spans="1:9" x14ac:dyDescent="0.25">
      <c r="A18" t="s">
        <v>279</v>
      </c>
      <c r="B18" s="82" t="s">
        <v>324</v>
      </c>
      <c r="C18" s="90" t="s">
        <v>417</v>
      </c>
      <c r="D18" s="90" t="s">
        <v>417</v>
      </c>
      <c r="E18" s="90" t="s">
        <v>417</v>
      </c>
      <c r="F18" s="90" t="s">
        <v>417</v>
      </c>
      <c r="I18" t="str">
        <f t="shared" si="0"/>
        <v>O</v>
      </c>
    </row>
    <row r="19" spans="1:9" x14ac:dyDescent="0.25">
      <c r="A19" t="s">
        <v>334</v>
      </c>
      <c r="B19" s="82" t="s">
        <v>335</v>
      </c>
      <c r="C19" s="90" t="s">
        <v>417</v>
      </c>
      <c r="D19" s="89" t="s">
        <v>416</v>
      </c>
      <c r="E19" s="89" t="s">
        <v>416</v>
      </c>
      <c r="F19" s="89" t="s">
        <v>416</v>
      </c>
      <c r="I19" t="str">
        <f t="shared" si="0"/>
        <v>M</v>
      </c>
    </row>
    <row r="20" spans="1:9" x14ac:dyDescent="0.25">
      <c r="A20" t="s">
        <v>334</v>
      </c>
      <c r="B20" s="82" t="s">
        <v>354</v>
      </c>
      <c r="C20" s="90" t="s">
        <v>417</v>
      </c>
      <c r="D20" s="90" t="s">
        <v>417</v>
      </c>
      <c r="E20" s="90" t="s">
        <v>417</v>
      </c>
      <c r="F20" s="90" t="s">
        <v>417</v>
      </c>
      <c r="I20" t="str">
        <f t="shared" si="0"/>
        <v>O</v>
      </c>
    </row>
    <row r="21" spans="1:9" x14ac:dyDescent="0.25">
      <c r="A21" t="s">
        <v>355</v>
      </c>
      <c r="B21" s="82" t="s">
        <v>356</v>
      </c>
      <c r="C21" s="90" t="s">
        <v>417</v>
      </c>
      <c r="D21" s="89" t="s">
        <v>416</v>
      </c>
      <c r="E21" s="89" t="s">
        <v>416</v>
      </c>
      <c r="F21" s="89" t="s">
        <v>416</v>
      </c>
      <c r="I21" t="str">
        <f t="shared" si="0"/>
        <v>M</v>
      </c>
    </row>
    <row r="22" spans="1:9" x14ac:dyDescent="0.25">
      <c r="A22" t="s">
        <v>355</v>
      </c>
      <c r="B22" s="82" t="s">
        <v>363</v>
      </c>
      <c r="C22" s="90" t="s">
        <v>417</v>
      </c>
      <c r="D22" s="90" t="s">
        <v>417</v>
      </c>
      <c r="E22" s="90" t="s">
        <v>417</v>
      </c>
      <c r="F22" s="90" t="s">
        <v>417</v>
      </c>
      <c r="I22" t="str">
        <f t="shared" si="0"/>
        <v>O</v>
      </c>
    </row>
    <row r="23" spans="1:9" x14ac:dyDescent="0.25">
      <c r="A23" t="s">
        <v>365</v>
      </c>
      <c r="B23" s="82" t="s">
        <v>366</v>
      </c>
      <c r="C23" s="90" t="s">
        <v>417</v>
      </c>
      <c r="D23" s="89" t="s">
        <v>416</v>
      </c>
      <c r="E23" s="89" t="s">
        <v>416</v>
      </c>
      <c r="F23" s="89" t="s">
        <v>416</v>
      </c>
      <c r="I23" t="str">
        <f t="shared" si="0"/>
        <v>M</v>
      </c>
    </row>
    <row r="24" spans="1:9" x14ac:dyDescent="0.25">
      <c r="A24" t="s">
        <v>365</v>
      </c>
      <c r="B24" s="82" t="s">
        <v>379</v>
      </c>
      <c r="C24" s="90" t="s">
        <v>417</v>
      </c>
      <c r="D24" s="90" t="s">
        <v>417</v>
      </c>
      <c r="E24" s="90" t="s">
        <v>417</v>
      </c>
      <c r="F24" s="90" t="s">
        <v>417</v>
      </c>
      <c r="I24" t="str">
        <f t="shared" si="0"/>
        <v>O</v>
      </c>
    </row>
    <row r="25" spans="1:9" x14ac:dyDescent="0.25">
      <c r="A25" t="s">
        <v>380</v>
      </c>
      <c r="B25" s="82" t="s">
        <v>380</v>
      </c>
      <c r="C25" s="90" t="s">
        <v>417</v>
      </c>
      <c r="D25" s="90" t="s">
        <v>417</v>
      </c>
      <c r="E25" s="90" t="s">
        <v>417</v>
      </c>
      <c r="F25" s="89" t="s">
        <v>416</v>
      </c>
      <c r="I25" t="str">
        <f t="shared" si="0"/>
        <v>O</v>
      </c>
    </row>
    <row r="26" spans="1:9" x14ac:dyDescent="0.25">
      <c r="A26" t="s">
        <v>390</v>
      </c>
      <c r="B26" s="82" t="s">
        <v>391</v>
      </c>
      <c r="C26" s="90" t="s">
        <v>417</v>
      </c>
      <c r="D26" s="90" t="s">
        <v>417</v>
      </c>
      <c r="E26" s="90" t="s">
        <v>417</v>
      </c>
      <c r="F26" s="89" t="s">
        <v>416</v>
      </c>
      <c r="I26" t="str">
        <f t="shared" si="0"/>
        <v>O</v>
      </c>
    </row>
    <row r="27" spans="1:9" x14ac:dyDescent="0.25">
      <c r="A27" t="s">
        <v>390</v>
      </c>
      <c r="B27" s="82" t="s">
        <v>401</v>
      </c>
      <c r="C27" s="90" t="s">
        <v>417</v>
      </c>
      <c r="D27" s="90" t="s">
        <v>417</v>
      </c>
      <c r="E27" s="90" t="s">
        <v>417</v>
      </c>
      <c r="F27" s="90" t="s">
        <v>417</v>
      </c>
      <c r="I27" t="str">
        <f t="shared" si="0"/>
        <v>O</v>
      </c>
    </row>
    <row r="28" spans="1:9" x14ac:dyDescent="0.25">
      <c r="A28" t="s">
        <v>403</v>
      </c>
      <c r="B28" s="82" t="s">
        <v>403</v>
      </c>
      <c r="C28" s="90" t="s">
        <v>417</v>
      </c>
      <c r="D28" s="90" t="s">
        <v>417</v>
      </c>
      <c r="E28" s="90" t="s">
        <v>417</v>
      </c>
      <c r="F28" s="89" t="s">
        <v>416</v>
      </c>
      <c r="I28" t="str">
        <f t="shared" si="0"/>
        <v>O</v>
      </c>
    </row>
    <row r="29" spans="1:9" x14ac:dyDescent="0.25">
      <c r="A29" t="s">
        <v>412</v>
      </c>
      <c r="B29" s="82" t="s">
        <v>412</v>
      </c>
      <c r="C29" s="90" t="s">
        <v>417</v>
      </c>
      <c r="D29" s="89" t="s">
        <v>416</v>
      </c>
      <c r="E29" s="89" t="s">
        <v>416</v>
      </c>
      <c r="F29" s="89" t="s">
        <v>416</v>
      </c>
      <c r="I29" t="str">
        <f t="shared" si="0"/>
        <v>M</v>
      </c>
    </row>
    <row r="30" spans="1:9" x14ac:dyDescent="0.25">
      <c r="A30" t="s">
        <v>413</v>
      </c>
      <c r="B30" s="82" t="s">
        <v>413</v>
      </c>
      <c r="C30" s="90" t="s">
        <v>417</v>
      </c>
      <c r="D30" s="89" t="s">
        <v>416</v>
      </c>
      <c r="E30" s="89" t="s">
        <v>416</v>
      </c>
      <c r="F30" s="89" t="s">
        <v>416</v>
      </c>
      <c r="I30" t="str">
        <f t="shared" si="0"/>
        <v>M</v>
      </c>
    </row>
  </sheetData>
  <conditionalFormatting sqref="I2:I30">
    <cfRule type="containsText" dxfId="2" priority="1" operator="containsText" text="R">
      <formula>NOT(ISERROR(SEARCH("R",I2)))</formula>
    </cfRule>
    <cfRule type="containsText" dxfId="1" priority="2" operator="containsText" text="M">
      <formula>NOT(ISERROR(SEARCH("M",I2)))</formula>
    </cfRule>
    <cfRule type="containsText" dxfId="0" priority="3" operator="containsText" text="O">
      <formula>NOT(ISERROR(SEARCH("O",I2)))</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AAD25-82EC-4D13-A72C-70389AEB303A}">
  <dimension ref="A1:E313"/>
  <sheetViews>
    <sheetView workbookViewId="0">
      <selection activeCell="P15" sqref="P15"/>
    </sheetView>
  </sheetViews>
  <sheetFormatPr defaultRowHeight="15" x14ac:dyDescent="0.25"/>
  <cols>
    <col min="1" max="1" width="22.140625" customWidth="1"/>
    <col min="2" max="2" width="36.7109375" customWidth="1"/>
    <col min="3" max="3" width="17.85546875" customWidth="1"/>
    <col min="4" max="4" width="17.42578125" customWidth="1"/>
  </cols>
  <sheetData>
    <row r="1" spans="1:5" x14ac:dyDescent="0.25">
      <c r="A1" s="70" t="s">
        <v>427</v>
      </c>
      <c r="B1" s="70" t="s">
        <v>428</v>
      </c>
      <c r="C1" s="70" t="s">
        <v>24</v>
      </c>
      <c r="D1" s="70" t="s">
        <v>429</v>
      </c>
      <c r="E1" s="70" t="s">
        <v>430</v>
      </c>
    </row>
    <row r="2" spans="1:5" x14ac:dyDescent="0.25">
      <c r="A2" t="s">
        <v>431</v>
      </c>
      <c r="B2">
        <v>1210.939218602588</v>
      </c>
      <c r="C2" t="s">
        <v>930</v>
      </c>
      <c r="D2" t="s">
        <v>127</v>
      </c>
      <c r="E2" t="s">
        <v>432</v>
      </c>
    </row>
    <row r="3" spans="1:5" x14ac:dyDescent="0.25">
      <c r="A3" t="s">
        <v>433</v>
      </c>
      <c r="B3">
        <v>13696.727705440971</v>
      </c>
      <c r="C3" t="s">
        <v>932</v>
      </c>
      <c r="D3" t="s">
        <v>109</v>
      </c>
      <c r="E3" t="s">
        <v>435</v>
      </c>
    </row>
    <row r="4" spans="1:5" x14ac:dyDescent="0.25">
      <c r="A4" t="s">
        <v>436</v>
      </c>
      <c r="B4">
        <v>1548.941918750103</v>
      </c>
      <c r="C4" t="s">
        <v>930</v>
      </c>
      <c r="D4" t="s">
        <v>127</v>
      </c>
      <c r="E4" t="s">
        <v>437</v>
      </c>
    </row>
    <row r="5" spans="1:5" x14ac:dyDescent="0.25">
      <c r="A5" t="s">
        <v>438</v>
      </c>
      <c r="B5">
        <v>18770.59696676282</v>
      </c>
      <c r="C5" t="s">
        <v>932</v>
      </c>
      <c r="D5" t="s">
        <v>109</v>
      </c>
      <c r="E5" t="s">
        <v>439</v>
      </c>
    </row>
    <row r="6" spans="1:5" x14ac:dyDescent="0.25">
      <c r="A6" t="s">
        <v>440</v>
      </c>
      <c r="B6">
        <v>1729.6064413621889</v>
      </c>
      <c r="C6" t="s">
        <v>930</v>
      </c>
      <c r="D6" t="s">
        <v>127</v>
      </c>
      <c r="E6" t="s">
        <v>441</v>
      </c>
    </row>
    <row r="7" spans="1:5" x14ac:dyDescent="0.25">
      <c r="A7" t="s">
        <v>442</v>
      </c>
      <c r="B7">
        <v>275</v>
      </c>
      <c r="C7" t="s">
        <v>934</v>
      </c>
      <c r="D7" t="s">
        <v>219</v>
      </c>
      <c r="E7" t="s">
        <v>443</v>
      </c>
    </row>
    <row r="8" spans="1:5" x14ac:dyDescent="0.25">
      <c r="A8" t="s">
        <v>444</v>
      </c>
      <c r="B8">
        <v>325</v>
      </c>
      <c r="C8" t="s">
        <v>934</v>
      </c>
      <c r="D8" t="s">
        <v>219</v>
      </c>
    </row>
    <row r="9" spans="1:5" x14ac:dyDescent="0.25">
      <c r="A9" t="s">
        <v>445</v>
      </c>
      <c r="B9">
        <v>425</v>
      </c>
      <c r="C9" t="s">
        <v>934</v>
      </c>
      <c r="D9" t="s">
        <v>219</v>
      </c>
    </row>
    <row r="10" spans="1:5" x14ac:dyDescent="0.25">
      <c r="A10" t="s">
        <v>446</v>
      </c>
      <c r="B10">
        <v>500</v>
      </c>
      <c r="C10" t="s">
        <v>934</v>
      </c>
      <c r="D10" t="s">
        <v>219</v>
      </c>
    </row>
    <row r="11" spans="1:5" x14ac:dyDescent="0.25">
      <c r="A11" t="s">
        <v>447</v>
      </c>
      <c r="B11">
        <v>370</v>
      </c>
      <c r="C11" t="s">
        <v>934</v>
      </c>
      <c r="D11" t="s">
        <v>219</v>
      </c>
    </row>
    <row r="12" spans="1:5" x14ac:dyDescent="0.25">
      <c r="A12" t="s">
        <v>448</v>
      </c>
      <c r="B12">
        <v>485</v>
      </c>
      <c r="C12" t="s">
        <v>934</v>
      </c>
      <c r="D12" t="s">
        <v>219</v>
      </c>
    </row>
    <row r="13" spans="1:5" x14ac:dyDescent="0.25">
      <c r="A13" t="s">
        <v>326</v>
      </c>
      <c r="B13">
        <v>7.7350000000000012</v>
      </c>
      <c r="C13" t="s">
        <v>934</v>
      </c>
      <c r="D13" t="s">
        <v>219</v>
      </c>
    </row>
    <row r="14" spans="1:5" x14ac:dyDescent="0.25">
      <c r="A14" t="s">
        <v>214</v>
      </c>
      <c r="B14">
        <v>945.91888000000006</v>
      </c>
      <c r="C14" t="s">
        <v>928</v>
      </c>
      <c r="D14" t="s">
        <v>82</v>
      </c>
      <c r="E14" t="s">
        <v>450</v>
      </c>
    </row>
    <row r="15" spans="1:5" x14ac:dyDescent="0.25">
      <c r="A15" t="s">
        <v>451</v>
      </c>
      <c r="B15">
        <v>373.04169653333344</v>
      </c>
      <c r="C15" t="s">
        <v>934</v>
      </c>
      <c r="D15" t="s">
        <v>219</v>
      </c>
    </row>
    <row r="16" spans="1:5" x14ac:dyDescent="0.25">
      <c r="A16" t="s">
        <v>452</v>
      </c>
      <c r="B16">
        <v>398.0683541837837</v>
      </c>
      <c r="C16" t="s">
        <v>934</v>
      </c>
      <c r="D16" t="s">
        <v>219</v>
      </c>
    </row>
    <row r="17" spans="1:5" x14ac:dyDescent="0.25">
      <c r="A17" t="s">
        <v>453</v>
      </c>
      <c r="B17">
        <v>3835.8899419354843</v>
      </c>
      <c r="C17" t="s">
        <v>932</v>
      </c>
      <c r="D17" t="s">
        <v>109</v>
      </c>
      <c r="E17" t="s">
        <v>454</v>
      </c>
    </row>
    <row r="18" spans="1:5" x14ac:dyDescent="0.25">
      <c r="A18" t="s">
        <v>330</v>
      </c>
      <c r="B18">
        <v>3970</v>
      </c>
      <c r="C18" t="s">
        <v>928</v>
      </c>
      <c r="D18" t="s">
        <v>82</v>
      </c>
    </row>
    <row r="19" spans="1:5" x14ac:dyDescent="0.25">
      <c r="A19" t="s">
        <v>455</v>
      </c>
      <c r="B19">
        <v>3750</v>
      </c>
      <c r="C19" t="s">
        <v>928</v>
      </c>
      <c r="D19" t="s">
        <v>82</v>
      </c>
    </row>
    <row r="20" spans="1:5" x14ac:dyDescent="0.25">
      <c r="A20" t="s">
        <v>331</v>
      </c>
      <c r="B20">
        <v>3780</v>
      </c>
      <c r="C20" t="s">
        <v>928</v>
      </c>
      <c r="D20" t="s">
        <v>82</v>
      </c>
    </row>
    <row r="21" spans="1:5" x14ac:dyDescent="0.25">
      <c r="A21" t="s">
        <v>332</v>
      </c>
      <c r="B21">
        <v>3460</v>
      </c>
      <c r="C21" t="s">
        <v>928</v>
      </c>
      <c r="D21" t="s">
        <v>82</v>
      </c>
    </row>
    <row r="22" spans="1:5" x14ac:dyDescent="0.25">
      <c r="A22" t="s">
        <v>456</v>
      </c>
      <c r="B22">
        <v>1573.0304021929128</v>
      </c>
      <c r="C22" t="s">
        <v>930</v>
      </c>
      <c r="D22" t="s">
        <v>127</v>
      </c>
      <c r="E22" t="s">
        <v>432</v>
      </c>
    </row>
    <row r="23" spans="1:5" x14ac:dyDescent="0.25">
      <c r="A23" t="s">
        <v>457</v>
      </c>
      <c r="B23">
        <v>1823.4441277930221</v>
      </c>
      <c r="C23" t="s">
        <v>930</v>
      </c>
      <c r="D23" t="s">
        <v>127</v>
      </c>
      <c r="E23" t="s">
        <v>458</v>
      </c>
    </row>
    <row r="24" spans="1:5" x14ac:dyDescent="0.25">
      <c r="A24" t="s">
        <v>459</v>
      </c>
      <c r="B24">
        <v>1687.35672</v>
      </c>
      <c r="C24" t="s">
        <v>930</v>
      </c>
      <c r="D24" t="s">
        <v>127</v>
      </c>
      <c r="E24" t="s">
        <v>441</v>
      </c>
    </row>
    <row r="25" spans="1:5" x14ac:dyDescent="0.25">
      <c r="A25" t="s">
        <v>460</v>
      </c>
      <c r="B25">
        <v>1145.170421071555</v>
      </c>
      <c r="C25" t="s">
        <v>930</v>
      </c>
      <c r="D25" t="s">
        <v>127</v>
      </c>
      <c r="E25" t="s">
        <v>461</v>
      </c>
    </row>
    <row r="26" spans="1:5" x14ac:dyDescent="0.25">
      <c r="A26" t="s">
        <v>462</v>
      </c>
      <c r="B26">
        <v>87695.858527969787</v>
      </c>
      <c r="C26" t="s">
        <v>932</v>
      </c>
      <c r="D26" t="s">
        <v>109</v>
      </c>
      <c r="E26" t="s">
        <v>463</v>
      </c>
    </row>
    <row r="27" spans="1:5" x14ac:dyDescent="0.25">
      <c r="A27" t="s">
        <v>464</v>
      </c>
      <c r="B27">
        <v>465.62311130978628</v>
      </c>
      <c r="C27" t="s">
        <v>930</v>
      </c>
      <c r="D27" t="s">
        <v>127</v>
      </c>
      <c r="E27" t="s">
        <v>465</v>
      </c>
    </row>
    <row r="28" spans="1:5" x14ac:dyDescent="0.25">
      <c r="A28" t="s">
        <v>466</v>
      </c>
      <c r="B28">
        <v>874.00478851594482</v>
      </c>
      <c r="C28" t="s">
        <v>930</v>
      </c>
      <c r="D28" t="s">
        <v>127</v>
      </c>
      <c r="E28" t="s">
        <v>465</v>
      </c>
    </row>
    <row r="29" spans="1:5" x14ac:dyDescent="0.25">
      <c r="A29" t="s">
        <v>467</v>
      </c>
      <c r="B29">
        <v>19.472343477599992</v>
      </c>
      <c r="C29" t="s">
        <v>930</v>
      </c>
      <c r="D29" t="s">
        <v>127</v>
      </c>
      <c r="E29" t="s">
        <v>468</v>
      </c>
    </row>
    <row r="30" spans="1:5" x14ac:dyDescent="0.25">
      <c r="A30" t="s">
        <v>469</v>
      </c>
      <c r="B30">
        <v>1.1978842272000001</v>
      </c>
      <c r="C30" t="s">
        <v>930</v>
      </c>
      <c r="D30" t="s">
        <v>127</v>
      </c>
      <c r="E30" t="s">
        <v>470</v>
      </c>
    </row>
    <row r="31" spans="1:5" x14ac:dyDescent="0.25">
      <c r="A31" t="s">
        <v>471</v>
      </c>
      <c r="B31">
        <v>7.6839999999999993</v>
      </c>
      <c r="C31" t="s">
        <v>934</v>
      </c>
      <c r="D31" t="s">
        <v>219</v>
      </c>
      <c r="E31" t="s">
        <v>472</v>
      </c>
    </row>
    <row r="32" spans="1:5" x14ac:dyDescent="0.25">
      <c r="A32" t="s">
        <v>249</v>
      </c>
      <c r="B32">
        <v>0.42227842800000004</v>
      </c>
      <c r="C32" t="s">
        <v>933</v>
      </c>
      <c r="D32" t="s">
        <v>36</v>
      </c>
      <c r="E32" t="s">
        <v>473</v>
      </c>
    </row>
    <row r="33" spans="1:5" x14ac:dyDescent="0.25">
      <c r="A33" t="s">
        <v>474</v>
      </c>
      <c r="B33">
        <v>125.22619839999999</v>
      </c>
      <c r="C33" t="s">
        <v>934</v>
      </c>
      <c r="D33" t="s">
        <v>219</v>
      </c>
      <c r="E33" t="s">
        <v>475</v>
      </c>
    </row>
    <row r="34" spans="1:5" x14ac:dyDescent="0.25">
      <c r="A34" t="s">
        <v>476</v>
      </c>
      <c r="B34">
        <v>110.45</v>
      </c>
      <c r="C34" t="s">
        <v>934</v>
      </c>
      <c r="D34" t="s">
        <v>219</v>
      </c>
      <c r="E34" t="s">
        <v>477</v>
      </c>
    </row>
    <row r="35" spans="1:5" x14ac:dyDescent="0.25">
      <c r="A35" t="s">
        <v>478</v>
      </c>
      <c r="B35">
        <v>275</v>
      </c>
      <c r="C35" t="s">
        <v>934</v>
      </c>
      <c r="D35" t="s">
        <v>219</v>
      </c>
      <c r="E35" t="s">
        <v>479</v>
      </c>
    </row>
    <row r="36" spans="1:5" x14ac:dyDescent="0.25">
      <c r="A36" t="s">
        <v>480</v>
      </c>
      <c r="B36">
        <v>833.56313999999998</v>
      </c>
      <c r="C36" t="s">
        <v>928</v>
      </c>
      <c r="D36" t="s">
        <v>82</v>
      </c>
      <c r="E36" t="s">
        <v>481</v>
      </c>
    </row>
    <row r="37" spans="1:5" x14ac:dyDescent="0.25">
      <c r="A37" t="s">
        <v>482</v>
      </c>
      <c r="B37">
        <v>57.395133100800003</v>
      </c>
      <c r="C37" t="s">
        <v>930</v>
      </c>
      <c r="D37" t="s">
        <v>127</v>
      </c>
      <c r="E37" t="s">
        <v>483</v>
      </c>
    </row>
    <row r="38" spans="1:5" x14ac:dyDescent="0.25">
      <c r="A38" t="s">
        <v>484</v>
      </c>
      <c r="B38">
        <v>21.118036961280001</v>
      </c>
      <c r="C38" t="s">
        <v>930</v>
      </c>
      <c r="D38" t="s">
        <v>127</v>
      </c>
      <c r="E38" t="s">
        <v>485</v>
      </c>
    </row>
    <row r="39" spans="1:5" x14ac:dyDescent="0.25">
      <c r="A39" t="s">
        <v>486</v>
      </c>
      <c r="B39">
        <v>8.2649290944000011</v>
      </c>
      <c r="C39" t="s">
        <v>930</v>
      </c>
      <c r="D39" t="s">
        <v>127</v>
      </c>
      <c r="E39" t="s">
        <v>487</v>
      </c>
    </row>
    <row r="40" spans="1:5" x14ac:dyDescent="0.25">
      <c r="A40" t="s">
        <v>488</v>
      </c>
      <c r="B40">
        <v>14.082361715199999</v>
      </c>
      <c r="C40" t="s">
        <v>930</v>
      </c>
      <c r="D40" t="s">
        <v>127</v>
      </c>
      <c r="E40" t="s">
        <v>489</v>
      </c>
    </row>
    <row r="41" spans="1:5" x14ac:dyDescent="0.25">
      <c r="A41" t="s">
        <v>490</v>
      </c>
      <c r="B41">
        <v>15.240854459200001</v>
      </c>
      <c r="C41" t="s">
        <v>930</v>
      </c>
      <c r="D41" t="s">
        <v>127</v>
      </c>
      <c r="E41" t="s">
        <v>491</v>
      </c>
    </row>
    <row r="42" spans="1:5" x14ac:dyDescent="0.25">
      <c r="A42" t="s">
        <v>492</v>
      </c>
      <c r="B42">
        <v>2.1867636544</v>
      </c>
      <c r="C42" t="s">
        <v>930</v>
      </c>
      <c r="D42" t="s">
        <v>127</v>
      </c>
      <c r="E42" t="s">
        <v>493</v>
      </c>
    </row>
    <row r="43" spans="1:5" x14ac:dyDescent="0.25">
      <c r="A43" t="s">
        <v>494</v>
      </c>
      <c r="B43">
        <v>125.22619839999999</v>
      </c>
      <c r="C43" t="s">
        <v>934</v>
      </c>
      <c r="D43" t="s">
        <v>219</v>
      </c>
      <c r="E43" t="s">
        <v>475</v>
      </c>
    </row>
    <row r="44" spans="1:5" x14ac:dyDescent="0.25">
      <c r="A44" t="s">
        <v>495</v>
      </c>
      <c r="B44">
        <v>110.45</v>
      </c>
      <c r="C44" t="s">
        <v>934</v>
      </c>
      <c r="D44" t="s">
        <v>219</v>
      </c>
      <c r="E44" t="s">
        <v>477</v>
      </c>
    </row>
    <row r="45" spans="1:5" x14ac:dyDescent="0.25">
      <c r="A45" t="s">
        <v>282</v>
      </c>
      <c r="B45">
        <v>45.275759999999998</v>
      </c>
      <c r="C45" t="s">
        <v>932</v>
      </c>
      <c r="D45" t="s">
        <v>109</v>
      </c>
      <c r="E45" t="s">
        <v>496</v>
      </c>
    </row>
    <row r="46" spans="1:5" x14ac:dyDescent="0.25">
      <c r="A46" t="s">
        <v>283</v>
      </c>
      <c r="B46">
        <v>27.40350461728929</v>
      </c>
      <c r="C46" t="s">
        <v>932</v>
      </c>
      <c r="D46" t="s">
        <v>109</v>
      </c>
      <c r="E46" t="s">
        <v>497</v>
      </c>
    </row>
    <row r="47" spans="1:5" x14ac:dyDescent="0.25">
      <c r="A47" t="s">
        <v>284</v>
      </c>
      <c r="B47">
        <v>42.538260000000001</v>
      </c>
      <c r="C47" t="s">
        <v>932</v>
      </c>
      <c r="D47" t="s">
        <v>109</v>
      </c>
      <c r="E47" t="s">
        <v>498</v>
      </c>
    </row>
    <row r="48" spans="1:5" x14ac:dyDescent="0.25">
      <c r="A48" t="s">
        <v>285</v>
      </c>
      <c r="B48">
        <v>11.002980000000001</v>
      </c>
      <c r="C48" t="s">
        <v>932</v>
      </c>
      <c r="D48" t="s">
        <v>109</v>
      </c>
      <c r="E48" t="s">
        <v>499</v>
      </c>
    </row>
    <row r="49" spans="1:5" x14ac:dyDescent="0.25">
      <c r="A49" t="s">
        <v>286</v>
      </c>
      <c r="B49">
        <v>58.990218243131963</v>
      </c>
      <c r="C49" t="s">
        <v>932</v>
      </c>
      <c r="D49" t="s">
        <v>109</v>
      </c>
      <c r="E49" t="s">
        <v>500</v>
      </c>
    </row>
    <row r="50" spans="1:5" x14ac:dyDescent="0.25">
      <c r="A50" t="s">
        <v>288</v>
      </c>
      <c r="B50">
        <v>2405.0365814516131</v>
      </c>
      <c r="C50" t="s">
        <v>932</v>
      </c>
      <c r="D50" t="s">
        <v>109</v>
      </c>
      <c r="E50" t="s">
        <v>501</v>
      </c>
    </row>
    <row r="51" spans="1:5" x14ac:dyDescent="0.25">
      <c r="A51" t="s">
        <v>289</v>
      </c>
      <c r="B51">
        <v>2861.7067209677416</v>
      </c>
      <c r="C51" t="s">
        <v>932</v>
      </c>
      <c r="D51" t="s">
        <v>109</v>
      </c>
    </row>
    <row r="52" spans="1:5" x14ac:dyDescent="0.25">
      <c r="A52" t="s">
        <v>290</v>
      </c>
      <c r="B52">
        <v>3835.8899419354843</v>
      </c>
      <c r="C52" t="s">
        <v>932</v>
      </c>
      <c r="D52" t="s">
        <v>109</v>
      </c>
    </row>
    <row r="53" spans="1:5" x14ac:dyDescent="0.25">
      <c r="A53" t="s">
        <v>292</v>
      </c>
      <c r="B53">
        <v>17.013000000000002</v>
      </c>
      <c r="C53" t="s">
        <v>932</v>
      </c>
      <c r="D53" t="s">
        <v>109</v>
      </c>
      <c r="E53" t="s">
        <v>502</v>
      </c>
    </row>
    <row r="54" spans="1:5" x14ac:dyDescent="0.25">
      <c r="A54" t="s">
        <v>294</v>
      </c>
      <c r="B54">
        <v>1473.8327515474271</v>
      </c>
      <c r="C54" t="s">
        <v>935</v>
      </c>
      <c r="D54" t="s">
        <v>295</v>
      </c>
      <c r="E54" t="s">
        <v>503</v>
      </c>
    </row>
    <row r="55" spans="1:5" x14ac:dyDescent="0.25">
      <c r="A55" t="s">
        <v>296</v>
      </c>
      <c r="B55">
        <v>1739.9227225925572</v>
      </c>
      <c r="C55" t="s">
        <v>935</v>
      </c>
      <c r="D55" t="s">
        <v>295</v>
      </c>
    </row>
    <row r="56" spans="1:5" x14ac:dyDescent="0.25">
      <c r="A56" t="s">
        <v>297</v>
      </c>
      <c r="B56">
        <v>2473.0116711008709</v>
      </c>
      <c r="C56" t="s">
        <v>935</v>
      </c>
      <c r="D56" t="s">
        <v>295</v>
      </c>
    </row>
    <row r="57" spans="1:5" x14ac:dyDescent="0.25">
      <c r="A57" t="s">
        <v>298</v>
      </c>
      <c r="B57">
        <v>2962.5515908332527</v>
      </c>
      <c r="C57" t="s">
        <v>935</v>
      </c>
      <c r="D57" t="s">
        <v>295</v>
      </c>
    </row>
    <row r="58" spans="1:5" x14ac:dyDescent="0.25">
      <c r="A58" t="s">
        <v>299</v>
      </c>
      <c r="B58">
        <v>4225.4098252952936</v>
      </c>
      <c r="C58" t="s">
        <v>935</v>
      </c>
      <c r="D58" t="s">
        <v>295</v>
      </c>
    </row>
    <row r="59" spans="1:5" x14ac:dyDescent="0.25">
      <c r="A59" t="s">
        <v>300</v>
      </c>
      <c r="B59">
        <v>7236.8759584407126</v>
      </c>
      <c r="C59" t="s">
        <v>935</v>
      </c>
      <c r="D59" t="s">
        <v>295</v>
      </c>
    </row>
    <row r="60" spans="1:5" x14ac:dyDescent="0.25">
      <c r="A60" t="s">
        <v>301</v>
      </c>
      <c r="B60">
        <v>11031.15726600348</v>
      </c>
      <c r="C60" t="s">
        <v>935</v>
      </c>
      <c r="D60" t="s">
        <v>295</v>
      </c>
    </row>
    <row r="61" spans="1:5" x14ac:dyDescent="0.25">
      <c r="A61" t="s">
        <v>303</v>
      </c>
      <c r="B61">
        <v>980.68048497891425</v>
      </c>
      <c r="C61" t="s">
        <v>935</v>
      </c>
      <c r="D61" t="s">
        <v>295</v>
      </c>
      <c r="E61" t="s">
        <v>504</v>
      </c>
    </row>
    <row r="62" spans="1:5" x14ac:dyDescent="0.25">
      <c r="A62" t="s">
        <v>304</v>
      </c>
      <c r="B62">
        <v>926.48926604250016</v>
      </c>
      <c r="C62" t="s">
        <v>935</v>
      </c>
      <c r="D62" t="s">
        <v>295</v>
      </c>
    </row>
    <row r="63" spans="1:5" x14ac:dyDescent="0.25">
      <c r="A63" t="s">
        <v>305</v>
      </c>
      <c r="B63">
        <v>4659.9250466699987</v>
      </c>
      <c r="C63" t="s">
        <v>935</v>
      </c>
      <c r="D63" t="s">
        <v>295</v>
      </c>
    </row>
    <row r="64" spans="1:5" x14ac:dyDescent="0.25">
      <c r="A64" t="s">
        <v>306</v>
      </c>
      <c r="B64">
        <v>194.50775999999999</v>
      </c>
      <c r="C64" t="s">
        <v>935</v>
      </c>
      <c r="D64" t="s">
        <v>295</v>
      </c>
      <c r="E64" t="s">
        <v>505</v>
      </c>
    </row>
    <row r="65" spans="1:5" x14ac:dyDescent="0.25">
      <c r="A65" t="s">
        <v>308</v>
      </c>
      <c r="B65">
        <v>2.9890549043928734</v>
      </c>
      <c r="C65" t="s">
        <v>932</v>
      </c>
      <c r="D65" t="s">
        <v>109</v>
      </c>
      <c r="E65" t="s">
        <v>506</v>
      </c>
    </row>
    <row r="66" spans="1:5" x14ac:dyDescent="0.25">
      <c r="A66" t="s">
        <v>310</v>
      </c>
      <c r="B66">
        <v>142.15599</v>
      </c>
      <c r="C66" t="s">
        <v>935</v>
      </c>
      <c r="D66" t="s">
        <v>295</v>
      </c>
      <c r="E66" t="s">
        <v>507</v>
      </c>
    </row>
    <row r="67" spans="1:5" x14ac:dyDescent="0.25">
      <c r="A67" t="s">
        <v>311</v>
      </c>
      <c r="B67">
        <v>599.70694537499992</v>
      </c>
      <c r="C67" t="s">
        <v>935</v>
      </c>
      <c r="D67" t="s">
        <v>295</v>
      </c>
    </row>
    <row r="68" spans="1:5" x14ac:dyDescent="0.25">
      <c r="A68" t="s">
        <v>312</v>
      </c>
      <c r="B68">
        <v>3001.2202334999997</v>
      </c>
      <c r="C68" t="s">
        <v>935</v>
      </c>
      <c r="D68" t="s">
        <v>295</v>
      </c>
    </row>
    <row r="69" spans="1:5" x14ac:dyDescent="0.25">
      <c r="A69" t="s">
        <v>313</v>
      </c>
      <c r="B69">
        <v>3798.4076175</v>
      </c>
      <c r="C69" t="s">
        <v>935</v>
      </c>
      <c r="D69" t="s">
        <v>295</v>
      </c>
    </row>
    <row r="70" spans="1:5" x14ac:dyDescent="0.25">
      <c r="A70" t="s">
        <v>315</v>
      </c>
      <c r="B70">
        <v>2851.190787</v>
      </c>
      <c r="C70" t="s">
        <v>935</v>
      </c>
      <c r="D70" t="s">
        <v>295</v>
      </c>
      <c r="E70" t="s">
        <v>508</v>
      </c>
    </row>
    <row r="71" spans="1:5" x14ac:dyDescent="0.25">
      <c r="A71" t="s">
        <v>317</v>
      </c>
      <c r="B71">
        <v>3868.1352975</v>
      </c>
      <c r="C71" t="s">
        <v>935</v>
      </c>
      <c r="D71" t="s">
        <v>295</v>
      </c>
      <c r="E71" t="s">
        <v>509</v>
      </c>
    </row>
    <row r="72" spans="1:5" x14ac:dyDescent="0.25">
      <c r="A72" t="s">
        <v>318</v>
      </c>
      <c r="B72">
        <v>11557.792128749999</v>
      </c>
      <c r="C72" t="s">
        <v>935</v>
      </c>
      <c r="D72" t="s">
        <v>295</v>
      </c>
    </row>
    <row r="73" spans="1:5" x14ac:dyDescent="0.25">
      <c r="A73" t="s">
        <v>319</v>
      </c>
      <c r="B73">
        <v>16416.302940000001</v>
      </c>
      <c r="C73" t="s">
        <v>935</v>
      </c>
      <c r="D73" t="s">
        <v>295</v>
      </c>
    </row>
    <row r="74" spans="1:5" x14ac:dyDescent="0.25">
      <c r="A74" t="s">
        <v>321</v>
      </c>
      <c r="B74">
        <v>47.080431246017405</v>
      </c>
      <c r="C74" t="s">
        <v>929</v>
      </c>
      <c r="D74" t="s">
        <v>322</v>
      </c>
      <c r="E74" t="s">
        <v>510</v>
      </c>
    </row>
    <row r="75" spans="1:5" x14ac:dyDescent="0.25">
      <c r="A75" t="s">
        <v>323</v>
      </c>
      <c r="B75">
        <v>12.480455039999999</v>
      </c>
      <c r="C75" t="s">
        <v>929</v>
      </c>
      <c r="D75" t="s">
        <v>322</v>
      </c>
      <c r="E75" t="s">
        <v>511</v>
      </c>
    </row>
    <row r="76" spans="1:5" x14ac:dyDescent="0.25">
      <c r="A76" t="s">
        <v>337</v>
      </c>
      <c r="B76">
        <v>35.511599999999994</v>
      </c>
      <c r="C76" t="s">
        <v>930</v>
      </c>
      <c r="D76" t="s">
        <v>127</v>
      </c>
      <c r="E76" t="s">
        <v>512</v>
      </c>
    </row>
    <row r="77" spans="1:5" x14ac:dyDescent="0.25">
      <c r="A77" t="s">
        <v>338</v>
      </c>
      <c r="B77">
        <v>52.011600000000001</v>
      </c>
      <c r="C77" t="s">
        <v>930</v>
      </c>
      <c r="D77" t="s">
        <v>127</v>
      </c>
      <c r="E77" t="s">
        <v>512</v>
      </c>
    </row>
    <row r="78" spans="1:5" x14ac:dyDescent="0.25">
      <c r="A78" t="s">
        <v>339</v>
      </c>
      <c r="B78">
        <v>6.8962859519999995</v>
      </c>
      <c r="C78" t="s">
        <v>930</v>
      </c>
      <c r="D78" t="s">
        <v>127</v>
      </c>
      <c r="E78" t="s">
        <v>513</v>
      </c>
    </row>
    <row r="79" spans="1:5" x14ac:dyDescent="0.25">
      <c r="A79" t="s">
        <v>340</v>
      </c>
      <c r="B79">
        <v>35.454000000000001</v>
      </c>
      <c r="C79" t="s">
        <v>930</v>
      </c>
      <c r="D79" t="s">
        <v>127</v>
      </c>
      <c r="E79" t="s">
        <v>514</v>
      </c>
    </row>
    <row r="80" spans="1:5" x14ac:dyDescent="0.25">
      <c r="A80" t="s">
        <v>341</v>
      </c>
      <c r="B80">
        <v>19.173481550457492</v>
      </c>
      <c r="C80" t="s">
        <v>930</v>
      </c>
      <c r="D80" t="s">
        <v>127</v>
      </c>
      <c r="E80" t="s">
        <v>515</v>
      </c>
    </row>
    <row r="81" spans="1:5" x14ac:dyDescent="0.25">
      <c r="A81" t="s">
        <v>342</v>
      </c>
      <c r="B81">
        <v>18.144000000000002</v>
      </c>
      <c r="C81" t="s">
        <v>930</v>
      </c>
      <c r="D81" t="s">
        <v>127</v>
      </c>
      <c r="E81" t="s">
        <v>516</v>
      </c>
    </row>
    <row r="82" spans="1:5" x14ac:dyDescent="0.25">
      <c r="A82" t="s">
        <v>344</v>
      </c>
      <c r="B82">
        <v>50.362833802816894</v>
      </c>
      <c r="C82" t="s">
        <v>930</v>
      </c>
      <c r="D82" t="s">
        <v>127</v>
      </c>
      <c r="E82" t="s">
        <v>517</v>
      </c>
    </row>
    <row r="83" spans="1:5" x14ac:dyDescent="0.25">
      <c r="A83" t="s">
        <v>345</v>
      </c>
      <c r="B83">
        <v>72.80870577619477</v>
      </c>
      <c r="C83" t="s">
        <v>930</v>
      </c>
      <c r="D83" t="s">
        <v>127</v>
      </c>
      <c r="E83" t="s">
        <v>518</v>
      </c>
    </row>
    <row r="84" spans="1:5" x14ac:dyDescent="0.25">
      <c r="A84" t="s">
        <v>347</v>
      </c>
      <c r="B84">
        <v>2.1428925742819822</v>
      </c>
      <c r="C84" t="s">
        <v>932</v>
      </c>
      <c r="D84" t="s">
        <v>109</v>
      </c>
      <c r="E84" t="s">
        <v>519</v>
      </c>
    </row>
    <row r="85" spans="1:5" x14ac:dyDescent="0.25">
      <c r="A85" t="s">
        <v>348</v>
      </c>
      <c r="B85">
        <v>2.2487144298020798</v>
      </c>
      <c r="C85" t="s">
        <v>932</v>
      </c>
      <c r="D85" t="s">
        <v>109</v>
      </c>
      <c r="E85" t="s">
        <v>520</v>
      </c>
    </row>
    <row r="86" spans="1:5" x14ac:dyDescent="0.25">
      <c r="A86" t="s">
        <v>349</v>
      </c>
      <c r="B86">
        <v>197.62759687499999</v>
      </c>
      <c r="C86" t="s">
        <v>935</v>
      </c>
      <c r="D86" t="s">
        <v>295</v>
      </c>
      <c r="E86" t="s">
        <v>521</v>
      </c>
    </row>
    <row r="87" spans="1:5" x14ac:dyDescent="0.25">
      <c r="A87" t="s">
        <v>350</v>
      </c>
      <c r="B87">
        <v>306.33992437500001</v>
      </c>
      <c r="C87" t="s">
        <v>935</v>
      </c>
      <c r="D87" t="s">
        <v>295</v>
      </c>
      <c r="E87" t="s">
        <v>522</v>
      </c>
    </row>
    <row r="88" spans="1:5" x14ac:dyDescent="0.25">
      <c r="A88" t="s">
        <v>351</v>
      </c>
      <c r="B88">
        <v>415.05225187500014</v>
      </c>
      <c r="C88" t="s">
        <v>935</v>
      </c>
      <c r="D88" t="s">
        <v>295</v>
      </c>
      <c r="E88" t="s">
        <v>523</v>
      </c>
    </row>
    <row r="89" spans="1:5" x14ac:dyDescent="0.25">
      <c r="A89" t="s">
        <v>353</v>
      </c>
      <c r="B89">
        <v>7.8018515520000022</v>
      </c>
      <c r="C89" t="s">
        <v>930</v>
      </c>
      <c r="D89" t="s">
        <v>127</v>
      </c>
      <c r="E89" t="s">
        <v>524</v>
      </c>
    </row>
    <row r="90" spans="1:5" x14ac:dyDescent="0.25">
      <c r="A90" t="s">
        <v>358</v>
      </c>
      <c r="B90">
        <v>492.68762418</v>
      </c>
      <c r="C90" t="s">
        <v>935</v>
      </c>
      <c r="D90" t="s">
        <v>295</v>
      </c>
      <c r="E90" t="s">
        <v>525</v>
      </c>
    </row>
    <row r="91" spans="1:5" x14ac:dyDescent="0.25">
      <c r="A91" t="s">
        <v>359</v>
      </c>
      <c r="B91">
        <v>730.47</v>
      </c>
      <c r="C91" t="s">
        <v>935</v>
      </c>
      <c r="D91" t="s">
        <v>295</v>
      </c>
      <c r="E91" t="s">
        <v>526</v>
      </c>
    </row>
    <row r="92" spans="1:5" x14ac:dyDescent="0.25">
      <c r="A92" t="s">
        <v>360</v>
      </c>
      <c r="B92">
        <v>28.26</v>
      </c>
      <c r="C92" t="s">
        <v>935</v>
      </c>
      <c r="D92" t="s">
        <v>295</v>
      </c>
      <c r="E92" t="s">
        <v>527</v>
      </c>
    </row>
    <row r="93" spans="1:5" x14ac:dyDescent="0.25">
      <c r="A93" t="s">
        <v>361</v>
      </c>
      <c r="B93">
        <v>227.90352984390898</v>
      </c>
      <c r="C93" t="s">
        <v>935</v>
      </c>
      <c r="D93" t="s">
        <v>295</v>
      </c>
      <c r="E93" t="s">
        <v>528</v>
      </c>
    </row>
    <row r="94" spans="1:5" x14ac:dyDescent="0.25">
      <c r="A94" t="s">
        <v>362</v>
      </c>
      <c r="B94">
        <v>48039.410268260603</v>
      </c>
      <c r="C94" t="s">
        <v>929</v>
      </c>
      <c r="D94" t="s">
        <v>322</v>
      </c>
      <c r="E94" t="s">
        <v>529</v>
      </c>
    </row>
    <row r="95" spans="1:5" x14ac:dyDescent="0.25">
      <c r="A95" t="s">
        <v>530</v>
      </c>
      <c r="B95">
        <v>100.13639999999999</v>
      </c>
      <c r="C95" t="s">
        <v>930</v>
      </c>
      <c r="D95" t="s">
        <v>127</v>
      </c>
      <c r="E95" t="s">
        <v>531</v>
      </c>
    </row>
    <row r="96" spans="1:5" x14ac:dyDescent="0.25">
      <c r="A96" t="s">
        <v>532</v>
      </c>
      <c r="B96">
        <v>404.8044000000001</v>
      </c>
      <c r="C96" t="s">
        <v>930</v>
      </c>
      <c r="D96" t="s">
        <v>127</v>
      </c>
      <c r="E96" t="s">
        <v>533</v>
      </c>
    </row>
    <row r="97" spans="1:5" x14ac:dyDescent="0.25">
      <c r="A97" t="s">
        <v>534</v>
      </c>
      <c r="B97">
        <v>1113.3691200000001</v>
      </c>
      <c r="C97" t="s">
        <v>935</v>
      </c>
      <c r="D97" t="s">
        <v>295</v>
      </c>
      <c r="E97" t="s">
        <v>535</v>
      </c>
    </row>
    <row r="98" spans="1:5" x14ac:dyDescent="0.25">
      <c r="A98" t="s">
        <v>536</v>
      </c>
      <c r="B98">
        <v>2245.6750499999998</v>
      </c>
      <c r="C98" t="s">
        <v>935</v>
      </c>
      <c r="D98" t="s">
        <v>295</v>
      </c>
      <c r="E98" t="s">
        <v>537</v>
      </c>
    </row>
    <row r="99" spans="1:5" x14ac:dyDescent="0.25">
      <c r="A99" t="s">
        <v>538</v>
      </c>
      <c r="B99">
        <v>53.217839644444453</v>
      </c>
      <c r="C99" t="s">
        <v>930</v>
      </c>
      <c r="D99" t="s">
        <v>127</v>
      </c>
      <c r="E99" t="s">
        <v>539</v>
      </c>
    </row>
    <row r="100" spans="1:5" x14ac:dyDescent="0.25">
      <c r="A100" t="s">
        <v>540</v>
      </c>
      <c r="B100">
        <v>28.283044444444439</v>
      </c>
      <c r="C100" t="s">
        <v>930</v>
      </c>
      <c r="D100" t="s">
        <v>127</v>
      </c>
      <c r="E100" t="s">
        <v>539</v>
      </c>
    </row>
    <row r="101" spans="1:5" x14ac:dyDescent="0.25">
      <c r="A101" t="s">
        <v>541</v>
      </c>
      <c r="B101">
        <v>199.61200000000002</v>
      </c>
      <c r="C101" t="s">
        <v>930</v>
      </c>
      <c r="D101" t="s">
        <v>127</v>
      </c>
      <c r="E101" t="s">
        <v>542</v>
      </c>
    </row>
    <row r="102" spans="1:5" x14ac:dyDescent="0.25">
      <c r="A102" t="s">
        <v>543</v>
      </c>
      <c r="B102">
        <v>29.09801482821819</v>
      </c>
      <c r="C102" t="s">
        <v>930</v>
      </c>
      <c r="D102" t="s">
        <v>127</v>
      </c>
      <c r="E102" t="s">
        <v>544</v>
      </c>
    </row>
    <row r="103" spans="1:5" x14ac:dyDescent="0.25">
      <c r="A103" t="s">
        <v>405</v>
      </c>
      <c r="B103">
        <v>12.930636826746721</v>
      </c>
      <c r="C103" t="s">
        <v>930</v>
      </c>
      <c r="D103" t="s">
        <v>127</v>
      </c>
      <c r="E103" t="s">
        <v>545</v>
      </c>
    </row>
    <row r="104" spans="1:5" x14ac:dyDescent="0.25">
      <c r="A104" t="s">
        <v>406</v>
      </c>
      <c r="B104">
        <v>0.75319999999999987</v>
      </c>
      <c r="C104" t="s">
        <v>930</v>
      </c>
      <c r="D104" t="s">
        <v>127</v>
      </c>
      <c r="E104" t="s">
        <v>546</v>
      </c>
    </row>
    <row r="105" spans="1:5" x14ac:dyDescent="0.25">
      <c r="A105" t="s">
        <v>407</v>
      </c>
      <c r="B105">
        <v>3.2279999999999998</v>
      </c>
      <c r="C105" t="s">
        <v>934</v>
      </c>
      <c r="D105" t="s">
        <v>219</v>
      </c>
      <c r="E105" t="s">
        <v>547</v>
      </c>
    </row>
    <row r="106" spans="1:5" x14ac:dyDescent="0.25">
      <c r="A106" t="s">
        <v>409</v>
      </c>
      <c r="B106">
        <v>10.76</v>
      </c>
      <c r="C106" t="s">
        <v>934</v>
      </c>
      <c r="D106" t="s">
        <v>219</v>
      </c>
      <c r="E106" t="s">
        <v>547</v>
      </c>
    </row>
    <row r="107" spans="1:5" x14ac:dyDescent="0.25">
      <c r="A107" t="s">
        <v>410</v>
      </c>
      <c r="B107">
        <v>2.6938826722389</v>
      </c>
      <c r="C107" t="s">
        <v>934</v>
      </c>
      <c r="D107" t="s">
        <v>219</v>
      </c>
      <c r="E107" t="s">
        <v>547</v>
      </c>
    </row>
    <row r="108" spans="1:5" x14ac:dyDescent="0.25">
      <c r="A108" t="s">
        <v>411</v>
      </c>
      <c r="B108">
        <v>9.4149999999999991</v>
      </c>
      <c r="C108" t="s">
        <v>934</v>
      </c>
      <c r="D108" t="s">
        <v>219</v>
      </c>
      <c r="E108" t="s">
        <v>547</v>
      </c>
    </row>
    <row r="109" spans="1:5" x14ac:dyDescent="0.25">
      <c r="A109" t="s">
        <v>548</v>
      </c>
      <c r="B109">
        <v>242.2280648</v>
      </c>
      <c r="C109" t="s">
        <v>935</v>
      </c>
      <c r="D109" t="s">
        <v>549</v>
      </c>
      <c r="E109" t="s">
        <v>550</v>
      </c>
    </row>
    <row r="110" spans="1:5" x14ac:dyDescent="0.25">
      <c r="A110" t="s">
        <v>551</v>
      </c>
      <c r="B110">
        <v>120.66729342047199</v>
      </c>
      <c r="C110" t="s">
        <v>930</v>
      </c>
      <c r="D110" t="s">
        <v>127</v>
      </c>
      <c r="E110" t="s">
        <v>552</v>
      </c>
    </row>
    <row r="111" spans="1:5" x14ac:dyDescent="0.25">
      <c r="A111" t="s">
        <v>553</v>
      </c>
      <c r="B111">
        <v>124.7862114781183</v>
      </c>
      <c r="C111" t="s">
        <v>930</v>
      </c>
      <c r="D111" t="s">
        <v>127</v>
      </c>
      <c r="E111" t="s">
        <v>554</v>
      </c>
    </row>
    <row r="112" spans="1:5" x14ac:dyDescent="0.25">
      <c r="A112" t="s">
        <v>555</v>
      </c>
      <c r="B112">
        <v>124.78357440000001</v>
      </c>
      <c r="C112" t="s">
        <v>930</v>
      </c>
      <c r="D112" t="s">
        <v>127</v>
      </c>
      <c r="E112" t="s">
        <v>556</v>
      </c>
    </row>
    <row r="113" spans="1:5" x14ac:dyDescent="0.25">
      <c r="A113" t="s">
        <v>557</v>
      </c>
      <c r="B113">
        <v>150.7205192025402</v>
      </c>
      <c r="C113" t="s">
        <v>930</v>
      </c>
      <c r="D113" t="s">
        <v>127</v>
      </c>
      <c r="E113" t="s">
        <v>552</v>
      </c>
    </row>
    <row r="114" spans="1:5" x14ac:dyDescent="0.25">
      <c r="A114" t="s">
        <v>558</v>
      </c>
      <c r="B114">
        <v>192.75137161500001</v>
      </c>
      <c r="C114" t="s">
        <v>930</v>
      </c>
      <c r="D114" t="s">
        <v>127</v>
      </c>
      <c r="E114" t="s">
        <v>554</v>
      </c>
    </row>
    <row r="115" spans="1:5" x14ac:dyDescent="0.25">
      <c r="A115" t="s">
        <v>559</v>
      </c>
      <c r="B115">
        <v>241.75760065200001</v>
      </c>
      <c r="C115" t="s">
        <v>930</v>
      </c>
      <c r="D115" t="s">
        <v>127</v>
      </c>
      <c r="E115" t="s">
        <v>556</v>
      </c>
    </row>
    <row r="116" spans="1:5" x14ac:dyDescent="0.25">
      <c r="A116" t="s">
        <v>560</v>
      </c>
      <c r="B116">
        <v>192.74870093915038</v>
      </c>
      <c r="C116" t="s">
        <v>930</v>
      </c>
      <c r="D116" t="s">
        <v>127</v>
      </c>
      <c r="E116" t="s">
        <v>552</v>
      </c>
    </row>
    <row r="117" spans="1:5" x14ac:dyDescent="0.25">
      <c r="A117" t="s">
        <v>561</v>
      </c>
      <c r="B117">
        <v>162.59102794500001</v>
      </c>
      <c r="C117" t="s">
        <v>930</v>
      </c>
      <c r="D117" t="s">
        <v>127</v>
      </c>
      <c r="E117" t="s">
        <v>554</v>
      </c>
    </row>
    <row r="118" spans="1:5" x14ac:dyDescent="0.25">
      <c r="A118" t="s">
        <v>562</v>
      </c>
      <c r="B118">
        <v>161.00611558200001</v>
      </c>
      <c r="C118" t="s">
        <v>930</v>
      </c>
      <c r="D118" t="s">
        <v>127</v>
      </c>
      <c r="E118" t="s">
        <v>556</v>
      </c>
    </row>
    <row r="119" spans="1:5" x14ac:dyDescent="0.25">
      <c r="A119" t="s">
        <v>563</v>
      </c>
      <c r="B119">
        <v>277.6524</v>
      </c>
      <c r="C119" t="s">
        <v>930</v>
      </c>
      <c r="D119" t="s">
        <v>127</v>
      </c>
      <c r="E119" t="s">
        <v>552</v>
      </c>
    </row>
    <row r="120" spans="1:5" x14ac:dyDescent="0.25">
      <c r="A120" t="s">
        <v>564</v>
      </c>
      <c r="B120">
        <v>269.78819999999996</v>
      </c>
      <c r="C120" t="s">
        <v>930</v>
      </c>
      <c r="D120" t="s">
        <v>127</v>
      </c>
      <c r="E120" t="s">
        <v>554</v>
      </c>
    </row>
    <row r="121" spans="1:5" x14ac:dyDescent="0.25">
      <c r="A121" t="s">
        <v>565</v>
      </c>
      <c r="B121">
        <v>296.11079999999998</v>
      </c>
      <c r="C121" t="s">
        <v>930</v>
      </c>
      <c r="D121" t="s">
        <v>127</v>
      </c>
      <c r="E121" t="s">
        <v>556</v>
      </c>
    </row>
    <row r="122" spans="1:5" x14ac:dyDescent="0.25">
      <c r="A122" t="s">
        <v>566</v>
      </c>
      <c r="B122">
        <v>874.67612694000002</v>
      </c>
      <c r="C122" t="s">
        <v>930</v>
      </c>
      <c r="D122" t="s">
        <v>127</v>
      </c>
      <c r="E122" t="s">
        <v>552</v>
      </c>
    </row>
    <row r="123" spans="1:5" x14ac:dyDescent="0.25">
      <c r="A123" t="s">
        <v>567</v>
      </c>
      <c r="B123">
        <v>884.75287834499977</v>
      </c>
      <c r="C123" t="s">
        <v>930</v>
      </c>
      <c r="D123" t="s">
        <v>127</v>
      </c>
      <c r="E123" t="s">
        <v>554</v>
      </c>
    </row>
    <row r="124" spans="1:5" x14ac:dyDescent="0.25">
      <c r="A124" t="s">
        <v>568</v>
      </c>
      <c r="B124">
        <v>865.73272270199982</v>
      </c>
      <c r="C124" t="s">
        <v>930</v>
      </c>
      <c r="D124" t="s">
        <v>127</v>
      </c>
      <c r="E124" t="s">
        <v>556</v>
      </c>
    </row>
    <row r="125" spans="1:5" x14ac:dyDescent="0.25">
      <c r="A125" t="s">
        <v>569</v>
      </c>
      <c r="B125">
        <v>1006.9167269399999</v>
      </c>
      <c r="C125" t="s">
        <v>930</v>
      </c>
      <c r="D125" t="s">
        <v>127</v>
      </c>
      <c r="E125" t="s">
        <v>552</v>
      </c>
    </row>
    <row r="126" spans="1:5" x14ac:dyDescent="0.25">
      <c r="A126" t="s">
        <v>570</v>
      </c>
      <c r="B126">
        <v>1035.6774783450001</v>
      </c>
      <c r="C126" t="s">
        <v>930</v>
      </c>
      <c r="D126" t="s">
        <v>127</v>
      </c>
      <c r="E126" t="s">
        <v>554</v>
      </c>
    </row>
    <row r="127" spans="1:5" x14ac:dyDescent="0.25">
      <c r="A127" t="s">
        <v>571</v>
      </c>
      <c r="B127">
        <v>1016.657322702</v>
      </c>
      <c r="C127" t="s">
        <v>930</v>
      </c>
      <c r="D127" t="s">
        <v>127</v>
      </c>
      <c r="E127" t="s">
        <v>556</v>
      </c>
    </row>
    <row r="128" spans="1:5" x14ac:dyDescent="0.25">
      <c r="A128" t="s">
        <v>572</v>
      </c>
      <c r="B128">
        <v>1444.2749999999999</v>
      </c>
      <c r="C128" t="s">
        <v>930</v>
      </c>
      <c r="D128" t="s">
        <v>127</v>
      </c>
      <c r="E128" t="s">
        <v>552</v>
      </c>
    </row>
    <row r="129" spans="1:5" x14ac:dyDescent="0.25">
      <c r="A129" t="s">
        <v>573</v>
      </c>
      <c r="B129">
        <v>1444.2749999999999</v>
      </c>
      <c r="C129" t="s">
        <v>930</v>
      </c>
      <c r="D129" t="s">
        <v>127</v>
      </c>
      <c r="E129" t="s">
        <v>554</v>
      </c>
    </row>
    <row r="130" spans="1:5" x14ac:dyDescent="0.25">
      <c r="A130" t="s">
        <v>574</v>
      </c>
      <c r="B130">
        <v>1444.2749999999999</v>
      </c>
      <c r="C130" t="s">
        <v>930</v>
      </c>
      <c r="D130" t="s">
        <v>127</v>
      </c>
      <c r="E130" t="s">
        <v>556</v>
      </c>
    </row>
    <row r="131" spans="1:5" x14ac:dyDescent="0.25">
      <c r="A131" t="s">
        <v>575</v>
      </c>
      <c r="B131">
        <v>416.33158013999997</v>
      </c>
      <c r="C131" t="s">
        <v>930</v>
      </c>
      <c r="D131" t="s">
        <v>127</v>
      </c>
      <c r="E131" t="s">
        <v>552</v>
      </c>
    </row>
    <row r="132" spans="1:5" x14ac:dyDescent="0.25">
      <c r="A132" t="s">
        <v>576</v>
      </c>
      <c r="B132">
        <v>345.10888499999999</v>
      </c>
      <c r="C132" t="s">
        <v>930</v>
      </c>
      <c r="D132" t="s">
        <v>127</v>
      </c>
      <c r="E132" t="s">
        <v>554</v>
      </c>
    </row>
    <row r="133" spans="1:5" x14ac:dyDescent="0.25">
      <c r="A133" t="s">
        <v>577</v>
      </c>
      <c r="B133">
        <v>345.10888499999999</v>
      </c>
      <c r="C133" t="s">
        <v>930</v>
      </c>
      <c r="D133" t="s">
        <v>127</v>
      </c>
      <c r="E133" t="s">
        <v>556</v>
      </c>
    </row>
    <row r="134" spans="1:5" x14ac:dyDescent="0.25">
      <c r="A134" t="s">
        <v>578</v>
      </c>
      <c r="B134">
        <v>34.9081930879385</v>
      </c>
      <c r="C134" t="s">
        <v>932</v>
      </c>
      <c r="D134" t="s">
        <v>109</v>
      </c>
      <c r="E134" t="s">
        <v>579</v>
      </c>
    </row>
    <row r="135" spans="1:5" x14ac:dyDescent="0.25">
      <c r="A135" t="s">
        <v>580</v>
      </c>
      <c r="B135">
        <v>47.773329304705918</v>
      </c>
      <c r="C135" t="s">
        <v>932</v>
      </c>
      <c r="D135" t="s">
        <v>109</v>
      </c>
    </row>
    <row r="136" spans="1:5" x14ac:dyDescent="0.25">
      <c r="A136" t="s">
        <v>581</v>
      </c>
      <c r="B136">
        <v>58.94381744942465</v>
      </c>
      <c r="C136" t="s">
        <v>932</v>
      </c>
      <c r="D136" t="s">
        <v>109</v>
      </c>
    </row>
    <row r="137" spans="1:5" x14ac:dyDescent="0.25">
      <c r="A137" t="s">
        <v>582</v>
      </c>
      <c r="B137">
        <v>85.804511323641549</v>
      </c>
      <c r="C137" t="s">
        <v>932</v>
      </c>
      <c r="D137" t="s">
        <v>109</v>
      </c>
    </row>
    <row r="138" spans="1:5" x14ac:dyDescent="0.25">
      <c r="A138" t="s">
        <v>583</v>
      </c>
      <c r="B138">
        <v>106.68259442692441</v>
      </c>
      <c r="C138" t="s">
        <v>932</v>
      </c>
      <c r="D138" t="s">
        <v>109</v>
      </c>
    </row>
    <row r="139" spans="1:5" x14ac:dyDescent="0.25">
      <c r="A139" t="s">
        <v>584</v>
      </c>
      <c r="B139">
        <v>133.89521054670331</v>
      </c>
      <c r="C139" t="s">
        <v>932</v>
      </c>
      <c r="D139" t="s">
        <v>109</v>
      </c>
    </row>
    <row r="140" spans="1:5" x14ac:dyDescent="0.25">
      <c r="A140" t="s">
        <v>585</v>
      </c>
      <c r="B140">
        <v>157.06284419801739</v>
      </c>
      <c r="C140" t="s">
        <v>932</v>
      </c>
      <c r="D140" t="s">
        <v>109</v>
      </c>
    </row>
    <row r="141" spans="1:5" x14ac:dyDescent="0.25">
      <c r="A141" t="s">
        <v>586</v>
      </c>
      <c r="B141">
        <v>190.26952358092021</v>
      </c>
      <c r="C141" t="s">
        <v>932</v>
      </c>
      <c r="D141" t="s">
        <v>109</v>
      </c>
    </row>
    <row r="142" spans="1:5" x14ac:dyDescent="0.25">
      <c r="A142" t="s">
        <v>587</v>
      </c>
      <c r="B142">
        <v>276.99245641248046</v>
      </c>
      <c r="C142" t="s">
        <v>932</v>
      </c>
      <c r="D142" t="s">
        <v>109</v>
      </c>
    </row>
    <row r="143" spans="1:5" x14ac:dyDescent="0.25">
      <c r="A143" t="s">
        <v>588</v>
      </c>
      <c r="B143">
        <v>494.42062767195887</v>
      </c>
      <c r="C143" t="s">
        <v>932</v>
      </c>
      <c r="D143" t="s">
        <v>109</v>
      </c>
    </row>
    <row r="144" spans="1:5" x14ac:dyDescent="0.25">
      <c r="A144" t="s">
        <v>589</v>
      </c>
      <c r="B144">
        <v>9.7658010205652577</v>
      </c>
      <c r="C144" t="s">
        <v>932</v>
      </c>
      <c r="D144" t="s">
        <v>109</v>
      </c>
      <c r="E144" t="s">
        <v>590</v>
      </c>
    </row>
    <row r="145" spans="1:5" x14ac:dyDescent="0.25">
      <c r="A145" t="s">
        <v>591</v>
      </c>
      <c r="B145">
        <v>19.23884736989379</v>
      </c>
      <c r="C145" t="s">
        <v>932</v>
      </c>
      <c r="D145" t="s">
        <v>109</v>
      </c>
      <c r="E145" t="s">
        <v>592</v>
      </c>
    </row>
    <row r="146" spans="1:5" x14ac:dyDescent="0.25">
      <c r="A146" t="s">
        <v>593</v>
      </c>
      <c r="B146">
        <v>33.314847369893791</v>
      </c>
      <c r="C146" t="s">
        <v>932</v>
      </c>
      <c r="D146" t="s">
        <v>109</v>
      </c>
    </row>
    <row r="147" spans="1:5" x14ac:dyDescent="0.25">
      <c r="A147" t="s">
        <v>594</v>
      </c>
      <c r="B147">
        <v>50.444920890459038</v>
      </c>
      <c r="C147" t="s">
        <v>932</v>
      </c>
      <c r="D147" t="s">
        <v>109</v>
      </c>
    </row>
    <row r="148" spans="1:5" x14ac:dyDescent="0.25">
      <c r="A148" t="s">
        <v>595</v>
      </c>
      <c r="B148">
        <v>14.502545486324941</v>
      </c>
      <c r="C148" t="s">
        <v>932</v>
      </c>
      <c r="D148" t="s">
        <v>109</v>
      </c>
      <c r="E148" t="s">
        <v>596</v>
      </c>
    </row>
    <row r="149" spans="1:5" x14ac:dyDescent="0.25">
      <c r="A149" t="s">
        <v>597</v>
      </c>
      <c r="B149">
        <v>89.014245164557181</v>
      </c>
      <c r="C149" t="s">
        <v>932</v>
      </c>
      <c r="D149" t="s">
        <v>109</v>
      </c>
    </row>
    <row r="150" spans="1:5" x14ac:dyDescent="0.25">
      <c r="A150" t="s">
        <v>598</v>
      </c>
      <c r="B150">
        <v>107.9376435618362</v>
      </c>
      <c r="C150" t="s">
        <v>932</v>
      </c>
      <c r="D150" t="s">
        <v>109</v>
      </c>
    </row>
    <row r="151" spans="1:5" x14ac:dyDescent="0.25">
      <c r="A151" t="s">
        <v>599</v>
      </c>
      <c r="B151">
        <v>0.63288177369893772</v>
      </c>
      <c r="C151" t="s">
        <v>932</v>
      </c>
      <c r="D151" t="s">
        <v>109</v>
      </c>
      <c r="E151" t="s">
        <v>600</v>
      </c>
    </row>
    <row r="152" spans="1:5" x14ac:dyDescent="0.25">
      <c r="A152" t="s">
        <v>601</v>
      </c>
      <c r="B152">
        <v>0.7457737089045906</v>
      </c>
      <c r="C152" t="s">
        <v>932</v>
      </c>
      <c r="D152" t="s">
        <v>109</v>
      </c>
      <c r="E152" t="s">
        <v>602</v>
      </c>
    </row>
    <row r="153" spans="1:5" x14ac:dyDescent="0.25">
      <c r="A153" t="s">
        <v>603</v>
      </c>
      <c r="B153">
        <v>0.98477374066928114</v>
      </c>
      <c r="C153" t="s">
        <v>932</v>
      </c>
      <c r="D153" t="s">
        <v>109</v>
      </c>
    </row>
    <row r="154" spans="1:5" x14ac:dyDescent="0.25">
      <c r="A154" t="s">
        <v>604</v>
      </c>
      <c r="B154">
        <v>1.3226470947957518</v>
      </c>
      <c r="C154" t="s">
        <v>932</v>
      </c>
      <c r="D154" t="s">
        <v>109</v>
      </c>
    </row>
    <row r="155" spans="1:5" x14ac:dyDescent="0.25">
      <c r="A155" t="s">
        <v>605</v>
      </c>
      <c r="B155">
        <v>1.810687335618363</v>
      </c>
      <c r="C155" t="s">
        <v>932</v>
      </c>
      <c r="D155" t="s">
        <v>109</v>
      </c>
    </row>
    <row r="156" spans="1:5" x14ac:dyDescent="0.25">
      <c r="A156" t="s">
        <v>606</v>
      </c>
      <c r="B156">
        <v>2.6429432370277111</v>
      </c>
      <c r="C156" t="s">
        <v>932</v>
      </c>
      <c r="D156" t="s">
        <v>109</v>
      </c>
    </row>
    <row r="157" spans="1:5" x14ac:dyDescent="0.25">
      <c r="A157" t="s">
        <v>607</v>
      </c>
      <c r="B157">
        <v>3.5196108801413151</v>
      </c>
      <c r="C157" t="s">
        <v>932</v>
      </c>
      <c r="D157" t="s">
        <v>109</v>
      </c>
    </row>
    <row r="158" spans="1:5" x14ac:dyDescent="0.25">
      <c r="A158" t="s">
        <v>608</v>
      </c>
      <c r="B158">
        <v>4.8597921674034934</v>
      </c>
      <c r="C158" t="s">
        <v>932</v>
      </c>
      <c r="D158" t="s">
        <v>109</v>
      </c>
    </row>
    <row r="159" spans="1:5" x14ac:dyDescent="0.25">
      <c r="A159" t="s">
        <v>609</v>
      </c>
      <c r="B159">
        <v>7.0520149043928733</v>
      </c>
      <c r="C159" t="s">
        <v>932</v>
      </c>
      <c r="D159" t="s">
        <v>109</v>
      </c>
    </row>
    <row r="160" spans="1:5" x14ac:dyDescent="0.25">
      <c r="A160" t="s">
        <v>610</v>
      </c>
      <c r="B160">
        <v>8.9170077226147644</v>
      </c>
      <c r="C160" t="s">
        <v>932</v>
      </c>
      <c r="D160" t="s">
        <v>109</v>
      </c>
    </row>
    <row r="161" spans="1:5" x14ac:dyDescent="0.25">
      <c r="A161" t="s">
        <v>611</v>
      </c>
      <c r="B161">
        <v>11.04425691124796</v>
      </c>
      <c r="C161" t="s">
        <v>932</v>
      </c>
      <c r="D161" t="s">
        <v>109</v>
      </c>
    </row>
    <row r="162" spans="1:5" x14ac:dyDescent="0.25">
      <c r="A162" t="s">
        <v>612</v>
      </c>
      <c r="B162">
        <v>14.86955951673203</v>
      </c>
      <c r="C162" t="s">
        <v>932</v>
      </c>
      <c r="D162" t="s">
        <v>109</v>
      </c>
    </row>
    <row r="163" spans="1:5" x14ac:dyDescent="0.25">
      <c r="A163" t="s">
        <v>613</v>
      </c>
      <c r="B163">
        <v>18.54920666961398</v>
      </c>
      <c r="C163" t="s">
        <v>932</v>
      </c>
      <c r="D163" t="s">
        <v>109</v>
      </c>
    </row>
    <row r="164" spans="1:5" x14ac:dyDescent="0.25">
      <c r="A164" t="s">
        <v>614</v>
      </c>
      <c r="B164">
        <v>42.863825644991842</v>
      </c>
      <c r="C164" t="s">
        <v>932</v>
      </c>
      <c r="D164" t="s">
        <v>109</v>
      </c>
    </row>
    <row r="165" spans="1:5" x14ac:dyDescent="0.25">
      <c r="A165" t="s">
        <v>615</v>
      </c>
      <c r="B165">
        <v>54.442979175692805</v>
      </c>
      <c r="C165" t="s">
        <v>932</v>
      </c>
      <c r="D165" t="s">
        <v>109</v>
      </c>
    </row>
    <row r="166" spans="1:5" x14ac:dyDescent="0.25">
      <c r="A166" t="s">
        <v>616</v>
      </c>
      <c r="B166">
        <v>68.494735013521648</v>
      </c>
      <c r="C166" t="s">
        <v>932</v>
      </c>
      <c r="D166" t="s">
        <v>109</v>
      </c>
    </row>
    <row r="167" spans="1:5" x14ac:dyDescent="0.25">
      <c r="A167" t="s">
        <v>617</v>
      </c>
      <c r="B167">
        <v>86.321269479575179</v>
      </c>
      <c r="C167" t="s">
        <v>932</v>
      </c>
      <c r="D167" t="s">
        <v>109</v>
      </c>
    </row>
    <row r="168" spans="1:5" x14ac:dyDescent="0.25">
      <c r="A168" t="s">
        <v>618</v>
      </c>
      <c r="B168">
        <v>169.06427857996738</v>
      </c>
      <c r="C168" t="s">
        <v>932</v>
      </c>
      <c r="D168" t="s">
        <v>109</v>
      </c>
    </row>
    <row r="169" spans="1:5" x14ac:dyDescent="0.25">
      <c r="A169" t="s">
        <v>619</v>
      </c>
      <c r="B169">
        <v>212.60673270277118</v>
      </c>
      <c r="C169" t="s">
        <v>932</v>
      </c>
      <c r="D169" t="s">
        <v>109</v>
      </c>
    </row>
    <row r="170" spans="1:5" x14ac:dyDescent="0.25">
      <c r="A170" t="s">
        <v>620</v>
      </c>
      <c r="B170">
        <v>268.89689205408649</v>
      </c>
      <c r="C170" t="s">
        <v>932</v>
      </c>
      <c r="D170" t="s">
        <v>109</v>
      </c>
    </row>
    <row r="171" spans="1:5" x14ac:dyDescent="0.25">
      <c r="A171" t="s">
        <v>369</v>
      </c>
      <c r="B171">
        <v>76.386240000000001</v>
      </c>
      <c r="C171" t="s">
        <v>932</v>
      </c>
      <c r="D171" t="s">
        <v>109</v>
      </c>
      <c r="E171" t="s">
        <v>621</v>
      </c>
    </row>
    <row r="172" spans="1:5" x14ac:dyDescent="0.25">
      <c r="A172" t="s">
        <v>370</v>
      </c>
      <c r="B172">
        <v>170.5263157894737</v>
      </c>
      <c r="C172" t="s">
        <v>932</v>
      </c>
      <c r="D172" t="s">
        <v>109</v>
      </c>
      <c r="E172" t="s">
        <v>622</v>
      </c>
    </row>
    <row r="173" spans="1:5" x14ac:dyDescent="0.25">
      <c r="A173" t="s">
        <v>371</v>
      </c>
      <c r="B173">
        <v>990.55772999999999</v>
      </c>
      <c r="C173" t="s">
        <v>932</v>
      </c>
      <c r="D173" t="s">
        <v>109</v>
      </c>
      <c r="E173" t="s">
        <v>623</v>
      </c>
    </row>
    <row r="174" spans="1:5" x14ac:dyDescent="0.25">
      <c r="A174" t="s">
        <v>372</v>
      </c>
      <c r="B174">
        <v>7.3224985185599989</v>
      </c>
      <c r="C174" t="s">
        <v>932</v>
      </c>
      <c r="D174" t="s">
        <v>109</v>
      </c>
      <c r="E174" t="s">
        <v>624</v>
      </c>
    </row>
    <row r="175" spans="1:5" x14ac:dyDescent="0.25">
      <c r="A175" t="s">
        <v>374</v>
      </c>
      <c r="B175">
        <v>294.1704007760427</v>
      </c>
      <c r="C175" t="s">
        <v>932</v>
      </c>
      <c r="D175" t="s">
        <v>109</v>
      </c>
      <c r="E175" t="s">
        <v>625</v>
      </c>
    </row>
    <row r="176" spans="1:5" x14ac:dyDescent="0.25">
      <c r="A176" t="s">
        <v>376</v>
      </c>
      <c r="B176">
        <v>34.119680000000002</v>
      </c>
      <c r="C176" t="s">
        <v>932</v>
      </c>
      <c r="D176" t="s">
        <v>109</v>
      </c>
      <c r="E176" t="s">
        <v>626</v>
      </c>
    </row>
    <row r="177" spans="1:5" x14ac:dyDescent="0.25">
      <c r="A177" t="s">
        <v>377</v>
      </c>
      <c r="B177">
        <v>53.1813</v>
      </c>
      <c r="C177" t="s">
        <v>932</v>
      </c>
      <c r="D177" t="s">
        <v>109</v>
      </c>
      <c r="E177" t="s">
        <v>627</v>
      </c>
    </row>
    <row r="178" spans="1:5" x14ac:dyDescent="0.25">
      <c r="A178" t="s">
        <v>378</v>
      </c>
      <c r="B178">
        <v>27.433451952000002</v>
      </c>
      <c r="C178" t="s">
        <v>932</v>
      </c>
      <c r="D178" t="s">
        <v>109</v>
      </c>
      <c r="E178" t="s">
        <v>628</v>
      </c>
    </row>
    <row r="179" spans="1:5" x14ac:dyDescent="0.25">
      <c r="A179" t="s">
        <v>382</v>
      </c>
      <c r="B179">
        <v>232.6515175823013</v>
      </c>
      <c r="C179" t="s">
        <v>935</v>
      </c>
      <c r="D179" t="s">
        <v>295</v>
      </c>
      <c r="E179" t="s">
        <v>629</v>
      </c>
    </row>
    <row r="180" spans="1:5" x14ac:dyDescent="0.25">
      <c r="A180" t="s">
        <v>383</v>
      </c>
      <c r="B180">
        <v>185.62725842193402</v>
      </c>
      <c r="C180" t="s">
        <v>935</v>
      </c>
      <c r="D180" t="s">
        <v>295</v>
      </c>
      <c r="E180" t="s">
        <v>630</v>
      </c>
    </row>
    <row r="181" spans="1:5" x14ac:dyDescent="0.25">
      <c r="A181" t="s">
        <v>385</v>
      </c>
      <c r="B181">
        <v>1510.9944123048861</v>
      </c>
      <c r="C181" t="s">
        <v>935</v>
      </c>
      <c r="D181" t="s">
        <v>295</v>
      </c>
      <c r="E181" t="s">
        <v>631</v>
      </c>
    </row>
    <row r="182" spans="1:5" x14ac:dyDescent="0.25">
      <c r="A182" t="s">
        <v>386</v>
      </c>
      <c r="B182">
        <v>1930.976706703427</v>
      </c>
      <c r="C182" t="s">
        <v>935</v>
      </c>
      <c r="D182" t="s">
        <v>295</v>
      </c>
      <c r="E182" t="s">
        <v>632</v>
      </c>
    </row>
    <row r="183" spans="1:5" x14ac:dyDescent="0.25">
      <c r="A183" t="s">
        <v>388</v>
      </c>
      <c r="B183">
        <v>14144.293820139559</v>
      </c>
      <c r="C183" t="s">
        <v>935</v>
      </c>
      <c r="D183" t="s">
        <v>295</v>
      </c>
      <c r="E183" t="s">
        <v>633</v>
      </c>
    </row>
    <row r="184" spans="1:5" x14ac:dyDescent="0.25">
      <c r="A184" t="s">
        <v>389</v>
      </c>
      <c r="B184">
        <v>27440.169559722657</v>
      </c>
      <c r="C184" t="s">
        <v>935</v>
      </c>
      <c r="D184" t="s">
        <v>295</v>
      </c>
      <c r="E184" t="s">
        <v>634</v>
      </c>
    </row>
    <row r="185" spans="1:5" x14ac:dyDescent="0.25">
      <c r="A185" t="s">
        <v>635</v>
      </c>
      <c r="B185">
        <v>8955.8429749385268</v>
      </c>
      <c r="C185" t="s">
        <v>929</v>
      </c>
      <c r="D185" t="s">
        <v>322</v>
      </c>
      <c r="E185" t="s">
        <v>636</v>
      </c>
    </row>
    <row r="186" spans="1:5" x14ac:dyDescent="0.25">
      <c r="A186" t="s">
        <v>637</v>
      </c>
      <c r="B186">
        <v>10351.752080432339</v>
      </c>
      <c r="C186" t="s">
        <v>929</v>
      </c>
      <c r="D186" t="s">
        <v>322</v>
      </c>
      <c r="E186" t="s">
        <v>638</v>
      </c>
    </row>
    <row r="187" spans="1:5" x14ac:dyDescent="0.25">
      <c r="A187" t="s">
        <v>639</v>
      </c>
      <c r="B187">
        <v>29714.22627808735</v>
      </c>
      <c r="C187" t="s">
        <v>929</v>
      </c>
      <c r="D187" t="s">
        <v>322</v>
      </c>
      <c r="E187" t="s">
        <v>640</v>
      </c>
    </row>
    <row r="188" spans="1:5" x14ac:dyDescent="0.25">
      <c r="A188" t="s">
        <v>641</v>
      </c>
      <c r="B188">
        <v>93309.990243893291</v>
      </c>
      <c r="C188" t="s">
        <v>929</v>
      </c>
      <c r="D188" t="s">
        <v>322</v>
      </c>
      <c r="E188" t="s">
        <v>642</v>
      </c>
    </row>
    <row r="189" spans="1:5" x14ac:dyDescent="0.25">
      <c r="A189" t="s">
        <v>393</v>
      </c>
      <c r="B189">
        <v>6367.9692663939013</v>
      </c>
      <c r="C189" t="s">
        <v>935</v>
      </c>
      <c r="D189" t="s">
        <v>295</v>
      </c>
      <c r="E189" t="s">
        <v>643</v>
      </c>
    </row>
    <row r="190" spans="1:5" x14ac:dyDescent="0.25">
      <c r="A190" t="s">
        <v>394</v>
      </c>
      <c r="B190">
        <v>12160.53831281764</v>
      </c>
      <c r="C190" t="s">
        <v>935</v>
      </c>
      <c r="D190" t="s">
        <v>295</v>
      </c>
      <c r="E190" t="s">
        <v>644</v>
      </c>
    </row>
    <row r="191" spans="1:5" x14ac:dyDescent="0.25">
      <c r="A191" t="s">
        <v>395</v>
      </c>
      <c r="B191">
        <v>24321.076625635291</v>
      </c>
      <c r="C191" t="s">
        <v>935</v>
      </c>
      <c r="D191" t="s">
        <v>295</v>
      </c>
      <c r="E191" t="s">
        <v>643</v>
      </c>
    </row>
    <row r="192" spans="1:5" x14ac:dyDescent="0.25">
      <c r="A192" t="s">
        <v>397</v>
      </c>
      <c r="B192">
        <v>113.88</v>
      </c>
      <c r="C192" t="s">
        <v>935</v>
      </c>
      <c r="D192" t="s">
        <v>295</v>
      </c>
      <c r="E192" t="s">
        <v>645</v>
      </c>
    </row>
    <row r="193" spans="1:5" x14ac:dyDescent="0.25">
      <c r="A193" t="s">
        <v>398</v>
      </c>
      <c r="B193">
        <v>22.5</v>
      </c>
      <c r="C193" t="s">
        <v>935</v>
      </c>
      <c r="D193" t="s">
        <v>295</v>
      </c>
      <c r="E193" t="s">
        <v>646</v>
      </c>
    </row>
    <row r="194" spans="1:5" x14ac:dyDescent="0.25">
      <c r="A194" t="s">
        <v>399</v>
      </c>
      <c r="B194">
        <v>135</v>
      </c>
      <c r="C194" t="s">
        <v>935</v>
      </c>
      <c r="D194" t="s">
        <v>295</v>
      </c>
      <c r="E194" t="s">
        <v>647</v>
      </c>
    </row>
    <row r="195" spans="1:5" x14ac:dyDescent="0.25">
      <c r="A195" t="s">
        <v>400</v>
      </c>
      <c r="B195">
        <v>435.89016576</v>
      </c>
      <c r="C195" t="s">
        <v>935</v>
      </c>
      <c r="D195" t="s">
        <v>295</v>
      </c>
      <c r="E195" t="s">
        <v>648</v>
      </c>
    </row>
    <row r="196" spans="1:5" x14ac:dyDescent="0.25">
      <c r="A196" t="s">
        <v>402</v>
      </c>
      <c r="B196">
        <v>54</v>
      </c>
      <c r="C196" t="s">
        <v>935</v>
      </c>
      <c r="D196" t="s">
        <v>295</v>
      </c>
      <c r="E196" t="s">
        <v>649</v>
      </c>
    </row>
    <row r="197" spans="1:5" x14ac:dyDescent="0.25">
      <c r="A197" t="s">
        <v>650</v>
      </c>
      <c r="B197">
        <v>7.0663333333333318</v>
      </c>
      <c r="C197" t="s">
        <v>934</v>
      </c>
      <c r="D197" t="s">
        <v>219</v>
      </c>
      <c r="E197" t="s">
        <v>651</v>
      </c>
    </row>
    <row r="198" spans="1:5" x14ac:dyDescent="0.25">
      <c r="A198" t="s">
        <v>652</v>
      </c>
      <c r="B198">
        <v>6.6506666666666661</v>
      </c>
      <c r="C198" t="s">
        <v>934</v>
      </c>
      <c r="D198" t="s">
        <v>219</v>
      </c>
      <c r="E198" t="s">
        <v>653</v>
      </c>
    </row>
    <row r="199" spans="1:5" x14ac:dyDescent="0.25">
      <c r="A199" t="s">
        <v>654</v>
      </c>
      <c r="B199">
        <v>3.8985641759999998</v>
      </c>
      <c r="C199" t="s">
        <v>930</v>
      </c>
      <c r="D199" t="s">
        <v>127</v>
      </c>
      <c r="E199" t="s">
        <v>655</v>
      </c>
    </row>
    <row r="200" spans="1:5" x14ac:dyDescent="0.25">
      <c r="A200" t="s">
        <v>656</v>
      </c>
      <c r="B200">
        <v>0.3898564176</v>
      </c>
      <c r="C200" t="s">
        <v>932</v>
      </c>
      <c r="D200" t="s">
        <v>109</v>
      </c>
      <c r="E200" t="s">
        <v>655</v>
      </c>
    </row>
    <row r="201" spans="1:5" x14ac:dyDescent="0.25">
      <c r="A201" t="s">
        <v>657</v>
      </c>
      <c r="B201">
        <v>2.3391385055999998</v>
      </c>
      <c r="C201" t="s">
        <v>932</v>
      </c>
      <c r="D201" t="s">
        <v>109</v>
      </c>
      <c r="E201" t="s">
        <v>655</v>
      </c>
    </row>
    <row r="202" spans="1:5" x14ac:dyDescent="0.25">
      <c r="A202" t="s">
        <v>658</v>
      </c>
      <c r="B202">
        <v>3.8985641759999998</v>
      </c>
      <c r="C202" t="s">
        <v>935</v>
      </c>
      <c r="D202" t="s">
        <v>295</v>
      </c>
      <c r="E202" t="s">
        <v>659</v>
      </c>
    </row>
    <row r="203" spans="1:5" x14ac:dyDescent="0.25">
      <c r="A203" t="s">
        <v>660</v>
      </c>
      <c r="B203">
        <v>5.8478462640000002</v>
      </c>
      <c r="C203" t="s">
        <v>935</v>
      </c>
      <c r="D203" t="s">
        <v>295</v>
      </c>
      <c r="E203" t="s">
        <v>661</v>
      </c>
    </row>
    <row r="204" spans="1:5" x14ac:dyDescent="0.25">
      <c r="A204" t="s">
        <v>662</v>
      </c>
      <c r="B204">
        <v>9.74641044</v>
      </c>
      <c r="C204" t="s">
        <v>935</v>
      </c>
      <c r="D204" t="s">
        <v>295</v>
      </c>
      <c r="E204" t="s">
        <v>663</v>
      </c>
    </row>
    <row r="205" spans="1:5" x14ac:dyDescent="0.25">
      <c r="A205" t="s">
        <v>664</v>
      </c>
      <c r="B205">
        <v>469.26635810445248</v>
      </c>
      <c r="C205" t="s">
        <v>935</v>
      </c>
      <c r="D205" t="s">
        <v>295</v>
      </c>
      <c r="E205" t="s">
        <v>665</v>
      </c>
    </row>
    <row r="206" spans="1:5" x14ac:dyDescent="0.25">
      <c r="A206" t="s">
        <v>666</v>
      </c>
      <c r="B206">
        <v>609.89135810445248</v>
      </c>
      <c r="C206" t="s">
        <v>935</v>
      </c>
      <c r="D206" t="s">
        <v>295</v>
      </c>
      <c r="E206" t="s">
        <v>667</v>
      </c>
    </row>
    <row r="207" spans="1:5" x14ac:dyDescent="0.25">
      <c r="A207" t="s">
        <v>668</v>
      </c>
      <c r="B207">
        <v>953.65649999999994</v>
      </c>
      <c r="C207" t="s">
        <v>935</v>
      </c>
      <c r="D207" t="s">
        <v>295</v>
      </c>
      <c r="E207" t="s">
        <v>669</v>
      </c>
    </row>
    <row r="208" spans="1:5" x14ac:dyDescent="0.25">
      <c r="A208" t="s">
        <v>670</v>
      </c>
      <c r="B208">
        <v>43.312477471903605</v>
      </c>
      <c r="C208" t="s">
        <v>935</v>
      </c>
      <c r="D208" t="s">
        <v>295</v>
      </c>
      <c r="E208" t="s">
        <v>671</v>
      </c>
    </row>
    <row r="209" spans="1:5" x14ac:dyDescent="0.25">
      <c r="A209" t="s">
        <v>672</v>
      </c>
      <c r="B209">
        <v>75.074960951299616</v>
      </c>
      <c r="C209" t="s">
        <v>935</v>
      </c>
      <c r="D209" t="s">
        <v>295</v>
      </c>
      <c r="E209" t="s">
        <v>673</v>
      </c>
    </row>
    <row r="210" spans="1:5" x14ac:dyDescent="0.25">
      <c r="A210" t="s">
        <v>674</v>
      </c>
      <c r="B210">
        <v>95.28745043818796</v>
      </c>
      <c r="C210" t="s">
        <v>935</v>
      </c>
      <c r="D210" t="s">
        <v>295</v>
      </c>
      <c r="E210" t="s">
        <v>675</v>
      </c>
    </row>
    <row r="211" spans="1:5" x14ac:dyDescent="0.25">
      <c r="A211" t="s">
        <v>676</v>
      </c>
      <c r="B211">
        <v>115.4999399250763</v>
      </c>
      <c r="C211" t="s">
        <v>935</v>
      </c>
      <c r="D211" t="s">
        <v>295</v>
      </c>
      <c r="E211" t="s">
        <v>677</v>
      </c>
    </row>
    <row r="212" spans="1:5" x14ac:dyDescent="0.25">
      <c r="A212" t="s">
        <v>678</v>
      </c>
      <c r="B212">
        <v>135.71242941196471</v>
      </c>
      <c r="C212" t="s">
        <v>935</v>
      </c>
      <c r="D212" t="s">
        <v>295</v>
      </c>
      <c r="E212" t="s">
        <v>679</v>
      </c>
    </row>
    <row r="213" spans="1:5" x14ac:dyDescent="0.25">
      <c r="A213" t="s">
        <v>680</v>
      </c>
      <c r="B213">
        <v>155.92491889885309</v>
      </c>
      <c r="C213" t="s">
        <v>935</v>
      </c>
      <c r="D213" t="s">
        <v>295</v>
      </c>
      <c r="E213" t="s">
        <v>681</v>
      </c>
    </row>
    <row r="214" spans="1:5" x14ac:dyDescent="0.25">
      <c r="A214" t="s">
        <v>682</v>
      </c>
      <c r="B214">
        <v>581.59343992499998</v>
      </c>
      <c r="C214" t="s">
        <v>929</v>
      </c>
      <c r="D214" t="s">
        <v>322</v>
      </c>
      <c r="E214" t="s">
        <v>683</v>
      </c>
    </row>
    <row r="216" spans="1:5" x14ac:dyDescent="0.25">
      <c r="A216" t="s">
        <v>684</v>
      </c>
      <c r="B216">
        <v>1150.7686798500001</v>
      </c>
      <c r="C216" t="s">
        <v>929</v>
      </c>
      <c r="D216" t="s">
        <v>322</v>
      </c>
      <c r="E216" t="s">
        <v>685</v>
      </c>
    </row>
    <row r="217" spans="1:5" x14ac:dyDescent="0.25">
      <c r="A217" t="s">
        <v>686</v>
      </c>
      <c r="B217">
        <v>4337.1010503523557</v>
      </c>
      <c r="C217" t="s">
        <v>935</v>
      </c>
      <c r="D217" t="s">
        <v>295</v>
      </c>
      <c r="E217" t="s">
        <v>687</v>
      </c>
    </row>
    <row r="218" spans="1:5" x14ac:dyDescent="0.25">
      <c r="A218" t="s">
        <v>688</v>
      </c>
      <c r="B218">
        <v>1600.9221300000002</v>
      </c>
      <c r="C218" t="s">
        <v>935</v>
      </c>
      <c r="D218" t="s">
        <v>295</v>
      </c>
      <c r="E218" t="s">
        <v>687</v>
      </c>
    </row>
    <row r="219" spans="1:5" x14ac:dyDescent="0.25">
      <c r="A219" t="s">
        <v>689</v>
      </c>
      <c r="B219">
        <v>2534.7032399999998</v>
      </c>
      <c r="C219" t="s">
        <v>935</v>
      </c>
      <c r="D219" t="s">
        <v>295</v>
      </c>
      <c r="E219" t="s">
        <v>687</v>
      </c>
    </row>
    <row r="220" spans="1:5" x14ac:dyDescent="0.25">
      <c r="A220" t="s">
        <v>690</v>
      </c>
      <c r="B220">
        <v>6968.2692000000006</v>
      </c>
      <c r="C220" t="s">
        <v>935</v>
      </c>
      <c r="D220" t="s">
        <v>295</v>
      </c>
      <c r="E220" t="s">
        <v>691</v>
      </c>
    </row>
    <row r="221" spans="1:5" x14ac:dyDescent="0.25">
      <c r="A221" t="s">
        <v>692</v>
      </c>
      <c r="B221">
        <v>0.81304887851506624</v>
      </c>
      <c r="C221" t="s">
        <v>932</v>
      </c>
      <c r="D221" t="s">
        <v>109</v>
      </c>
      <c r="E221" t="s">
        <v>693</v>
      </c>
    </row>
    <row r="222" spans="1:5" x14ac:dyDescent="0.25">
      <c r="A222" t="s">
        <v>694</v>
      </c>
      <c r="B222">
        <v>18.371620799999999</v>
      </c>
      <c r="C222" t="s">
        <v>929</v>
      </c>
      <c r="D222" t="s">
        <v>322</v>
      </c>
      <c r="E222" t="s">
        <v>695</v>
      </c>
    </row>
    <row r="223" spans="1:5" x14ac:dyDescent="0.25">
      <c r="A223" t="s">
        <v>696</v>
      </c>
      <c r="B223">
        <v>105.4663735593431</v>
      </c>
      <c r="C223" t="s">
        <v>929</v>
      </c>
      <c r="D223" t="s">
        <v>322</v>
      </c>
      <c r="E223" t="s">
        <v>697</v>
      </c>
    </row>
    <row r="224" spans="1:5" x14ac:dyDescent="0.25">
      <c r="A224" t="s">
        <v>698</v>
      </c>
      <c r="B224">
        <v>8127.8004342857139</v>
      </c>
      <c r="C224" t="s">
        <v>932</v>
      </c>
      <c r="D224" t="s">
        <v>109</v>
      </c>
      <c r="E224" t="s">
        <v>699</v>
      </c>
    </row>
    <row r="225" spans="1:5" x14ac:dyDescent="0.25">
      <c r="A225" t="s">
        <v>700</v>
      </c>
      <c r="B225">
        <v>14052.971019603319</v>
      </c>
      <c r="C225" t="s">
        <v>932</v>
      </c>
      <c r="D225" t="s">
        <v>109</v>
      </c>
      <c r="E225" t="s">
        <v>701</v>
      </c>
    </row>
    <row r="226" spans="1:5" x14ac:dyDescent="0.25">
      <c r="A226" t="s">
        <v>702</v>
      </c>
      <c r="B226">
        <v>8426.0615791304353</v>
      </c>
      <c r="C226" t="s">
        <v>932</v>
      </c>
      <c r="D226" t="s">
        <v>109</v>
      </c>
      <c r="E226" t="s">
        <v>703</v>
      </c>
    </row>
    <row r="227" spans="1:5" x14ac:dyDescent="0.25">
      <c r="A227" t="s">
        <v>704</v>
      </c>
      <c r="B227">
        <v>5704.114314626866</v>
      </c>
      <c r="C227" t="s">
        <v>932</v>
      </c>
      <c r="D227" t="s">
        <v>109</v>
      </c>
      <c r="E227" t="s">
        <v>705</v>
      </c>
    </row>
    <row r="228" spans="1:5" x14ac:dyDescent="0.25">
      <c r="A228" t="s">
        <v>706</v>
      </c>
      <c r="B228">
        <v>6447.133587096775</v>
      </c>
      <c r="C228" t="s">
        <v>932</v>
      </c>
      <c r="D228" t="s">
        <v>109</v>
      </c>
      <c r="E228" t="s">
        <v>707</v>
      </c>
    </row>
    <row r="230" spans="1:5" x14ac:dyDescent="0.25">
      <c r="A230" t="s">
        <v>35</v>
      </c>
      <c r="B230">
        <v>2.6938826722389</v>
      </c>
      <c r="C230" t="s">
        <v>933</v>
      </c>
      <c r="D230" t="s">
        <v>36</v>
      </c>
    </row>
    <row r="231" spans="1:5" x14ac:dyDescent="0.25">
      <c r="A231" t="s">
        <v>708</v>
      </c>
      <c r="B231">
        <v>2.5555062499999996</v>
      </c>
      <c r="C231" t="s">
        <v>933</v>
      </c>
      <c r="D231" t="s">
        <v>36</v>
      </c>
    </row>
    <row r="232" spans="1:5" x14ac:dyDescent="0.25">
      <c r="A232" t="s">
        <v>39</v>
      </c>
      <c r="B232">
        <v>1.25E-4</v>
      </c>
      <c r="C232" t="s">
        <v>933</v>
      </c>
      <c r="D232" t="s">
        <v>36</v>
      </c>
    </row>
    <row r="233" spans="1:5" x14ac:dyDescent="0.25">
      <c r="A233" t="s">
        <v>709</v>
      </c>
      <c r="B233">
        <v>2.45577510514538</v>
      </c>
      <c r="C233" t="s">
        <v>933</v>
      </c>
      <c r="D233" t="s">
        <v>36</v>
      </c>
    </row>
    <row r="234" spans="1:5" x14ac:dyDescent="0.25">
      <c r="A234" t="s">
        <v>49</v>
      </c>
      <c r="B234">
        <v>0.131110114</v>
      </c>
      <c r="C234" t="s">
        <v>931</v>
      </c>
      <c r="D234" t="s">
        <v>48</v>
      </c>
    </row>
    <row r="235" spans="1:5" x14ac:dyDescent="0.25">
      <c r="A235" t="s">
        <v>710</v>
      </c>
      <c r="B235">
        <v>0.13500000000000001</v>
      </c>
      <c r="C235" t="s">
        <v>929</v>
      </c>
      <c r="D235" t="s">
        <v>711</v>
      </c>
      <c r="E235" t="s">
        <v>712</v>
      </c>
    </row>
    <row r="236" spans="1:5" x14ac:dyDescent="0.25">
      <c r="A236" t="s">
        <v>713</v>
      </c>
      <c r="B236">
        <v>0.13500000000000001</v>
      </c>
      <c r="C236" t="s">
        <v>929</v>
      </c>
      <c r="D236" t="s">
        <v>711</v>
      </c>
    </row>
    <row r="237" spans="1:5" x14ac:dyDescent="0.25">
      <c r="A237" t="s">
        <v>714</v>
      </c>
      <c r="B237">
        <v>0.13500000000000001</v>
      </c>
      <c r="C237" t="s">
        <v>929</v>
      </c>
      <c r="D237" t="s">
        <v>711</v>
      </c>
    </row>
    <row r="238" spans="1:5" x14ac:dyDescent="0.25">
      <c r="A238" t="s">
        <v>715</v>
      </c>
      <c r="B238">
        <v>0.13500000000000001</v>
      </c>
      <c r="C238" t="s">
        <v>929</v>
      </c>
      <c r="D238" t="s">
        <v>711</v>
      </c>
    </row>
    <row r="239" spans="1:5" x14ac:dyDescent="0.25">
      <c r="A239" t="s">
        <v>716</v>
      </c>
      <c r="B239">
        <v>0.13500000000000001</v>
      </c>
      <c r="C239" t="s">
        <v>929</v>
      </c>
      <c r="D239" t="s">
        <v>711</v>
      </c>
    </row>
    <row r="240" spans="1:5" x14ac:dyDescent="0.25">
      <c r="A240" t="s">
        <v>717</v>
      </c>
      <c r="B240">
        <v>0.13500000000000001</v>
      </c>
      <c r="C240" t="s">
        <v>929</v>
      </c>
      <c r="D240" t="s">
        <v>711</v>
      </c>
    </row>
    <row r="241" spans="1:5" x14ac:dyDescent="0.25">
      <c r="A241" t="s">
        <v>718</v>
      </c>
      <c r="B241">
        <v>4.3500000000000005</v>
      </c>
      <c r="C241" t="s">
        <v>928</v>
      </c>
      <c r="D241" t="s">
        <v>82</v>
      </c>
    </row>
    <row r="242" spans="1:5" x14ac:dyDescent="0.25">
      <c r="A242" t="s">
        <v>719</v>
      </c>
      <c r="B242">
        <v>3.875</v>
      </c>
      <c r="C242" t="s">
        <v>928</v>
      </c>
      <c r="D242" t="s">
        <v>82</v>
      </c>
    </row>
    <row r="243" spans="1:5" x14ac:dyDescent="0.25">
      <c r="A243" t="s">
        <v>720</v>
      </c>
      <c r="B243">
        <v>2.46</v>
      </c>
      <c r="C243" t="s">
        <v>928</v>
      </c>
      <c r="D243" t="s">
        <v>82</v>
      </c>
    </row>
    <row r="244" spans="1:5" x14ac:dyDescent="0.25">
      <c r="A244" t="s">
        <v>721</v>
      </c>
      <c r="B244">
        <v>0.82700000000000007</v>
      </c>
      <c r="C244" t="s">
        <v>928</v>
      </c>
      <c r="D244" t="s">
        <v>82</v>
      </c>
    </row>
    <row r="245" spans="1:5" x14ac:dyDescent="0.25">
      <c r="A245" t="s">
        <v>722</v>
      </c>
      <c r="B245">
        <v>53.287744000000011</v>
      </c>
      <c r="C245" t="s">
        <v>928</v>
      </c>
      <c r="D245" t="s">
        <v>82</v>
      </c>
      <c r="E245" t="s">
        <v>723</v>
      </c>
    </row>
    <row r="246" spans="1:5" x14ac:dyDescent="0.25">
      <c r="A246" t="s">
        <v>724</v>
      </c>
      <c r="B246">
        <v>47.7</v>
      </c>
      <c r="C246" t="s">
        <v>928</v>
      </c>
      <c r="D246" t="s">
        <v>82</v>
      </c>
    </row>
    <row r="247" spans="1:5" x14ac:dyDescent="0.25">
      <c r="A247" t="s">
        <v>725</v>
      </c>
      <c r="B247">
        <v>44.944051999999999</v>
      </c>
      <c r="C247" t="s">
        <v>928</v>
      </c>
      <c r="D247" t="s">
        <v>82</v>
      </c>
    </row>
    <row r="248" spans="1:5" x14ac:dyDescent="0.25">
      <c r="A248" t="s">
        <v>726</v>
      </c>
      <c r="B248">
        <v>42.160876000000002</v>
      </c>
      <c r="C248" t="s">
        <v>928</v>
      </c>
      <c r="D248" t="s">
        <v>82</v>
      </c>
      <c r="E248" t="s">
        <v>727</v>
      </c>
    </row>
    <row r="249" spans="1:5" x14ac:dyDescent="0.25">
      <c r="A249" t="s">
        <v>728</v>
      </c>
      <c r="B249">
        <v>39.377699</v>
      </c>
      <c r="C249" t="s">
        <v>928</v>
      </c>
      <c r="D249" t="s">
        <v>82</v>
      </c>
    </row>
    <row r="250" spans="1:5" x14ac:dyDescent="0.25">
      <c r="A250" t="s">
        <v>729</v>
      </c>
      <c r="B250">
        <v>33.799669999999999</v>
      </c>
      <c r="C250" t="s">
        <v>928</v>
      </c>
      <c r="D250" t="s">
        <v>82</v>
      </c>
    </row>
    <row r="251" spans="1:5" x14ac:dyDescent="0.25">
      <c r="A251" t="s">
        <v>730</v>
      </c>
      <c r="B251">
        <v>47</v>
      </c>
      <c r="C251" t="s">
        <v>928</v>
      </c>
      <c r="D251" t="s">
        <v>82</v>
      </c>
      <c r="E251" t="s">
        <v>731</v>
      </c>
    </row>
    <row r="252" spans="1:5" x14ac:dyDescent="0.25">
      <c r="A252" t="s">
        <v>732</v>
      </c>
      <c r="B252">
        <v>41.4</v>
      </c>
      <c r="C252" t="s">
        <v>928</v>
      </c>
      <c r="D252" t="s">
        <v>82</v>
      </c>
    </row>
    <row r="253" spans="1:5" x14ac:dyDescent="0.25">
      <c r="A253" t="s">
        <v>733</v>
      </c>
      <c r="B253">
        <v>38.646549</v>
      </c>
      <c r="C253" t="s">
        <v>928</v>
      </c>
      <c r="D253" t="s">
        <v>82</v>
      </c>
    </row>
    <row r="254" spans="1:5" x14ac:dyDescent="0.25">
      <c r="A254" t="s">
        <v>734</v>
      </c>
      <c r="B254">
        <v>35.863439</v>
      </c>
      <c r="C254" t="s">
        <v>928</v>
      </c>
      <c r="D254" t="s">
        <v>82</v>
      </c>
      <c r="E254" t="s">
        <v>727</v>
      </c>
    </row>
    <row r="255" spans="1:5" x14ac:dyDescent="0.25">
      <c r="A255" t="s">
        <v>735</v>
      </c>
      <c r="B255">
        <v>33.228075000000004</v>
      </c>
      <c r="C255" t="s">
        <v>928</v>
      </c>
      <c r="D255" t="s">
        <v>82</v>
      </c>
    </row>
    <row r="256" spans="1:5" x14ac:dyDescent="0.25">
      <c r="A256" t="s">
        <v>736</v>
      </c>
      <c r="B256">
        <v>27.649996000000009</v>
      </c>
      <c r="C256" t="s">
        <v>928</v>
      </c>
      <c r="D256" t="s">
        <v>82</v>
      </c>
    </row>
    <row r="257" spans="1:5" x14ac:dyDescent="0.25">
      <c r="A257" t="s">
        <v>327</v>
      </c>
      <c r="B257">
        <v>945.91888000000006</v>
      </c>
      <c r="C257" t="s">
        <v>928</v>
      </c>
      <c r="D257" t="s">
        <v>82</v>
      </c>
      <c r="E257" t="s">
        <v>737</v>
      </c>
    </row>
    <row r="258" spans="1:5" x14ac:dyDescent="0.25">
      <c r="A258" t="s">
        <v>328</v>
      </c>
      <c r="B258">
        <v>897</v>
      </c>
      <c r="C258" t="s">
        <v>928</v>
      </c>
      <c r="D258" t="s">
        <v>82</v>
      </c>
    </row>
    <row r="259" spans="1:5" x14ac:dyDescent="0.25">
      <c r="A259" t="s">
        <v>329</v>
      </c>
      <c r="B259">
        <v>732</v>
      </c>
      <c r="C259" t="s">
        <v>928</v>
      </c>
      <c r="D259" t="s">
        <v>82</v>
      </c>
    </row>
    <row r="260" spans="1:5" x14ac:dyDescent="0.25">
      <c r="A260" s="71" t="s">
        <v>414</v>
      </c>
      <c r="B260">
        <v>110</v>
      </c>
      <c r="C260" t="s">
        <v>928</v>
      </c>
      <c r="D260" t="s">
        <v>82</v>
      </c>
      <c r="E260" t="s">
        <v>443</v>
      </c>
    </row>
    <row r="261" spans="1:5" x14ac:dyDescent="0.25">
      <c r="A261" s="71" t="s">
        <v>333</v>
      </c>
      <c r="B261">
        <v>90</v>
      </c>
      <c r="C261" t="s">
        <v>928</v>
      </c>
      <c r="D261" t="s">
        <v>82</v>
      </c>
    </row>
    <row r="262" spans="1:5" x14ac:dyDescent="0.25">
      <c r="A262" s="71" t="s">
        <v>738</v>
      </c>
      <c r="B262">
        <v>83</v>
      </c>
      <c r="C262" t="s">
        <v>928</v>
      </c>
      <c r="D262" t="s">
        <v>82</v>
      </c>
    </row>
    <row r="263" spans="1:5" x14ac:dyDescent="0.25">
      <c r="A263" s="71" t="s">
        <v>739</v>
      </c>
      <c r="B263">
        <v>80</v>
      </c>
      <c r="C263" t="s">
        <v>928</v>
      </c>
      <c r="D263" t="s">
        <v>82</v>
      </c>
    </row>
    <row r="264" spans="1:5" x14ac:dyDescent="0.25">
      <c r="A264" s="71" t="s">
        <v>740</v>
      </c>
      <c r="B264">
        <v>130</v>
      </c>
      <c r="C264" t="s">
        <v>928</v>
      </c>
      <c r="D264" t="s">
        <v>82</v>
      </c>
      <c r="E264" t="s">
        <v>741</v>
      </c>
    </row>
    <row r="265" spans="1:5" x14ac:dyDescent="0.25">
      <c r="A265" s="71" t="s">
        <v>742</v>
      </c>
      <c r="B265">
        <v>110</v>
      </c>
      <c r="C265" t="s">
        <v>928</v>
      </c>
      <c r="D265" t="s">
        <v>82</v>
      </c>
      <c r="E265" t="s">
        <v>743</v>
      </c>
    </row>
    <row r="266" spans="1:5" x14ac:dyDescent="0.25">
      <c r="A266" s="71" t="s">
        <v>744</v>
      </c>
      <c r="B266">
        <v>97</v>
      </c>
      <c r="C266" t="s">
        <v>928</v>
      </c>
      <c r="D266" t="s">
        <v>82</v>
      </c>
    </row>
    <row r="267" spans="1:5" x14ac:dyDescent="0.25">
      <c r="A267" s="71" t="s">
        <v>745</v>
      </c>
      <c r="B267">
        <v>90</v>
      </c>
      <c r="C267" t="s">
        <v>928</v>
      </c>
      <c r="D267" t="s">
        <v>82</v>
      </c>
    </row>
    <row r="268" spans="1:5" x14ac:dyDescent="0.25">
      <c r="A268" s="71" t="s">
        <v>746</v>
      </c>
      <c r="B268">
        <v>170</v>
      </c>
      <c r="C268" t="s">
        <v>928</v>
      </c>
      <c r="D268" t="s">
        <v>82</v>
      </c>
    </row>
    <row r="269" spans="1:5" x14ac:dyDescent="0.25">
      <c r="A269" s="71" t="s">
        <v>747</v>
      </c>
      <c r="B269">
        <v>140</v>
      </c>
      <c r="C269" t="s">
        <v>928</v>
      </c>
      <c r="D269" t="s">
        <v>82</v>
      </c>
      <c r="E269" t="s">
        <v>727</v>
      </c>
    </row>
    <row r="270" spans="1:5" x14ac:dyDescent="0.25">
      <c r="A270" s="71" t="s">
        <v>748</v>
      </c>
      <c r="B270">
        <v>126</v>
      </c>
      <c r="C270" t="s">
        <v>928</v>
      </c>
      <c r="D270" t="s">
        <v>82</v>
      </c>
    </row>
    <row r="271" spans="1:5" x14ac:dyDescent="0.25">
      <c r="A271" s="71" t="s">
        <v>749</v>
      </c>
      <c r="B271">
        <v>120</v>
      </c>
      <c r="C271" t="s">
        <v>928</v>
      </c>
      <c r="D271" t="s">
        <v>82</v>
      </c>
    </row>
    <row r="272" spans="1:5" x14ac:dyDescent="0.25">
      <c r="A272" s="71" t="s">
        <v>750</v>
      </c>
      <c r="B272">
        <v>200</v>
      </c>
      <c r="C272" t="s">
        <v>928</v>
      </c>
      <c r="D272" t="s">
        <v>82</v>
      </c>
    </row>
    <row r="273" spans="1:5" x14ac:dyDescent="0.25">
      <c r="A273" s="71" t="s">
        <v>751</v>
      </c>
      <c r="B273">
        <v>170</v>
      </c>
      <c r="C273" t="s">
        <v>928</v>
      </c>
      <c r="D273" t="s">
        <v>82</v>
      </c>
    </row>
    <row r="274" spans="1:5" x14ac:dyDescent="0.25">
      <c r="A274" s="71" t="s">
        <v>752</v>
      </c>
      <c r="B274">
        <v>151</v>
      </c>
      <c r="C274" t="s">
        <v>928</v>
      </c>
      <c r="D274" t="s">
        <v>82</v>
      </c>
    </row>
    <row r="275" spans="1:5" x14ac:dyDescent="0.25">
      <c r="A275" s="71" t="s">
        <v>753</v>
      </c>
      <c r="B275">
        <v>140</v>
      </c>
      <c r="C275" t="s">
        <v>928</v>
      </c>
      <c r="D275" t="s">
        <v>82</v>
      </c>
    </row>
    <row r="276" spans="1:5" x14ac:dyDescent="0.25">
      <c r="A276" s="71" t="s">
        <v>754</v>
      </c>
      <c r="B276">
        <v>200</v>
      </c>
      <c r="C276" t="s">
        <v>928</v>
      </c>
      <c r="D276" t="s">
        <v>82</v>
      </c>
    </row>
    <row r="277" spans="1:5" x14ac:dyDescent="0.25">
      <c r="A277" s="71" t="s">
        <v>755</v>
      </c>
      <c r="B277">
        <v>148</v>
      </c>
      <c r="C277" t="s">
        <v>928</v>
      </c>
      <c r="D277" t="s">
        <v>82</v>
      </c>
    </row>
    <row r="278" spans="1:5" x14ac:dyDescent="0.25">
      <c r="A278" s="71" t="s">
        <v>756</v>
      </c>
      <c r="B278">
        <v>128</v>
      </c>
      <c r="C278" t="s">
        <v>928</v>
      </c>
      <c r="D278" t="s">
        <v>82</v>
      </c>
      <c r="E278" t="s">
        <v>727</v>
      </c>
    </row>
    <row r="279" spans="1:5" x14ac:dyDescent="0.25">
      <c r="A279" s="71" t="s">
        <v>757</v>
      </c>
      <c r="B279">
        <v>104</v>
      </c>
      <c r="C279" t="s">
        <v>928</v>
      </c>
      <c r="D279" t="s">
        <v>82</v>
      </c>
    </row>
    <row r="280" spans="1:5" x14ac:dyDescent="0.25">
      <c r="A280" s="71" t="s">
        <v>758</v>
      </c>
      <c r="B280">
        <v>87.935031847133757</v>
      </c>
      <c r="C280" t="s">
        <v>928</v>
      </c>
      <c r="D280" t="s">
        <v>82</v>
      </c>
    </row>
    <row r="281" spans="1:5" x14ac:dyDescent="0.25">
      <c r="A281" s="71" t="s">
        <v>759</v>
      </c>
      <c r="B281">
        <v>194</v>
      </c>
      <c r="C281" t="s">
        <v>928</v>
      </c>
      <c r="D281" t="s">
        <v>82</v>
      </c>
    </row>
    <row r="282" spans="1:5" x14ac:dyDescent="0.25">
      <c r="A282" s="71" t="s">
        <v>760</v>
      </c>
      <c r="B282">
        <v>164</v>
      </c>
      <c r="C282" t="s">
        <v>928</v>
      </c>
      <c r="D282" t="s">
        <v>82</v>
      </c>
    </row>
    <row r="283" spans="1:5" x14ac:dyDescent="0.25">
      <c r="A283" s="71" t="s">
        <v>761</v>
      </c>
      <c r="B283">
        <v>150</v>
      </c>
      <c r="C283" t="s">
        <v>928</v>
      </c>
      <c r="D283" t="s">
        <v>82</v>
      </c>
    </row>
    <row r="284" spans="1:5" x14ac:dyDescent="0.25">
      <c r="A284" s="71" t="s">
        <v>762</v>
      </c>
      <c r="B284">
        <v>142.53038216560509</v>
      </c>
      <c r="C284" t="s">
        <v>928</v>
      </c>
      <c r="D284" t="s">
        <v>82</v>
      </c>
    </row>
    <row r="285" spans="1:5" x14ac:dyDescent="0.25">
      <c r="A285" s="71" t="s">
        <v>763</v>
      </c>
      <c r="B285">
        <v>243.9</v>
      </c>
      <c r="C285" t="s">
        <v>928</v>
      </c>
      <c r="D285" t="s">
        <v>82</v>
      </c>
    </row>
    <row r="286" spans="1:5" x14ac:dyDescent="0.25">
      <c r="A286" t="s">
        <v>764</v>
      </c>
      <c r="B286">
        <v>9065.0007000000005</v>
      </c>
      <c r="C286" t="s">
        <v>928</v>
      </c>
      <c r="D286" t="s">
        <v>82</v>
      </c>
    </row>
    <row r="287" spans="1:5" x14ac:dyDescent="0.25">
      <c r="A287" t="s">
        <v>364</v>
      </c>
      <c r="B287">
        <v>15193.568656260601</v>
      </c>
      <c r="C287" t="s">
        <v>928</v>
      </c>
      <c r="D287" t="s">
        <v>82</v>
      </c>
    </row>
    <row r="288" spans="1:5" x14ac:dyDescent="0.25">
      <c r="A288" t="s">
        <v>765</v>
      </c>
      <c r="B288">
        <v>1239.4803000000002</v>
      </c>
      <c r="C288" t="s">
        <v>928</v>
      </c>
      <c r="D288" t="s">
        <v>82</v>
      </c>
    </row>
    <row r="289" spans="1:5" x14ac:dyDescent="0.25">
      <c r="A289" t="s">
        <v>766</v>
      </c>
      <c r="B289">
        <v>3486</v>
      </c>
      <c r="C289" t="s">
        <v>928</v>
      </c>
      <c r="D289" t="s">
        <v>82</v>
      </c>
    </row>
    <row r="290" spans="1:5" x14ac:dyDescent="0.25">
      <c r="A290" t="s">
        <v>767</v>
      </c>
      <c r="B290">
        <v>1810</v>
      </c>
      <c r="C290" t="s">
        <v>928</v>
      </c>
      <c r="D290" t="s">
        <v>82</v>
      </c>
      <c r="E290" t="s">
        <v>727</v>
      </c>
    </row>
    <row r="291" spans="1:5" x14ac:dyDescent="0.25">
      <c r="A291" t="s">
        <v>768</v>
      </c>
      <c r="B291">
        <v>2550</v>
      </c>
      <c r="C291" t="s">
        <v>928</v>
      </c>
      <c r="D291" t="s">
        <v>82</v>
      </c>
    </row>
    <row r="292" spans="1:5" x14ac:dyDescent="0.25">
      <c r="A292" t="s">
        <v>769</v>
      </c>
      <c r="B292">
        <v>2200</v>
      </c>
      <c r="C292" t="s">
        <v>928</v>
      </c>
      <c r="D292" t="s">
        <v>82</v>
      </c>
    </row>
    <row r="293" spans="1:5" x14ac:dyDescent="0.25">
      <c r="A293" t="s">
        <v>770</v>
      </c>
      <c r="B293">
        <v>2544.2689999999998</v>
      </c>
      <c r="C293" t="s">
        <v>928</v>
      </c>
      <c r="D293" t="s">
        <v>82</v>
      </c>
    </row>
    <row r="294" spans="1:5" x14ac:dyDescent="0.25">
      <c r="A294" t="s">
        <v>771</v>
      </c>
      <c r="B294">
        <v>1980</v>
      </c>
      <c r="C294" t="s">
        <v>928</v>
      </c>
      <c r="D294" t="s">
        <v>82</v>
      </c>
      <c r="E294" t="s">
        <v>727</v>
      </c>
    </row>
    <row r="295" spans="1:5" x14ac:dyDescent="0.25">
      <c r="A295" t="s">
        <v>772</v>
      </c>
      <c r="B295">
        <v>2550</v>
      </c>
      <c r="C295" t="s">
        <v>928</v>
      </c>
      <c r="D295" t="s">
        <v>82</v>
      </c>
    </row>
    <row r="296" spans="1:5" x14ac:dyDescent="0.25">
      <c r="A296" t="s">
        <v>773</v>
      </c>
      <c r="B296">
        <v>2350</v>
      </c>
      <c r="C296" t="s">
        <v>928</v>
      </c>
      <c r="D296" t="s">
        <v>82</v>
      </c>
    </row>
    <row r="297" spans="1:5" x14ac:dyDescent="0.25">
      <c r="A297" t="s">
        <v>774</v>
      </c>
      <c r="B297">
        <v>-1450</v>
      </c>
      <c r="C297" t="s">
        <v>928</v>
      </c>
      <c r="D297" t="s">
        <v>82</v>
      </c>
      <c r="E297" t="s">
        <v>775</v>
      </c>
    </row>
    <row r="298" spans="1:5" x14ac:dyDescent="0.25">
      <c r="A298" t="s">
        <v>776</v>
      </c>
      <c r="B298">
        <v>190</v>
      </c>
      <c r="C298" t="s">
        <v>928</v>
      </c>
      <c r="D298" t="s">
        <v>82</v>
      </c>
      <c r="E298" t="s">
        <v>777</v>
      </c>
    </row>
    <row r="299" spans="1:5" x14ac:dyDescent="0.25">
      <c r="A299" t="s">
        <v>778</v>
      </c>
      <c r="B299">
        <v>1178</v>
      </c>
      <c r="C299" t="s">
        <v>928</v>
      </c>
      <c r="D299" t="s">
        <v>82</v>
      </c>
      <c r="E299" t="s">
        <v>727</v>
      </c>
    </row>
    <row r="300" spans="1:5" x14ac:dyDescent="0.25">
      <c r="A300" t="s">
        <v>779</v>
      </c>
      <c r="B300">
        <v>2499.0796</v>
      </c>
      <c r="C300" t="s">
        <v>928</v>
      </c>
      <c r="D300" t="s">
        <v>82</v>
      </c>
    </row>
    <row r="301" spans="1:5" x14ac:dyDescent="0.25">
      <c r="A301" t="s">
        <v>780</v>
      </c>
      <c r="B301">
        <v>2453.962</v>
      </c>
      <c r="C301" t="s">
        <v>928</v>
      </c>
      <c r="D301" t="s">
        <v>82</v>
      </c>
    </row>
    <row r="302" spans="1:5" x14ac:dyDescent="0.25">
      <c r="A302" t="s">
        <v>212</v>
      </c>
      <c r="B302">
        <v>833.56313999999998</v>
      </c>
      <c r="C302" t="s">
        <v>928</v>
      </c>
      <c r="D302" t="s">
        <v>82</v>
      </c>
    </row>
    <row r="303" spans="1:5" x14ac:dyDescent="0.25">
      <c r="A303" s="73" t="s">
        <v>911</v>
      </c>
      <c r="B303" s="74">
        <v>64.97749060000001</v>
      </c>
      <c r="C303" s="75" t="s">
        <v>927</v>
      </c>
      <c r="D303" t="s">
        <v>219</v>
      </c>
      <c r="E303" s="77" t="s">
        <v>845</v>
      </c>
    </row>
    <row r="304" spans="1:5" x14ac:dyDescent="0.25">
      <c r="A304" s="73" t="s">
        <v>912</v>
      </c>
      <c r="B304" s="76">
        <v>78.085976250000002</v>
      </c>
      <c r="C304" s="75" t="s">
        <v>927</v>
      </c>
      <c r="D304" t="s">
        <v>219</v>
      </c>
      <c r="E304" s="78" t="s">
        <v>845</v>
      </c>
    </row>
    <row r="305" spans="1:5" x14ac:dyDescent="0.25">
      <c r="A305" s="73" t="s">
        <v>913</v>
      </c>
      <c r="B305" s="74">
        <v>84.279081650000009</v>
      </c>
      <c r="C305" s="75" t="s">
        <v>927</v>
      </c>
      <c r="D305" t="s">
        <v>219</v>
      </c>
      <c r="E305" s="77" t="s">
        <v>845</v>
      </c>
    </row>
    <row r="306" spans="1:5" x14ac:dyDescent="0.25">
      <c r="A306" s="73" t="s">
        <v>914</v>
      </c>
      <c r="B306" s="76">
        <v>97.373730500000008</v>
      </c>
      <c r="C306" s="75" t="s">
        <v>927</v>
      </c>
      <c r="D306" t="s">
        <v>219</v>
      </c>
      <c r="E306" s="78" t="s">
        <v>845</v>
      </c>
    </row>
    <row r="307" spans="1:5" x14ac:dyDescent="0.25">
      <c r="A307" s="73" t="s">
        <v>915</v>
      </c>
      <c r="B307" s="74">
        <v>110.42722145</v>
      </c>
      <c r="C307" s="75" t="s">
        <v>927</v>
      </c>
      <c r="D307" t="s">
        <v>219</v>
      </c>
      <c r="E307" s="77" t="s">
        <v>845</v>
      </c>
    </row>
    <row r="308" spans="1:5" x14ac:dyDescent="0.25">
      <c r="A308" s="73" t="s">
        <v>916</v>
      </c>
      <c r="B308" s="76">
        <v>79.429224500000004</v>
      </c>
      <c r="C308" s="75" t="s">
        <v>927</v>
      </c>
      <c r="D308" t="s">
        <v>219</v>
      </c>
      <c r="E308" s="78" t="s">
        <v>845</v>
      </c>
    </row>
    <row r="309" spans="1:5" x14ac:dyDescent="0.25">
      <c r="A309" s="73" t="s">
        <v>917</v>
      </c>
      <c r="B309" s="74">
        <v>92.537592650000008</v>
      </c>
      <c r="C309" s="75" t="s">
        <v>927</v>
      </c>
      <c r="D309" t="s">
        <v>219</v>
      </c>
      <c r="E309" s="77" t="s">
        <v>845</v>
      </c>
    </row>
    <row r="310" spans="1:5" x14ac:dyDescent="0.25">
      <c r="A310" s="73" t="s">
        <v>920</v>
      </c>
      <c r="B310" s="76">
        <v>99.078058600000006</v>
      </c>
      <c r="C310" s="75" t="s">
        <v>927</v>
      </c>
      <c r="D310" t="s">
        <v>219</v>
      </c>
      <c r="E310" s="78" t="s">
        <v>845</v>
      </c>
    </row>
    <row r="311" spans="1:5" x14ac:dyDescent="0.25">
      <c r="A311" s="73" t="s">
        <v>919</v>
      </c>
      <c r="B311" s="74">
        <v>112.1727051</v>
      </c>
      <c r="C311" s="75" t="s">
        <v>927</v>
      </c>
      <c r="D311" t="s">
        <v>219</v>
      </c>
      <c r="E311" s="77" t="s">
        <v>845</v>
      </c>
    </row>
    <row r="312" spans="1:5" x14ac:dyDescent="0.25">
      <c r="A312" s="73" t="s">
        <v>918</v>
      </c>
      <c r="B312" s="76">
        <v>125.22619840000002</v>
      </c>
      <c r="C312" s="75" t="s">
        <v>927</v>
      </c>
      <c r="D312" t="s">
        <v>219</v>
      </c>
      <c r="E312" s="78" t="s">
        <v>845</v>
      </c>
    </row>
    <row r="313" spans="1:5" x14ac:dyDescent="0.25">
      <c r="A313" s="84" t="s">
        <v>937</v>
      </c>
      <c r="B313">
        <f>B286*'Emission Factors'!K5*0.0015</f>
        <v>36.713252835000006</v>
      </c>
      <c r="C313" s="85" t="s">
        <v>938</v>
      </c>
      <c r="D313" t="s">
        <v>127</v>
      </c>
      <c r="E313" s="86" t="s">
        <v>939</v>
      </c>
    </row>
  </sheetData>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35300-37AF-41DF-BAFE-CD3ADAF03BAE}">
  <sheetPr codeName="Sheet6"/>
  <dimension ref="A1:K45"/>
  <sheetViews>
    <sheetView workbookViewId="0">
      <selection activeCell="P15" sqref="P15"/>
    </sheetView>
  </sheetViews>
  <sheetFormatPr defaultRowHeight="15" x14ac:dyDescent="0.25"/>
  <cols>
    <col min="1" max="11" width="26.42578125" customWidth="1"/>
    <col min="12" max="12" width="28.7109375" bestFit="1" customWidth="1"/>
  </cols>
  <sheetData>
    <row r="1" spans="1:11" x14ac:dyDescent="0.25">
      <c r="A1">
        <v>1</v>
      </c>
      <c r="B1">
        <v>2</v>
      </c>
      <c r="C1">
        <v>3</v>
      </c>
      <c r="D1">
        <v>4</v>
      </c>
      <c r="E1">
        <v>5</v>
      </c>
      <c r="F1">
        <v>6</v>
      </c>
      <c r="G1">
        <v>7</v>
      </c>
      <c r="H1">
        <v>8</v>
      </c>
      <c r="J1">
        <v>9</v>
      </c>
      <c r="K1">
        <v>10</v>
      </c>
    </row>
    <row r="2" spans="1:11" x14ac:dyDescent="0.25">
      <c r="A2" s="51" t="s">
        <v>427</v>
      </c>
      <c r="B2" s="51" t="s">
        <v>836</v>
      </c>
      <c r="C2" s="51" t="s">
        <v>837</v>
      </c>
      <c r="D2" s="51" t="s">
        <v>838</v>
      </c>
      <c r="E2" s="51" t="s">
        <v>428</v>
      </c>
      <c r="F2" s="51" t="s">
        <v>24</v>
      </c>
      <c r="G2" s="51" t="s">
        <v>839</v>
      </c>
      <c r="H2" s="51" t="s">
        <v>30</v>
      </c>
      <c r="I2" s="51" t="s">
        <v>840</v>
      </c>
      <c r="J2" s="51" t="s">
        <v>841</v>
      </c>
      <c r="K2" s="51" t="s">
        <v>842</v>
      </c>
    </row>
    <row r="3" spans="1:11" s="2" customFormat="1" x14ac:dyDescent="0.25">
      <c r="A3" s="52" t="s">
        <v>165</v>
      </c>
      <c r="B3" s="53" t="s">
        <v>841</v>
      </c>
      <c r="C3" s="53"/>
      <c r="D3" s="53" t="s">
        <v>155</v>
      </c>
      <c r="E3" s="54">
        <v>4837.5</v>
      </c>
      <c r="F3" s="55" t="s">
        <v>843</v>
      </c>
      <c r="G3" s="53" t="s">
        <v>844</v>
      </c>
      <c r="H3" s="56"/>
      <c r="I3" s="53"/>
      <c r="J3" s="57"/>
      <c r="K3" s="58"/>
    </row>
    <row r="4" spans="1:11" s="2" customFormat="1" ht="30" x14ac:dyDescent="0.25">
      <c r="A4" s="52" t="s">
        <v>19</v>
      </c>
      <c r="B4" s="53" t="s">
        <v>841</v>
      </c>
      <c r="C4" s="53"/>
      <c r="D4" s="53"/>
      <c r="E4" s="54">
        <v>9.07</v>
      </c>
      <c r="F4" s="55" t="s">
        <v>449</v>
      </c>
      <c r="G4" s="53" t="s">
        <v>845</v>
      </c>
      <c r="H4" s="56"/>
      <c r="I4" s="53"/>
      <c r="J4" s="52" t="s">
        <v>846</v>
      </c>
      <c r="K4" s="53">
        <v>0.8</v>
      </c>
    </row>
    <row r="5" spans="1:11" s="2" customFormat="1" ht="30" x14ac:dyDescent="0.25">
      <c r="A5" s="52" t="s">
        <v>245</v>
      </c>
      <c r="B5" s="53" t="s">
        <v>841</v>
      </c>
      <c r="C5" s="53" t="s">
        <v>847</v>
      </c>
      <c r="D5" s="53" t="s">
        <v>81</v>
      </c>
      <c r="E5" s="54">
        <v>53.287744000000004</v>
      </c>
      <c r="F5" s="55" t="s">
        <v>848</v>
      </c>
      <c r="G5" s="53" t="s">
        <v>845</v>
      </c>
      <c r="H5" s="56"/>
      <c r="I5" s="53"/>
      <c r="J5" s="52" t="s">
        <v>19</v>
      </c>
      <c r="K5" s="53">
        <v>2.7</v>
      </c>
    </row>
    <row r="6" spans="1:11" s="2" customFormat="1" x14ac:dyDescent="0.25">
      <c r="A6" s="52" t="s">
        <v>39</v>
      </c>
      <c r="B6" s="53" t="s">
        <v>849</v>
      </c>
      <c r="C6" s="53"/>
      <c r="D6" s="53"/>
      <c r="E6" s="54">
        <v>1.25E-4</v>
      </c>
      <c r="F6" s="55" t="s">
        <v>850</v>
      </c>
      <c r="G6" s="53" t="s">
        <v>851</v>
      </c>
      <c r="H6" s="56"/>
      <c r="I6" s="53"/>
      <c r="J6" s="52" t="s">
        <v>852</v>
      </c>
      <c r="K6" s="53">
        <v>8.9</v>
      </c>
    </row>
    <row r="7" spans="1:11" s="2" customFormat="1" ht="30" x14ac:dyDescent="0.25">
      <c r="A7" s="52" t="s">
        <v>249</v>
      </c>
      <c r="B7" s="53" t="s">
        <v>841</v>
      </c>
      <c r="C7" s="53"/>
      <c r="D7" s="53" t="s">
        <v>853</v>
      </c>
      <c r="E7" s="54">
        <v>0.38388948000000001</v>
      </c>
      <c r="F7" s="55" t="s">
        <v>449</v>
      </c>
      <c r="G7" s="53" t="s">
        <v>845</v>
      </c>
      <c r="H7" s="56"/>
      <c r="I7" s="53"/>
      <c r="J7" s="52" t="s">
        <v>81</v>
      </c>
      <c r="K7" s="53">
        <v>2.35</v>
      </c>
    </row>
    <row r="8" spans="1:11" s="2" customFormat="1" ht="30" x14ac:dyDescent="0.25">
      <c r="A8" s="52" t="s">
        <v>214</v>
      </c>
      <c r="B8" s="53" t="s">
        <v>841</v>
      </c>
      <c r="C8" s="53"/>
      <c r="D8" s="53" t="s">
        <v>450</v>
      </c>
      <c r="E8" s="54">
        <v>0.94591888000000002</v>
      </c>
      <c r="F8" s="55" t="s">
        <v>854</v>
      </c>
      <c r="G8" s="53" t="s">
        <v>845</v>
      </c>
      <c r="H8" s="56"/>
      <c r="I8" s="53"/>
      <c r="J8" s="52" t="s">
        <v>204</v>
      </c>
      <c r="K8" s="53">
        <v>1.4</v>
      </c>
    </row>
    <row r="9" spans="1:11" s="2" customFormat="1" ht="30" x14ac:dyDescent="0.25">
      <c r="A9" s="52" t="s">
        <v>278</v>
      </c>
      <c r="B9" s="53" t="s">
        <v>841</v>
      </c>
      <c r="C9" s="53"/>
      <c r="D9" s="53"/>
      <c r="E9" s="54">
        <v>4.1099999999999998E-2</v>
      </c>
      <c r="F9" s="55" t="s">
        <v>449</v>
      </c>
      <c r="G9" s="59" t="s">
        <v>855</v>
      </c>
      <c r="H9" s="56"/>
      <c r="I9" s="53"/>
      <c r="J9" s="52" t="s">
        <v>856</v>
      </c>
      <c r="K9" s="53">
        <v>0.55000000000000004</v>
      </c>
    </row>
    <row r="10" spans="1:11" s="2" customFormat="1" ht="30" x14ac:dyDescent="0.25">
      <c r="A10" s="52" t="s">
        <v>20</v>
      </c>
      <c r="B10" s="53" t="s">
        <v>841</v>
      </c>
      <c r="C10" s="53"/>
      <c r="D10" s="53" t="s">
        <v>857</v>
      </c>
      <c r="E10" s="54">
        <v>0.16009999999999999</v>
      </c>
      <c r="F10" s="55" t="s">
        <v>449</v>
      </c>
      <c r="G10" s="53" t="s">
        <v>858</v>
      </c>
      <c r="H10" s="56"/>
      <c r="I10" s="53"/>
      <c r="J10" s="52" t="s">
        <v>859</v>
      </c>
      <c r="K10" s="53">
        <v>0.9</v>
      </c>
    </row>
    <row r="11" spans="1:11" s="2" customFormat="1" ht="30" x14ac:dyDescent="0.25">
      <c r="A11" s="52" t="s">
        <v>859</v>
      </c>
      <c r="B11" s="53" t="s">
        <v>841</v>
      </c>
      <c r="C11" s="53"/>
      <c r="D11" s="53" t="s">
        <v>859</v>
      </c>
      <c r="E11" s="54">
        <v>1.8022037999999997E-2</v>
      </c>
      <c r="F11" s="55" t="s">
        <v>449</v>
      </c>
      <c r="G11" s="53" t="s">
        <v>845</v>
      </c>
      <c r="H11" s="56"/>
      <c r="I11" s="53"/>
      <c r="J11" s="52" t="s">
        <v>860</v>
      </c>
      <c r="K11" s="53">
        <v>1.6</v>
      </c>
    </row>
    <row r="12" spans="1:11" s="2" customFormat="1" ht="30" x14ac:dyDescent="0.25">
      <c r="A12" s="52" t="s">
        <v>204</v>
      </c>
      <c r="B12" s="53" t="s">
        <v>841</v>
      </c>
      <c r="C12" s="53"/>
      <c r="D12" s="53"/>
      <c r="E12" s="54">
        <v>1.9935664000000001E-3</v>
      </c>
      <c r="F12" s="55" t="s">
        <v>449</v>
      </c>
      <c r="G12" s="53" t="s">
        <v>845</v>
      </c>
      <c r="H12" s="56"/>
      <c r="I12" s="53"/>
      <c r="J12" s="52" t="s">
        <v>861</v>
      </c>
      <c r="K12" s="53">
        <v>1.4</v>
      </c>
    </row>
    <row r="13" spans="1:11" s="2" customFormat="1" ht="45" x14ac:dyDescent="0.25">
      <c r="A13" s="52" t="s">
        <v>191</v>
      </c>
      <c r="B13" s="53" t="s">
        <v>841</v>
      </c>
      <c r="C13" s="53"/>
      <c r="D13" s="53" t="s">
        <v>191</v>
      </c>
      <c r="E13" s="54">
        <v>3.0714340000000001E-3</v>
      </c>
      <c r="F13" s="55" t="s">
        <v>449</v>
      </c>
      <c r="G13" s="53" t="s">
        <v>845</v>
      </c>
      <c r="H13" s="56"/>
      <c r="I13" s="53"/>
      <c r="J13" s="52" t="s">
        <v>862</v>
      </c>
      <c r="K13" s="53">
        <v>1.65</v>
      </c>
    </row>
    <row r="14" spans="1:11" s="2" customFormat="1" ht="60" x14ac:dyDescent="0.25">
      <c r="A14" s="52" t="s">
        <v>154</v>
      </c>
      <c r="B14" s="53" t="s">
        <v>279</v>
      </c>
      <c r="C14" s="53"/>
      <c r="D14" s="53" t="s">
        <v>863</v>
      </c>
      <c r="E14" s="54">
        <v>453.44177689999998</v>
      </c>
      <c r="F14" s="55" t="s">
        <v>864</v>
      </c>
      <c r="G14" s="53" t="s">
        <v>844</v>
      </c>
      <c r="H14" s="56"/>
      <c r="I14" s="53"/>
      <c r="J14" s="52" t="s">
        <v>865</v>
      </c>
      <c r="K14" s="53">
        <v>1.6</v>
      </c>
    </row>
    <row r="15" spans="1:11" s="2" customFormat="1" ht="60" x14ac:dyDescent="0.25">
      <c r="A15" s="52" t="s">
        <v>152</v>
      </c>
      <c r="B15" s="53" t="s">
        <v>279</v>
      </c>
      <c r="C15" s="53"/>
      <c r="D15" s="53" t="s">
        <v>863</v>
      </c>
      <c r="E15" s="54">
        <v>246.40663599999999</v>
      </c>
      <c r="F15" s="55" t="s">
        <v>864</v>
      </c>
      <c r="G15" s="53" t="s">
        <v>844</v>
      </c>
      <c r="H15" s="56"/>
      <c r="I15" s="53"/>
      <c r="J15" s="52" t="s">
        <v>720</v>
      </c>
      <c r="K15" s="53">
        <v>1.6</v>
      </c>
    </row>
    <row r="16" spans="1:11" s="2" customFormat="1" ht="60" x14ac:dyDescent="0.25">
      <c r="A16" s="52" t="s">
        <v>145</v>
      </c>
      <c r="B16" s="53" t="s">
        <v>279</v>
      </c>
      <c r="C16" s="53"/>
      <c r="D16" s="53" t="s">
        <v>863</v>
      </c>
      <c r="E16" s="54">
        <v>18.480497700000001</v>
      </c>
      <c r="F16" s="55" t="s">
        <v>864</v>
      </c>
      <c r="G16" s="53" t="s">
        <v>844</v>
      </c>
      <c r="H16" s="56"/>
      <c r="I16" s="53"/>
      <c r="J16" s="52" t="s">
        <v>450</v>
      </c>
      <c r="K16" s="53">
        <v>3.2</v>
      </c>
    </row>
    <row r="17" spans="1:11" s="2" customFormat="1" ht="60" x14ac:dyDescent="0.25">
      <c r="A17" s="52" t="s">
        <v>148</v>
      </c>
      <c r="B17" s="53" t="s">
        <v>279</v>
      </c>
      <c r="C17" s="53"/>
      <c r="D17" s="53" t="s">
        <v>863</v>
      </c>
      <c r="E17" s="54">
        <v>72.850657600000005</v>
      </c>
      <c r="F17" s="55" t="s">
        <v>864</v>
      </c>
      <c r="G17" s="53" t="s">
        <v>844</v>
      </c>
      <c r="H17" s="56"/>
      <c r="I17" s="53"/>
      <c r="J17" s="52" t="s">
        <v>866</v>
      </c>
      <c r="K17" s="53">
        <v>0.8</v>
      </c>
    </row>
    <row r="18" spans="1:11" s="2" customFormat="1" ht="60" x14ac:dyDescent="0.25">
      <c r="A18" s="52" t="s">
        <v>150</v>
      </c>
      <c r="B18" s="53" t="s">
        <v>279</v>
      </c>
      <c r="C18" s="53"/>
      <c r="D18" s="53" t="s">
        <v>863</v>
      </c>
      <c r="E18" s="54">
        <v>133.91665</v>
      </c>
      <c r="F18" s="55" t="s">
        <v>864</v>
      </c>
      <c r="G18" s="53" t="s">
        <v>844</v>
      </c>
      <c r="H18" s="56"/>
      <c r="I18" s="53"/>
      <c r="J18" s="52" t="s">
        <v>201</v>
      </c>
      <c r="K18" s="53">
        <v>1.5</v>
      </c>
    </row>
    <row r="19" spans="1:11" s="2" customFormat="1" x14ac:dyDescent="0.25">
      <c r="A19" s="52" t="s">
        <v>35</v>
      </c>
      <c r="B19" s="53" t="s">
        <v>849</v>
      </c>
      <c r="C19" s="53"/>
      <c r="D19" s="53" t="s">
        <v>867</v>
      </c>
      <c r="E19" s="54">
        <v>2.6900000000000001E-3</v>
      </c>
      <c r="F19" s="55" t="s">
        <v>868</v>
      </c>
      <c r="G19" s="53" t="s">
        <v>851</v>
      </c>
      <c r="H19" s="56"/>
      <c r="I19" s="53"/>
      <c r="J19" s="52" t="s">
        <v>718</v>
      </c>
      <c r="K19" s="53">
        <v>1.7</v>
      </c>
    </row>
    <row r="20" spans="1:11" s="2" customFormat="1" ht="45" x14ac:dyDescent="0.25">
      <c r="A20" s="52" t="s">
        <v>49</v>
      </c>
      <c r="B20" s="53" t="s">
        <v>849</v>
      </c>
      <c r="C20" s="53"/>
      <c r="D20" s="53" t="s">
        <v>869</v>
      </c>
      <c r="E20" s="54">
        <v>0.1101</v>
      </c>
      <c r="F20" s="55" t="s">
        <v>870</v>
      </c>
      <c r="G20" s="53" t="s">
        <v>871</v>
      </c>
      <c r="H20" s="56" t="s">
        <v>872</v>
      </c>
      <c r="I20" s="53"/>
      <c r="J20" s="52" t="s">
        <v>873</v>
      </c>
      <c r="K20" s="53">
        <v>0.5</v>
      </c>
    </row>
    <row r="21" spans="1:11" s="2" customFormat="1" x14ac:dyDescent="0.25">
      <c r="A21" s="52" t="s">
        <v>141</v>
      </c>
      <c r="B21" s="53" t="s">
        <v>874</v>
      </c>
      <c r="C21" s="53"/>
      <c r="D21" s="53" t="s">
        <v>875</v>
      </c>
      <c r="E21" s="54">
        <v>1.0696293000000001</v>
      </c>
      <c r="F21" s="55" t="s">
        <v>434</v>
      </c>
      <c r="G21" s="53" t="s">
        <v>876</v>
      </c>
      <c r="H21" s="56"/>
      <c r="I21" s="53"/>
      <c r="J21" s="52" t="s">
        <v>877</v>
      </c>
      <c r="K21" s="53">
        <v>0.60199999999999998</v>
      </c>
    </row>
    <row r="22" spans="1:11" s="2" customFormat="1" ht="30" x14ac:dyDescent="0.25">
      <c r="A22" s="52" t="s">
        <v>878</v>
      </c>
      <c r="B22" s="53" t="s">
        <v>841</v>
      </c>
      <c r="C22" s="53"/>
      <c r="D22" s="53"/>
      <c r="E22" s="54">
        <v>0.372</v>
      </c>
      <c r="F22" s="55" t="s">
        <v>449</v>
      </c>
      <c r="G22" s="53" t="s">
        <v>845</v>
      </c>
      <c r="H22" s="56"/>
      <c r="I22" s="53"/>
      <c r="J22" s="52" t="s">
        <v>18</v>
      </c>
      <c r="K22" s="53">
        <v>7.85</v>
      </c>
    </row>
    <row r="23" spans="1:11" s="2" customFormat="1" ht="30" x14ac:dyDescent="0.25">
      <c r="A23" s="52" t="s">
        <v>879</v>
      </c>
      <c r="B23" s="53" t="s">
        <v>841</v>
      </c>
      <c r="C23" s="53" t="s">
        <v>880</v>
      </c>
      <c r="D23" s="53" t="s">
        <v>81</v>
      </c>
      <c r="E23" s="54">
        <v>33.799669999999999</v>
      </c>
      <c r="F23" s="55" t="s">
        <v>848</v>
      </c>
      <c r="G23" s="53" t="s">
        <v>845</v>
      </c>
      <c r="H23" s="56"/>
      <c r="I23" s="53"/>
      <c r="J23" s="57"/>
      <c r="K23" s="58"/>
    </row>
    <row r="24" spans="1:11" s="2" customFormat="1" ht="45" x14ac:dyDescent="0.25">
      <c r="A24" s="52" t="s">
        <v>881</v>
      </c>
      <c r="B24" s="53" t="s">
        <v>841</v>
      </c>
      <c r="C24" s="53" t="s">
        <v>882</v>
      </c>
      <c r="D24" s="53" t="s">
        <v>81</v>
      </c>
      <c r="E24" s="54">
        <v>39.377699</v>
      </c>
      <c r="F24" s="55" t="s">
        <v>848</v>
      </c>
      <c r="G24" s="53" t="s">
        <v>845</v>
      </c>
      <c r="H24" s="56"/>
      <c r="I24" s="53"/>
      <c r="J24" s="57"/>
      <c r="K24" s="58"/>
    </row>
    <row r="25" spans="1:11" s="2" customFormat="1" ht="30" x14ac:dyDescent="0.25">
      <c r="A25" s="52" t="s">
        <v>883</v>
      </c>
      <c r="B25" s="53" t="s">
        <v>841</v>
      </c>
      <c r="C25" s="53" t="s">
        <v>884</v>
      </c>
      <c r="D25" s="53" t="s">
        <v>81</v>
      </c>
      <c r="E25" s="54">
        <v>42.160876000000002</v>
      </c>
      <c r="F25" s="55" t="s">
        <v>848</v>
      </c>
      <c r="G25" s="53" t="s">
        <v>845</v>
      </c>
      <c r="H25" s="56"/>
      <c r="I25" s="53"/>
      <c r="J25" s="57"/>
      <c r="K25" s="58"/>
    </row>
    <row r="26" spans="1:11" s="2" customFormat="1" ht="30" x14ac:dyDescent="0.25">
      <c r="A26" s="52" t="s">
        <v>885</v>
      </c>
      <c r="B26" s="53" t="s">
        <v>841</v>
      </c>
      <c r="C26" s="53" t="s">
        <v>886</v>
      </c>
      <c r="D26" s="53" t="s">
        <v>81</v>
      </c>
      <c r="E26" s="54">
        <v>47.733066000000001</v>
      </c>
      <c r="F26" s="55" t="s">
        <v>848</v>
      </c>
      <c r="G26" s="53" t="s">
        <v>845</v>
      </c>
      <c r="H26" s="56"/>
      <c r="I26" s="53"/>
      <c r="J26" s="57"/>
      <c r="K26" s="58"/>
    </row>
    <row r="27" spans="1:11" s="2" customFormat="1" ht="30" x14ac:dyDescent="0.25">
      <c r="A27" s="52" t="s">
        <v>212</v>
      </c>
      <c r="B27" s="53" t="s">
        <v>841</v>
      </c>
      <c r="C27" s="53"/>
      <c r="D27" s="53" t="s">
        <v>887</v>
      </c>
      <c r="E27" s="54">
        <v>0.83356313999999998</v>
      </c>
      <c r="F27" s="55" t="s">
        <v>449</v>
      </c>
      <c r="G27" s="53" t="s">
        <v>845</v>
      </c>
      <c r="H27" s="56"/>
      <c r="I27" s="53"/>
      <c r="J27" s="52" t="s">
        <v>212</v>
      </c>
      <c r="K27" s="53">
        <v>1.58</v>
      </c>
    </row>
    <row r="28" spans="1:11" s="2" customFormat="1" x14ac:dyDescent="0.25">
      <c r="A28" s="52" t="s">
        <v>44</v>
      </c>
      <c r="B28" s="53" t="s">
        <v>849</v>
      </c>
      <c r="C28" s="53"/>
      <c r="D28" s="53"/>
      <c r="E28" s="54">
        <v>2.97E-3</v>
      </c>
      <c r="F28" s="55" t="s">
        <v>888</v>
      </c>
      <c r="G28" s="53" t="s">
        <v>851</v>
      </c>
      <c r="H28" s="56"/>
      <c r="I28" s="53"/>
      <c r="J28" s="52" t="s">
        <v>249</v>
      </c>
      <c r="K28" s="53">
        <v>1</v>
      </c>
    </row>
    <row r="29" spans="1:11" s="2" customFormat="1" x14ac:dyDescent="0.25">
      <c r="A29" s="52" t="s">
        <v>157</v>
      </c>
      <c r="B29" s="53" t="s">
        <v>841</v>
      </c>
      <c r="C29" s="53"/>
      <c r="D29" s="53" t="s">
        <v>155</v>
      </c>
      <c r="E29" s="54">
        <v>1830</v>
      </c>
      <c r="F29" s="55" t="s">
        <v>843</v>
      </c>
      <c r="G29" s="60" t="s">
        <v>844</v>
      </c>
      <c r="H29" s="56"/>
      <c r="I29" s="53"/>
      <c r="J29" s="52" t="s">
        <v>889</v>
      </c>
      <c r="K29" s="53">
        <v>7.1349999999999998</v>
      </c>
    </row>
    <row r="30" spans="1:11" s="2" customFormat="1" x14ac:dyDescent="0.25">
      <c r="A30" s="52" t="s">
        <v>167</v>
      </c>
      <c r="B30" s="53" t="s">
        <v>841</v>
      </c>
      <c r="C30" s="53"/>
      <c r="D30" s="53" t="s">
        <v>155</v>
      </c>
      <c r="E30" s="54">
        <v>7159.5</v>
      </c>
      <c r="F30" s="55" t="s">
        <v>843</v>
      </c>
      <c r="G30" s="53" t="s">
        <v>844</v>
      </c>
      <c r="H30" s="56"/>
      <c r="I30" s="53"/>
      <c r="J30" s="57"/>
      <c r="K30" s="58"/>
    </row>
    <row r="31" spans="1:11" s="2" customFormat="1" x14ac:dyDescent="0.25">
      <c r="A31" s="52" t="s">
        <v>161</v>
      </c>
      <c r="B31" s="53" t="s">
        <v>841</v>
      </c>
      <c r="C31" s="53"/>
      <c r="D31" s="53" t="s">
        <v>155</v>
      </c>
      <c r="E31" s="54">
        <v>1830</v>
      </c>
      <c r="F31" s="55" t="s">
        <v>843</v>
      </c>
      <c r="G31" s="53" t="s">
        <v>844</v>
      </c>
      <c r="H31" s="56"/>
      <c r="I31" s="53"/>
      <c r="J31" s="57"/>
      <c r="K31" s="58"/>
    </row>
    <row r="32" spans="1:11" s="2" customFormat="1" x14ac:dyDescent="0.25">
      <c r="A32" s="52" t="s">
        <v>163</v>
      </c>
      <c r="B32" s="53" t="s">
        <v>841</v>
      </c>
      <c r="C32" s="53"/>
      <c r="D32" s="53" t="s">
        <v>155</v>
      </c>
      <c r="E32" s="54">
        <v>3042.25</v>
      </c>
      <c r="F32" s="55" t="s">
        <v>843</v>
      </c>
      <c r="G32" s="53" t="s">
        <v>844</v>
      </c>
      <c r="H32" s="56"/>
      <c r="I32" s="60"/>
    </row>
    <row r="33" spans="1:11" s="2" customFormat="1" x14ac:dyDescent="0.25">
      <c r="A33" s="52" t="s">
        <v>47</v>
      </c>
      <c r="B33" s="53" t="s">
        <v>849</v>
      </c>
      <c r="C33" s="53"/>
      <c r="D33" s="53"/>
      <c r="E33" s="54">
        <v>0.19500000000000001</v>
      </c>
      <c r="F33" s="55" t="s">
        <v>870</v>
      </c>
      <c r="G33" s="53" t="s">
        <v>851</v>
      </c>
      <c r="H33" s="56"/>
      <c r="I33" s="60"/>
      <c r="J33" s="60" t="s">
        <v>20</v>
      </c>
      <c r="K33" s="60">
        <v>2.4</v>
      </c>
    </row>
    <row r="34" spans="1:11" s="2" customFormat="1" x14ac:dyDescent="0.25">
      <c r="A34" s="52" t="s">
        <v>41</v>
      </c>
      <c r="B34" s="53" t="s">
        <v>849</v>
      </c>
      <c r="C34" s="53"/>
      <c r="D34" s="53" t="s">
        <v>890</v>
      </c>
      <c r="E34" s="54">
        <v>2.4500000000000002</v>
      </c>
      <c r="F34" s="55" t="s">
        <v>850</v>
      </c>
      <c r="G34" s="53" t="s">
        <v>858</v>
      </c>
      <c r="H34" s="56"/>
      <c r="I34" s="60"/>
      <c r="J34" s="60" t="s">
        <v>891</v>
      </c>
      <c r="K34" s="60">
        <v>1.6</v>
      </c>
    </row>
    <row r="35" spans="1:11" s="2" customFormat="1" ht="30" x14ac:dyDescent="0.25">
      <c r="A35" s="52" t="s">
        <v>201</v>
      </c>
      <c r="B35" s="53" t="s">
        <v>841</v>
      </c>
      <c r="C35" s="53"/>
      <c r="D35" s="53" t="s">
        <v>201</v>
      </c>
      <c r="E35" s="54">
        <v>2.9982563E-3</v>
      </c>
      <c r="F35" s="55" t="s">
        <v>449</v>
      </c>
      <c r="G35" s="53" t="s">
        <v>845</v>
      </c>
      <c r="H35" s="56"/>
      <c r="I35" s="60"/>
      <c r="J35" s="60" t="s">
        <v>778</v>
      </c>
      <c r="K35" s="60">
        <v>2.5499999999999998</v>
      </c>
    </row>
    <row r="36" spans="1:11" s="2" customFormat="1" ht="30" x14ac:dyDescent="0.25">
      <c r="A36" s="52" t="s">
        <v>18</v>
      </c>
      <c r="B36" s="53" t="s">
        <v>841</v>
      </c>
      <c r="C36" s="53"/>
      <c r="D36" s="53" t="s">
        <v>892</v>
      </c>
      <c r="E36" s="54">
        <v>2.85</v>
      </c>
      <c r="F36" s="55" t="s">
        <v>449</v>
      </c>
      <c r="G36" s="53" t="s">
        <v>893</v>
      </c>
      <c r="H36" s="56" t="s">
        <v>894</v>
      </c>
      <c r="I36" s="60"/>
      <c r="J36" s="60" t="s">
        <v>191</v>
      </c>
      <c r="K36" s="60">
        <v>1.7</v>
      </c>
    </row>
    <row r="37" spans="1:11" s="2" customFormat="1" x14ac:dyDescent="0.25">
      <c r="A37" s="52" t="s">
        <v>895</v>
      </c>
      <c r="B37" s="53" t="s">
        <v>874</v>
      </c>
      <c r="C37" s="53"/>
      <c r="D37" s="53" t="s">
        <v>875</v>
      </c>
      <c r="E37" s="54">
        <v>5.75928E-2</v>
      </c>
      <c r="F37" s="55" t="s">
        <v>434</v>
      </c>
      <c r="G37" s="53" t="s">
        <v>876</v>
      </c>
      <c r="H37" s="56"/>
      <c r="I37" s="60"/>
      <c r="J37" s="60" t="s">
        <v>896</v>
      </c>
      <c r="K37" s="60">
        <v>1.3</v>
      </c>
    </row>
    <row r="38" spans="1:11" s="2" customFormat="1" ht="30" x14ac:dyDescent="0.25">
      <c r="A38" s="52" t="s">
        <v>67</v>
      </c>
      <c r="B38" s="53" t="s">
        <v>17</v>
      </c>
      <c r="C38" s="53"/>
      <c r="D38" s="53" t="s">
        <v>897</v>
      </c>
      <c r="E38" s="54">
        <v>7.3694547999999995E-5</v>
      </c>
      <c r="F38" s="55" t="s">
        <v>898</v>
      </c>
      <c r="G38" s="53" t="s">
        <v>845</v>
      </c>
      <c r="H38" s="56"/>
      <c r="I38" s="60"/>
      <c r="J38" s="60" t="s">
        <v>899</v>
      </c>
      <c r="K38" s="60">
        <v>0.71499999999999997</v>
      </c>
    </row>
    <row r="39" spans="1:11" s="2" customFormat="1" x14ac:dyDescent="0.25">
      <c r="A39" s="52" t="s">
        <v>115</v>
      </c>
      <c r="B39" s="53" t="s">
        <v>874</v>
      </c>
      <c r="C39" s="53"/>
      <c r="D39" s="53" t="s">
        <v>875</v>
      </c>
      <c r="E39" s="54">
        <v>0.14923636363636361</v>
      </c>
      <c r="F39" s="55" t="s">
        <v>434</v>
      </c>
      <c r="G39" s="53" t="s">
        <v>876</v>
      </c>
      <c r="H39" s="56"/>
      <c r="I39" s="60"/>
      <c r="J39" s="60" t="s">
        <v>900</v>
      </c>
      <c r="K39" s="60">
        <v>0.64200000000000002</v>
      </c>
    </row>
    <row r="40" spans="1:11" s="2" customFormat="1" ht="30" x14ac:dyDescent="0.25">
      <c r="A40" s="52" t="s">
        <v>901</v>
      </c>
      <c r="B40" s="53" t="s">
        <v>841</v>
      </c>
      <c r="C40" s="53" t="s">
        <v>902</v>
      </c>
      <c r="D40" s="53" t="s">
        <v>81</v>
      </c>
      <c r="E40" s="54">
        <v>27.649996000000002</v>
      </c>
      <c r="F40" s="55" t="s">
        <v>848</v>
      </c>
      <c r="G40" s="53" t="s">
        <v>845</v>
      </c>
      <c r="H40" s="56"/>
      <c r="I40" s="60"/>
    </row>
    <row r="41" spans="1:11" s="2" customFormat="1" ht="45" x14ac:dyDescent="0.25">
      <c r="A41" s="52" t="s">
        <v>903</v>
      </c>
      <c r="B41" s="53" t="s">
        <v>841</v>
      </c>
      <c r="C41" s="53" t="s">
        <v>904</v>
      </c>
      <c r="D41" s="53" t="s">
        <v>81</v>
      </c>
      <c r="E41" s="54">
        <v>33.228074999999997</v>
      </c>
      <c r="F41" s="55" t="s">
        <v>848</v>
      </c>
      <c r="G41" s="53" t="s">
        <v>845</v>
      </c>
      <c r="H41" s="56"/>
      <c r="I41" s="60"/>
    </row>
    <row r="42" spans="1:11" s="2" customFormat="1" ht="30" x14ac:dyDescent="0.25">
      <c r="A42" s="52" t="s">
        <v>905</v>
      </c>
      <c r="B42" s="53" t="s">
        <v>841</v>
      </c>
      <c r="C42" s="53" t="s">
        <v>906</v>
      </c>
      <c r="D42" s="53" t="s">
        <v>81</v>
      </c>
      <c r="E42" s="54">
        <v>35.863439</v>
      </c>
      <c r="F42" s="55" t="s">
        <v>848</v>
      </c>
      <c r="G42" s="53" t="s">
        <v>845</v>
      </c>
      <c r="H42" s="56"/>
      <c r="I42" s="60"/>
    </row>
    <row r="43" spans="1:11" s="2" customFormat="1" ht="30" x14ac:dyDescent="0.25">
      <c r="A43" s="52" t="s">
        <v>907</v>
      </c>
      <c r="B43" s="53" t="s">
        <v>841</v>
      </c>
      <c r="C43" s="53" t="s">
        <v>908</v>
      </c>
      <c r="D43" s="53" t="s">
        <v>81</v>
      </c>
      <c r="E43" s="54">
        <v>41.435630000000003</v>
      </c>
      <c r="F43" s="55" t="s">
        <v>848</v>
      </c>
      <c r="G43" s="53" t="s">
        <v>845</v>
      </c>
      <c r="H43" s="56"/>
      <c r="I43" s="60"/>
    </row>
    <row r="44" spans="1:11" s="2" customFormat="1" ht="45" x14ac:dyDescent="0.25">
      <c r="A44" s="52" t="s">
        <v>495</v>
      </c>
      <c r="B44" s="53" t="s">
        <v>841</v>
      </c>
      <c r="C44" s="53" t="s">
        <v>909</v>
      </c>
      <c r="D44" s="53" t="s">
        <v>81</v>
      </c>
      <c r="E44" s="54">
        <v>46.990307000000001</v>
      </c>
      <c r="F44" s="55" t="s">
        <v>848</v>
      </c>
      <c r="G44" s="53" t="s">
        <v>845</v>
      </c>
      <c r="H44" s="56"/>
      <c r="I44" s="60"/>
    </row>
    <row r="45" spans="1:11" s="2" customFormat="1" ht="30" x14ac:dyDescent="0.25">
      <c r="A45" s="61" t="s">
        <v>261</v>
      </c>
      <c r="B45" s="60" t="s">
        <v>841</v>
      </c>
      <c r="D45" s="53" t="s">
        <v>81</v>
      </c>
      <c r="E45" s="62">
        <f>0.00161*1000</f>
        <v>1.61</v>
      </c>
      <c r="F45" s="55" t="s">
        <v>848</v>
      </c>
      <c r="G45" s="60" t="s">
        <v>910</v>
      </c>
      <c r="K45" s="2">
        <v>2.7</v>
      </c>
    </row>
  </sheetData>
  <hyperlinks>
    <hyperlink ref="G9" r:id="rId1" display="https://www.boral.com.au/sites/default/files/media/field_document/National-Asphalt-EPD-090721.pdf" xr:uid="{185065F5-3F98-4C08-B58D-A4506392474E}"/>
  </hyperlinks>
  <pageMargins left="0.7" right="0.7" top="0.75" bottom="0.75" header="0.3" footer="0.3"/>
  <pageSetup paperSize="9"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DC4CAE98253A4E8F612AA6FBF16121" ma:contentTypeVersion="15" ma:contentTypeDescription="Create a new document." ma:contentTypeScope="" ma:versionID="d4d1bda9c908df8f592a5ab53c9a0ae1">
  <xsd:schema xmlns:xsd="http://www.w3.org/2001/XMLSchema" xmlns:xs="http://www.w3.org/2001/XMLSchema" xmlns:p="http://schemas.microsoft.com/office/2006/metadata/properties" xmlns:ns2="576fd55f-2241-411d-9865-6bef3c1218be" xmlns:ns3="db8c374f-2e7b-4353-8a95-bfff9e2fadfb" targetNamespace="http://schemas.microsoft.com/office/2006/metadata/properties" ma:root="true" ma:fieldsID="e53bf53729cc0e2ac41d677086c2dc1f" ns2:_="" ns3:_="">
    <xsd:import namespace="576fd55f-2241-411d-9865-6bef3c1218be"/>
    <xsd:import namespace="db8c374f-2e7b-4353-8a95-bfff9e2fad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fd55f-2241-411d-9865-6bef3c1218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4b948f-bea1-4d61-abd0-a60787be9a7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8c374f-2e7b-4353-8a95-bfff9e2fadf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fb2ddb5-55c7-403a-96f6-72670c0aaaf6}" ma:internalName="TaxCatchAll" ma:showField="CatchAllData" ma:web="db8c374f-2e7b-4353-8a95-bfff9e2fad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6fd55f-2241-411d-9865-6bef3c1218be">
      <Terms xmlns="http://schemas.microsoft.com/office/infopath/2007/PartnerControls"/>
    </lcf76f155ced4ddcb4097134ff3c332f>
    <TaxCatchAll xmlns="db8c374f-2e7b-4353-8a95-bfff9e2fadfb" xsi:nil="true"/>
  </documentManagement>
</p:properties>
</file>

<file path=customXml/itemProps1.xml><?xml version="1.0" encoding="utf-8"?>
<ds:datastoreItem xmlns:ds="http://schemas.openxmlformats.org/officeDocument/2006/customXml" ds:itemID="{F74F38BB-E06B-4AD2-9D01-3E162D485B56}">
  <ds:schemaRefs>
    <ds:schemaRef ds:uri="http://schemas.microsoft.com/sharepoint/v3/contenttype/forms"/>
  </ds:schemaRefs>
</ds:datastoreItem>
</file>

<file path=customXml/itemProps2.xml><?xml version="1.0" encoding="utf-8"?>
<ds:datastoreItem xmlns:ds="http://schemas.openxmlformats.org/officeDocument/2006/customXml" ds:itemID="{BA821664-DA1C-420F-A184-E91EC695D9C9}"/>
</file>

<file path=customXml/itemProps3.xml><?xml version="1.0" encoding="utf-8"?>
<ds:datastoreItem xmlns:ds="http://schemas.openxmlformats.org/officeDocument/2006/customXml" ds:itemID="{9C5F0ECE-A3DC-4732-8443-0D76B4F436B8}">
  <ds:schemaRefs>
    <ds:schemaRef ds:uri="http://schemas.microsoft.com/office/2006/metadata/properties"/>
    <ds:schemaRef ds:uri="http://schemas.microsoft.com/office/infopath/2007/PartnerControls"/>
    <ds:schemaRef ds:uri="9dd1ff5a-0ff3-423a-8952-84b02c7a3c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Project Details</vt:lpstr>
      <vt:lpstr>Input_og</vt:lpstr>
      <vt:lpstr>Input_new</vt:lpstr>
      <vt:lpstr>Data Collection</vt:lpstr>
      <vt:lpstr>Graphing Data</vt:lpstr>
      <vt:lpstr>Index Formatting</vt:lpstr>
      <vt:lpstr>Emission Factors 2</vt:lpstr>
      <vt:lpstr>Emission Factors</vt:lpstr>
      <vt:lpstr>Lookup</vt:lpstr>
      <vt:lpstr>Month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2022-07-03T21:12:11Z</dcterms:created>
  <dcterms:modified xsi:type="dcterms:W3CDTF">2023-08-15T02:19:31Z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0x01010090DC4CAE98253A4E8F612AA6FBF16121</vt:lpwstr>
  </property>
</Properties>
</file>