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8015" windowHeight="11190" tabRatio="948" firstSheet="1" activeTab="1"/>
  </bookViews>
  <sheets>
    <sheet name="Cover" sheetId="1" state="hidden" r:id="rId1"/>
    <sheet name="General" sheetId="16" r:id="rId2"/>
    <sheet name="Station parameters" sheetId="28" r:id="rId3"/>
    <sheet name="Route capacity parameters" sheetId="29" r:id="rId4"/>
    <sheet name="Station catchment" sheetId="5" r:id="rId5"/>
    <sheet name="Project details" sheetId="11" r:id="rId6"/>
    <sheet name="Health" sheetId="19" r:id="rId7"/>
    <sheet name="Travel time" sheetId="20" r:id="rId8"/>
    <sheet name="Quality" sheetId="26" r:id="rId9"/>
    <sheet name="Mode change" sheetId="39" r:id="rId10"/>
    <sheet name="Road safety" sheetId="27" r:id="rId11"/>
    <sheet name="Reduction in car usage" sheetId="24" r:id="rId12"/>
    <sheet name="Patronage summary" sheetId="7" r:id="rId13"/>
    <sheet name="Economic summary" sheetId="8" r:id="rId14"/>
    <sheet name="Capacity check" sheetId="32" r:id="rId15"/>
    <sheet name="Catchments" sheetId="34" r:id="rId16"/>
    <sheet name="EEM values" sheetId="10" r:id="rId17"/>
    <sheet name="Time-series parameters" sheetId="14" r:id="rId18"/>
    <sheet name="Elasticities" sheetId="13" r:id="rId19"/>
    <sheet name="Diversion factors" sheetId="33" r:id="rId20"/>
    <sheet name="Diversion (option 1)" sheetId="22" r:id="rId21"/>
    <sheet name="Diversion (option 2)" sheetId="35" r:id="rId22"/>
    <sheet name="Diversion (option 3)" sheetId="36" r:id="rId23"/>
    <sheet name="Time-series worksheet_8" sheetId="17" r:id="rId24"/>
    <sheet name="Time-series worksheet_6" sheetId="37" r:id="rId25"/>
    <sheet name="Time-series worksheet_4" sheetId="38"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HML1">'[1]Element definitions'!$F$2:$H$2</definedName>
    <definedName name="_HML10">'[1]Element definitions'!$F$11:$H$11</definedName>
    <definedName name="_HML13">'[1]Element definitions'!$F$14:$H$14</definedName>
    <definedName name="_HML14">'[1]Element definitions'!$F$15:$H$15</definedName>
    <definedName name="_HML15">'[1]Element definitions'!$F$16:$H$16</definedName>
    <definedName name="_HML2">'[1]Element definitions'!$F$3:$H$3</definedName>
    <definedName name="_HML3">'[1]Element definitions'!$F$4:$H$4</definedName>
    <definedName name="_HML4">'[1]Element definitions'!$F$5:$H$5</definedName>
    <definedName name="_HML5">'[1]Element definitions'!$F$6:$H$6</definedName>
    <definedName name="_HML6">'[1]Element definitions'!$F$7:$H$7</definedName>
    <definedName name="_HML7">'[1]Element definitions'!$F$8:$H$8</definedName>
    <definedName name="_HML8">'[1]Element definitions'!$F$9:$H$9</definedName>
    <definedName name="_HML9">'[1]Element definitions'!$F$10:$H$10</definedName>
    <definedName name="AM_Modelled_Bus_Segment" localSheetId="21">#REF!</definedName>
    <definedName name="AM_Modelled_Bus_Segment" localSheetId="22">#REF!</definedName>
    <definedName name="AM_Modelled_Bus_Segment" localSheetId="25">#REF!</definedName>
    <definedName name="AM_Modelled_Bus_Segment" localSheetId="24">#REF!</definedName>
    <definedName name="AM_Modelled_Bus_Segment">#REF!</definedName>
    <definedName name="AM_Modelled_Segment" localSheetId="21">#REF!</definedName>
    <definedName name="AM_Modelled_Segment" localSheetId="22">#REF!</definedName>
    <definedName name="AM_Modelled_Segment" localSheetId="25">#REF!</definedName>
    <definedName name="AM_Modelled_Segment" localSheetId="24">#REF!</definedName>
    <definedName name="AM_Modelled_Segment">#REF!</definedName>
    <definedName name="AM_Segment_Bus" localSheetId="21">#REF!</definedName>
    <definedName name="AM_Segment_Bus" localSheetId="22">#REF!</definedName>
    <definedName name="AM_Segment_Bus" localSheetId="25">#REF!</definedName>
    <definedName name="AM_Segment_Bus" localSheetId="24">#REF!</definedName>
    <definedName name="AM_Segment_Bus">#REF!</definedName>
    <definedName name="AnnualGrowth">[2]Assumptions!$B$3</definedName>
    <definedName name="AnnualisePeakHour" localSheetId="21">'[3]User Profile'!#REF!</definedName>
    <definedName name="AnnualisePeakHour" localSheetId="22">'[3]User Profile'!#REF!</definedName>
    <definedName name="AnnualisePeakHour" localSheetId="25">'[3]User Profile'!#REF!</definedName>
    <definedName name="AnnualisePeakHour" localSheetId="24">'[3]User Profile'!#REF!</definedName>
    <definedName name="AnnualisePeakHour">'[3]User Profile'!#REF!</definedName>
    <definedName name="AnnualiseWkdays" localSheetId="21">'[3]User Profile'!#REF!</definedName>
    <definedName name="AnnualiseWkdays" localSheetId="22">'[3]User Profile'!#REF!</definedName>
    <definedName name="AnnualiseWkdays" localSheetId="25">'[3]User Profile'!#REF!</definedName>
    <definedName name="AnnualiseWkdays" localSheetId="24">'[3]User Profile'!#REF!</definedName>
    <definedName name="AnnualiseWkdays">'[3]User Profile'!#REF!</definedName>
    <definedName name="Appraisal_Period">General!$K$4</definedName>
    <definedName name="AppraisalPeriod">'[3]Toolkit Summary Impacts'!$B$6</definedName>
    <definedName name="AppraisalPeriodBASIC">'[3]Toolkit Summary Impacts - basic'!$B$6</definedName>
    <definedName name="AppraisalPeriodINTER">'[3]Toolkit Summary Impacts - inter'!$B$6</definedName>
    <definedName name="Average_car_occupancy">General!$C$34</definedName>
    <definedName name="BenefitStart">'[3]Toolkit Summary Impacts'!$B$5</definedName>
    <definedName name="BenefitStartBASIC">'[3]Toolkit Summary Impacts - basic'!$B$5</definedName>
    <definedName name="BenefitStartINTER">'[3]Toolkit Summary Impacts - inter'!$B$5</definedName>
    <definedName name="BensStrtBasic" localSheetId="21">'[3]Toolkit Summary Impacts - basic'!#REF!</definedName>
    <definedName name="BensStrtBasic" localSheetId="22">'[3]Toolkit Summary Impacts - basic'!#REF!</definedName>
    <definedName name="BensStrtBasic" localSheetId="25">'[3]Toolkit Summary Impacts - basic'!#REF!</definedName>
    <definedName name="BensStrtBasic" localSheetId="24">'[3]Toolkit Summary Impacts - basic'!#REF!</definedName>
    <definedName name="BensStrtBasic">'[3]Toolkit Summary Impacts - basic'!#REF!</definedName>
    <definedName name="Bus_VoT">[4]Assumptions!$B$46</definedName>
    <definedName name="Car_AM_VoT">[4]Assumptions!$B$41</definedName>
    <definedName name="Car_IP_VoT">[4]Assumptions!$B$42</definedName>
    <definedName name="Car_PM_VoT">[4]Assumptions!$B$43</definedName>
    <definedName name="Contingency">General!$E$25</definedName>
    <definedName name="CPI">'Time-series parameters'!#REF!</definedName>
    <definedName name="CPI_latest">#REF!</definedName>
    <definedName name="CycleDiversionFactor">'Station catchment'!$O$21</definedName>
    <definedName name="_xlnm.Database" localSheetId="21">#REF!</definedName>
    <definedName name="_xlnm.Database" localSheetId="22">#REF!</definedName>
    <definedName name="_xlnm.Database" localSheetId="25">#REF!</definedName>
    <definedName name="_xlnm.Database" localSheetId="24">#REF!</definedName>
    <definedName name="_xlnm.Database">#REF!</definedName>
    <definedName name="DestinationCycleGJT">Elasticities!$B$76:$J$89</definedName>
    <definedName name="DestinationWalkGJT">Elasticities!$B$61:$J$74</definedName>
    <definedName name="discountrate" localSheetId="21">[5]Assumptions!#REF!</definedName>
    <definedName name="discountrate" localSheetId="22">[5]Assumptions!#REF!</definedName>
    <definedName name="discountrate" localSheetId="25">[5]Assumptions!#REF!</definedName>
    <definedName name="discountrate" localSheetId="24">[5]Assumptions!#REF!</definedName>
    <definedName name="discountrate">[5]Assumptions!#REF!</definedName>
    <definedName name="DiversionCycleAccess">'Diversion factors'!$B$25:$E$29</definedName>
    <definedName name="DiversionCycleEgress">'Diversion factors'!$G$25:$I$29</definedName>
    <definedName name="DiversionPTMainMode">'Diversion factors'!$B$5:$D$10</definedName>
    <definedName name="DiversionWalkAccess">'Diversion factors'!$B$15:$E$19</definedName>
    <definedName name="DiversionWalkEgress">'Diversion factors'!$G$15:$I$19</definedName>
    <definedName name="ElementDefinitions">'[1]Element definitions'!$A$1:$D$16</definedName>
    <definedName name="GDP_latest">#REF!</definedName>
    <definedName name="HGV_VoT">[4]Assumptions!$B$45</definedName>
    <definedName name="HomeCycleGJT">Elasticities!$B$41:$J$54</definedName>
    <definedName name="HomeWalkGJT">Elasticities!$B$26:$J$39</definedName>
    <definedName name="ImplementationYear">General!$K$5</definedName>
    <definedName name="Km_converter">'[6]Base parameters'!$A$18</definedName>
    <definedName name="LGV_VoT">[4]Assumptions!$B$44</definedName>
    <definedName name="lifespan">[7]Assumptions!$B$2</definedName>
    <definedName name="LinkWTP">'[3]PERS WTP'!$A$5:$H$16</definedName>
    <definedName name="LinkWTP2002" localSheetId="21">'[5]Link - WTP'!#REF!</definedName>
    <definedName name="LinkWTP2002" localSheetId="22">'[5]Link - WTP'!#REF!</definedName>
    <definedName name="LinkWTP2002" localSheetId="25">'[5]Link - WTP'!#REF!</definedName>
    <definedName name="LinkWTP2002" localSheetId="24">'[5]Link - WTP'!#REF!</definedName>
    <definedName name="LinkWTP2002">'[5]Link - WTP'!#REF!</definedName>
    <definedName name="MinutesPerAnnum">'[8]Inputs - WTP'!$B$15</definedName>
    <definedName name="MinutesPublicSpaces" localSheetId="21">'[8]Inputs - WTP'!#REF!</definedName>
    <definedName name="MinutesPublicSpaces" localSheetId="22">'[8]Inputs - WTP'!#REF!</definedName>
    <definedName name="MinutesPublicSpaces" localSheetId="25">'[8]Inputs - WTP'!#REF!</definedName>
    <definedName name="MinutesPublicSpaces" localSheetId="24">'[8]Inputs - WTP'!#REF!</definedName>
    <definedName name="MinutesPublicSpaces">'[8]Inputs - WTP'!#REF!</definedName>
    <definedName name="Optimism">General!$E$25</definedName>
    <definedName name="optimism_bias">[9]Assumptions!$B$82</definedName>
    <definedName name="OptimismBias">'[3]Project costs'!$C$34</definedName>
    <definedName name="Option1">General!$C$14</definedName>
    <definedName name="Option2">General!$F$14</definedName>
    <definedName name="Option3">General!$I$14</definedName>
    <definedName name="Price_Base">General!$K$7</definedName>
    <definedName name="PriceBase">'[3]Toolkit Summary Impacts'!$B$7</definedName>
    <definedName name="PriceBaseBASIC">'[3]Toolkit Summary Impacts - basic'!$B$7</definedName>
    <definedName name="PriceBaseINTER">'[3]Toolkit Summary Impacts - inter'!$B$7</definedName>
    <definedName name="PublicSpaceWTP">'[1]Public Space - WTP'!$A$2:$H$8</definedName>
    <definedName name="RPI">'[3]Time series parameters'!$A$6:$B$14</definedName>
    <definedName name="SchemeImplementation" localSheetId="21">#REF!</definedName>
    <definedName name="SchemeImplementation" localSheetId="22">#REF!</definedName>
    <definedName name="SchemeImplementation" localSheetId="25">#REF!</definedName>
    <definedName name="SchemeImplementation" localSheetId="24">#REF!</definedName>
    <definedName name="SchemeImplementation">#REF!</definedName>
    <definedName name="schemelmplementation">[2]Assumptions!$B$4</definedName>
    <definedName name="Segment_AM" localSheetId="21">#REF!</definedName>
    <definedName name="Segment_AM" localSheetId="22">#REF!</definedName>
    <definedName name="Segment_AM" localSheetId="25">#REF!</definedName>
    <definedName name="Segment_AM" localSheetId="24">#REF!</definedName>
    <definedName name="Segment_AM">#REF!</definedName>
    <definedName name="setting">'[3]Front page'!$H$3</definedName>
    <definedName name="SpaceWTP">'[3]PERS WTP'!$A$20:$H$26</definedName>
    <definedName name="StartIncrease" localSheetId="21">[5]Assumptions!#REF!</definedName>
    <definedName name="StartIncrease" localSheetId="22">[5]Assumptions!#REF!</definedName>
    <definedName name="StartIncrease" localSheetId="25">[5]Assumptions!#REF!</definedName>
    <definedName name="StartIncrease" localSheetId="24">[5]Assumptions!#REF!</definedName>
    <definedName name="StartIncrease">[5]Assumptions!#REF!</definedName>
    <definedName name="StartNumberOfUsers" localSheetId="21">#REF!</definedName>
    <definedName name="StartNumberOfUsers" localSheetId="22">#REF!</definedName>
    <definedName name="StartNumberOfUsers" localSheetId="25">#REF!</definedName>
    <definedName name="StartNumberOfUsers" localSheetId="24">#REF!</definedName>
    <definedName name="StartNumberOfUsers">#REF!</definedName>
    <definedName name="Taxi_VoT">[4]Assumptions!$B$47</definedName>
    <definedName name="WalkDiversionFactor">'Station catchment'!$O$20</definedName>
    <definedName name="Year_cost_estimate">General!$K$6</definedName>
  </definedNames>
  <calcPr calcId="145621"/>
</workbook>
</file>

<file path=xl/calcChain.xml><?xml version="1.0" encoding="utf-8"?>
<calcChain xmlns="http://schemas.openxmlformats.org/spreadsheetml/2006/main">
  <c r="AS8" i="38"/>
  <c r="AT85"/>
  <c r="AS85"/>
  <c r="AT84"/>
  <c r="AS84"/>
  <c r="AT83"/>
  <c r="AS83"/>
  <c r="AT82"/>
  <c r="AS82"/>
  <c r="AT81"/>
  <c r="AS81"/>
  <c r="AT80"/>
  <c r="AS80"/>
  <c r="AT79"/>
  <c r="AS79"/>
  <c r="AT78"/>
  <c r="AS78"/>
  <c r="AT77"/>
  <c r="AS77"/>
  <c r="AT76"/>
  <c r="AS76"/>
  <c r="AT75"/>
  <c r="AS75"/>
  <c r="AT74"/>
  <c r="AS74"/>
  <c r="AT73"/>
  <c r="AS73"/>
  <c r="AT72"/>
  <c r="AS72"/>
  <c r="AT71"/>
  <c r="AS71"/>
  <c r="AT70"/>
  <c r="AS70"/>
  <c r="AT69"/>
  <c r="AS69"/>
  <c r="AT68"/>
  <c r="AS68"/>
  <c r="AT67"/>
  <c r="AS67"/>
  <c r="AT66"/>
  <c r="AS66"/>
  <c r="AT65"/>
  <c r="AS65"/>
  <c r="AT64"/>
  <c r="AS64"/>
  <c r="AT63"/>
  <c r="AS63"/>
  <c r="AT62"/>
  <c r="AS62"/>
  <c r="AT61"/>
  <c r="AS61"/>
  <c r="AT60"/>
  <c r="AS60"/>
  <c r="AT59"/>
  <c r="AS59"/>
  <c r="AT58"/>
  <c r="AS58"/>
  <c r="AT57"/>
  <c r="AS57"/>
  <c r="AT56"/>
  <c r="AS56"/>
  <c r="AT55"/>
  <c r="AS55"/>
  <c r="AT54"/>
  <c r="AS54"/>
  <c r="AT53"/>
  <c r="AS53"/>
  <c r="AT52"/>
  <c r="AS52"/>
  <c r="AT51"/>
  <c r="AS51"/>
  <c r="AT50"/>
  <c r="AS50"/>
  <c r="AT49"/>
  <c r="AS49"/>
  <c r="AT48"/>
  <c r="AS48"/>
  <c r="AT47"/>
  <c r="AS47"/>
  <c r="AT46"/>
  <c r="AS46"/>
  <c r="AT45"/>
  <c r="AS45"/>
  <c r="AT44"/>
  <c r="AS44"/>
  <c r="AT43"/>
  <c r="AS43"/>
  <c r="AT42"/>
  <c r="AS42"/>
  <c r="AT41"/>
  <c r="AS41"/>
  <c r="AT40"/>
  <c r="AS40"/>
  <c r="AT39"/>
  <c r="AS39"/>
  <c r="AT38"/>
  <c r="AS38"/>
  <c r="AT37"/>
  <c r="AS37"/>
  <c r="AT36"/>
  <c r="AS36"/>
  <c r="AT35"/>
  <c r="AS35"/>
  <c r="AT34"/>
  <c r="AS34"/>
  <c r="AT33"/>
  <c r="AS33"/>
  <c r="AT32"/>
  <c r="AS32"/>
  <c r="AT31"/>
  <c r="AS31"/>
  <c r="AT30"/>
  <c r="AS30"/>
  <c r="AT29"/>
  <c r="AS29"/>
  <c r="AT28"/>
  <c r="AS28"/>
  <c r="AT27"/>
  <c r="AS27"/>
  <c r="AT26"/>
  <c r="AS26"/>
  <c r="AT25"/>
  <c r="AS25"/>
  <c r="AT24"/>
  <c r="AS24"/>
  <c r="AT23"/>
  <c r="AS23"/>
  <c r="AT22"/>
  <c r="AS22"/>
  <c r="AT21"/>
  <c r="AS21"/>
  <c r="AT20"/>
  <c r="AS20"/>
  <c r="AT19"/>
  <c r="AS19"/>
  <c r="AT18"/>
  <c r="AS18"/>
  <c r="AT17"/>
  <c r="AS17"/>
  <c r="AT16"/>
  <c r="AS16"/>
  <c r="AT15"/>
  <c r="AS15"/>
  <c r="AT14"/>
  <c r="AS14"/>
  <c r="AT13"/>
  <c r="AS13"/>
  <c r="AT12"/>
  <c r="AS12"/>
  <c r="AT11"/>
  <c r="AS11"/>
  <c r="AT10"/>
  <c r="AS10"/>
  <c r="AT9"/>
  <c r="AS9"/>
  <c r="AT8"/>
  <c r="AT85" i="37"/>
  <c r="AS85"/>
  <c r="AT84"/>
  <c r="AS84"/>
  <c r="AT83"/>
  <c r="AS83"/>
  <c r="AT82"/>
  <c r="AS82"/>
  <c r="AT81"/>
  <c r="AS81"/>
  <c r="AT80"/>
  <c r="AS80"/>
  <c r="AT79"/>
  <c r="AS79"/>
  <c r="AT78"/>
  <c r="AS78"/>
  <c r="AT77"/>
  <c r="AS77"/>
  <c r="AT76"/>
  <c r="AS76"/>
  <c r="AT75"/>
  <c r="AS75"/>
  <c r="AT74"/>
  <c r="AS74"/>
  <c r="AT73"/>
  <c r="AS73"/>
  <c r="AT72"/>
  <c r="AS72"/>
  <c r="AT71"/>
  <c r="AS71"/>
  <c r="AT70"/>
  <c r="AS70"/>
  <c r="AT69"/>
  <c r="AS69"/>
  <c r="AT68"/>
  <c r="AS68"/>
  <c r="AT67"/>
  <c r="AS67"/>
  <c r="AT66"/>
  <c r="AS66"/>
  <c r="AT65"/>
  <c r="AS65"/>
  <c r="AT64"/>
  <c r="AS64"/>
  <c r="AT63"/>
  <c r="AS63"/>
  <c r="AT62"/>
  <c r="AS62"/>
  <c r="AT61"/>
  <c r="AS61"/>
  <c r="AT60"/>
  <c r="AS60"/>
  <c r="AT59"/>
  <c r="AS59"/>
  <c r="AT58"/>
  <c r="AS58"/>
  <c r="AT57"/>
  <c r="AS57"/>
  <c r="AT56"/>
  <c r="AS56"/>
  <c r="AT55"/>
  <c r="AS55"/>
  <c r="AT54"/>
  <c r="AS54"/>
  <c r="AT53"/>
  <c r="AS53"/>
  <c r="AT52"/>
  <c r="AS52"/>
  <c r="AT51"/>
  <c r="AS51"/>
  <c r="AT50"/>
  <c r="AS50"/>
  <c r="AT49"/>
  <c r="AS49"/>
  <c r="AT48"/>
  <c r="AS48"/>
  <c r="AT47"/>
  <c r="AS47"/>
  <c r="AT46"/>
  <c r="AS46"/>
  <c r="AT45"/>
  <c r="AS45"/>
  <c r="AT44"/>
  <c r="AS44"/>
  <c r="AT43"/>
  <c r="AS43"/>
  <c r="AT42"/>
  <c r="AS42"/>
  <c r="AT41"/>
  <c r="AS41"/>
  <c r="AT40"/>
  <c r="AS40"/>
  <c r="AT39"/>
  <c r="AS39"/>
  <c r="AT38"/>
  <c r="AS38"/>
  <c r="AT37"/>
  <c r="AS37"/>
  <c r="AT36"/>
  <c r="AS36"/>
  <c r="AT35"/>
  <c r="AS35"/>
  <c r="AT34"/>
  <c r="AS34"/>
  <c r="AT33"/>
  <c r="AS33"/>
  <c r="AT32"/>
  <c r="AS32"/>
  <c r="AT31"/>
  <c r="AS31"/>
  <c r="AT30"/>
  <c r="AS30"/>
  <c r="AT29"/>
  <c r="AS29"/>
  <c r="AT28"/>
  <c r="AS28"/>
  <c r="AT27"/>
  <c r="AS27"/>
  <c r="AT26"/>
  <c r="AS26"/>
  <c r="AT25"/>
  <c r="AS25"/>
  <c r="AT24"/>
  <c r="AS24"/>
  <c r="AT23"/>
  <c r="AS23"/>
  <c r="AT22"/>
  <c r="AS22"/>
  <c r="AT21"/>
  <c r="AS21"/>
  <c r="AT20"/>
  <c r="AS20"/>
  <c r="AT19"/>
  <c r="AS19"/>
  <c r="AT18"/>
  <c r="AS18"/>
  <c r="AT17"/>
  <c r="AS17"/>
  <c r="AT16"/>
  <c r="AS16"/>
  <c r="AT15"/>
  <c r="AS15"/>
  <c r="AT14"/>
  <c r="AS14"/>
  <c r="AT13"/>
  <c r="AS13"/>
  <c r="AT12"/>
  <c r="AS12"/>
  <c r="AT11"/>
  <c r="AS11"/>
  <c r="AT10"/>
  <c r="AS10"/>
  <c r="AT9"/>
  <c r="AS9"/>
  <c r="AT8"/>
  <c r="AS8"/>
  <c r="AD85" i="38"/>
  <c r="AC85"/>
  <c r="AD84"/>
  <c r="AC84"/>
  <c r="AD83"/>
  <c r="AC83"/>
  <c r="AD82"/>
  <c r="AC82"/>
  <c r="AD81"/>
  <c r="AC81"/>
  <c r="AD80"/>
  <c r="AC80"/>
  <c r="AD79"/>
  <c r="AC79"/>
  <c r="AD78"/>
  <c r="AC78"/>
  <c r="AD77"/>
  <c r="AC77"/>
  <c r="AD76"/>
  <c r="AC76"/>
  <c r="AD75"/>
  <c r="AC75"/>
  <c r="AD74"/>
  <c r="AC74"/>
  <c r="AD73"/>
  <c r="AC73"/>
  <c r="AD72"/>
  <c r="AC72"/>
  <c r="AD71"/>
  <c r="AC71"/>
  <c r="AD70"/>
  <c r="AC70"/>
  <c r="AD69"/>
  <c r="AC69"/>
  <c r="AD68"/>
  <c r="AC68"/>
  <c r="AD67"/>
  <c r="AC67"/>
  <c r="AD66"/>
  <c r="AC66"/>
  <c r="AD65"/>
  <c r="AC65"/>
  <c r="AD64"/>
  <c r="AC64"/>
  <c r="AD63"/>
  <c r="AC63"/>
  <c r="AD62"/>
  <c r="AC62"/>
  <c r="AD61"/>
  <c r="AC61"/>
  <c r="AD60"/>
  <c r="AC60"/>
  <c r="AD59"/>
  <c r="AC59"/>
  <c r="AD58"/>
  <c r="AC58"/>
  <c r="AD57"/>
  <c r="AC57"/>
  <c r="AD56"/>
  <c r="AC56"/>
  <c r="AD55"/>
  <c r="AC55"/>
  <c r="AD54"/>
  <c r="AC54"/>
  <c r="AD53"/>
  <c r="AC53"/>
  <c r="AD52"/>
  <c r="AC52"/>
  <c r="AD51"/>
  <c r="AC51"/>
  <c r="AD50"/>
  <c r="AC50"/>
  <c r="AD49"/>
  <c r="AC49"/>
  <c r="AD48"/>
  <c r="AC48"/>
  <c r="AD47"/>
  <c r="AC47"/>
  <c r="AD46"/>
  <c r="AC46"/>
  <c r="AD45"/>
  <c r="AC45"/>
  <c r="AD44"/>
  <c r="AC44"/>
  <c r="AD43"/>
  <c r="AC43"/>
  <c r="AD42"/>
  <c r="AC42"/>
  <c r="AD41"/>
  <c r="AC41"/>
  <c r="AD40"/>
  <c r="AC40"/>
  <c r="AD39"/>
  <c r="AC39"/>
  <c r="AD38"/>
  <c r="AC38"/>
  <c r="AD37"/>
  <c r="AC37"/>
  <c r="AD36"/>
  <c r="AC36"/>
  <c r="AD35"/>
  <c r="AC35"/>
  <c r="AD34"/>
  <c r="AC34"/>
  <c r="AD33"/>
  <c r="AC33"/>
  <c r="AD32"/>
  <c r="AC32"/>
  <c r="AD16"/>
  <c r="AC16"/>
  <c r="AD15"/>
  <c r="AC15"/>
  <c r="AD14"/>
  <c r="AC14"/>
  <c r="AD13"/>
  <c r="AC13"/>
  <c r="AD12"/>
  <c r="AC12"/>
  <c r="AD11"/>
  <c r="AC11"/>
  <c r="AD10"/>
  <c r="AC10"/>
  <c r="AD9"/>
  <c r="AC9"/>
  <c r="AD8"/>
  <c r="AC8"/>
  <c r="AD85" i="37"/>
  <c r="AC85"/>
  <c r="AD84"/>
  <c r="AC84"/>
  <c r="AD83"/>
  <c r="AC83"/>
  <c r="AD82"/>
  <c r="AC82"/>
  <c r="AD81"/>
  <c r="AC81"/>
  <c r="AD80"/>
  <c r="AC80"/>
  <c r="AD79"/>
  <c r="AC79"/>
  <c r="AD78"/>
  <c r="AC78"/>
  <c r="AD77"/>
  <c r="AC77"/>
  <c r="AD76"/>
  <c r="AC76"/>
  <c r="AD75"/>
  <c r="AC75"/>
  <c r="AD74"/>
  <c r="AC74"/>
  <c r="AD73"/>
  <c r="AC73"/>
  <c r="AD72"/>
  <c r="AC72"/>
  <c r="AD71"/>
  <c r="AC71"/>
  <c r="AD70"/>
  <c r="AC70"/>
  <c r="AD69"/>
  <c r="AC69"/>
  <c r="AD68"/>
  <c r="AC68"/>
  <c r="AD67"/>
  <c r="AC67"/>
  <c r="AD66"/>
  <c r="AC66"/>
  <c r="AD65"/>
  <c r="AC65"/>
  <c r="AD64"/>
  <c r="AC64"/>
  <c r="AD63"/>
  <c r="AC63"/>
  <c r="AD62"/>
  <c r="AC62"/>
  <c r="AD61"/>
  <c r="AC61"/>
  <c r="AD60"/>
  <c r="AC60"/>
  <c r="AD59"/>
  <c r="AC59"/>
  <c r="AD58"/>
  <c r="AC58"/>
  <c r="AD57"/>
  <c r="AC57"/>
  <c r="AD56"/>
  <c r="AC56"/>
  <c r="AD55"/>
  <c r="AC55"/>
  <c r="AD54"/>
  <c r="AC54"/>
  <c r="AD53"/>
  <c r="AC53"/>
  <c r="AD52"/>
  <c r="AC52"/>
  <c r="AD51"/>
  <c r="AC51"/>
  <c r="AD50"/>
  <c r="AC50"/>
  <c r="AD49"/>
  <c r="AC49"/>
  <c r="AD48"/>
  <c r="AC48"/>
  <c r="AD47"/>
  <c r="AC47"/>
  <c r="AD46"/>
  <c r="AC46"/>
  <c r="AD45"/>
  <c r="AC45"/>
  <c r="AD44"/>
  <c r="AC44"/>
  <c r="AD43"/>
  <c r="AC43"/>
  <c r="AD42"/>
  <c r="AC42"/>
  <c r="AD41"/>
  <c r="AC41"/>
  <c r="AD40"/>
  <c r="AC40"/>
  <c r="AD39"/>
  <c r="AC39"/>
  <c r="AD38"/>
  <c r="AC38"/>
  <c r="AD37"/>
  <c r="AC37"/>
  <c r="AD36"/>
  <c r="AC36"/>
  <c r="AD35"/>
  <c r="AC35"/>
  <c r="AD34"/>
  <c r="AC34"/>
  <c r="AD33"/>
  <c r="AC33"/>
  <c r="AD32"/>
  <c r="AC32"/>
  <c r="AD31"/>
  <c r="AC31"/>
  <c r="AD30"/>
  <c r="AC30"/>
  <c r="AD29"/>
  <c r="AC29"/>
  <c r="AD28"/>
  <c r="AC28"/>
  <c r="AD27"/>
  <c r="AC27"/>
  <c r="AD26"/>
  <c r="AC26"/>
  <c r="AD25"/>
  <c r="AC25"/>
  <c r="AD24"/>
  <c r="AC24"/>
  <c r="AD23"/>
  <c r="AC23"/>
  <c r="AD22"/>
  <c r="AC22"/>
  <c r="AD21"/>
  <c r="AC21"/>
  <c r="AD20"/>
  <c r="AC20"/>
  <c r="AD19"/>
  <c r="AC19"/>
  <c r="AD18"/>
  <c r="AC18"/>
  <c r="AD17"/>
  <c r="AC17"/>
  <c r="AD16"/>
  <c r="AC16"/>
  <c r="AD15"/>
  <c r="AC15"/>
  <c r="AD14"/>
  <c r="AC14"/>
  <c r="AD13"/>
  <c r="AC13"/>
  <c r="AD12"/>
  <c r="AC12"/>
  <c r="AD11"/>
  <c r="AC11"/>
  <c r="AD10"/>
  <c r="AC10"/>
  <c r="AD9"/>
  <c r="AC9"/>
  <c r="AD8"/>
  <c r="AC8"/>
  <c r="N85" i="38"/>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16"/>
  <c r="M16"/>
  <c r="N15"/>
  <c r="M15"/>
  <c r="N14"/>
  <c r="M14"/>
  <c r="N13"/>
  <c r="M13"/>
  <c r="N12"/>
  <c r="M12"/>
  <c r="N11"/>
  <c r="M11"/>
  <c r="N10"/>
  <c r="M10"/>
  <c r="N9"/>
  <c r="M9"/>
  <c r="N8"/>
  <c r="M8"/>
  <c r="M17" i="37"/>
  <c r="M8"/>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N16"/>
  <c r="M16"/>
  <c r="N15"/>
  <c r="M15"/>
  <c r="N14"/>
  <c r="M14"/>
  <c r="N13"/>
  <c r="M13"/>
  <c r="N12"/>
  <c r="M12"/>
  <c r="N11"/>
  <c r="M11"/>
  <c r="N10"/>
  <c r="M10"/>
  <c r="N9"/>
  <c r="M9"/>
  <c r="N8"/>
  <c r="AT9" i="17"/>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T49"/>
  <c r="AT50"/>
  <c r="AT51"/>
  <c r="AT52"/>
  <c r="AT53"/>
  <c r="AT54"/>
  <c r="AT55"/>
  <c r="AT56"/>
  <c r="AT57"/>
  <c r="AT58"/>
  <c r="AT59"/>
  <c r="AT60"/>
  <c r="AT61"/>
  <c r="AT62"/>
  <c r="AT63"/>
  <c r="AT64"/>
  <c r="AT65"/>
  <c r="AT66"/>
  <c r="AT67"/>
  <c r="AT68"/>
  <c r="AT69"/>
  <c r="AT70"/>
  <c r="AT71"/>
  <c r="AT72"/>
  <c r="AT73"/>
  <c r="AT74"/>
  <c r="AT75"/>
  <c r="AT76"/>
  <c r="AT77"/>
  <c r="AT78"/>
  <c r="AT79"/>
  <c r="AT80"/>
  <c r="AT81"/>
  <c r="AT82"/>
  <c r="AT83"/>
  <c r="AT84"/>
  <c r="AT85"/>
  <c r="AT8"/>
  <c r="AS9"/>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S49"/>
  <c r="AS50"/>
  <c r="AS51"/>
  <c r="AS52"/>
  <c r="AS53"/>
  <c r="AS54"/>
  <c r="AS55"/>
  <c r="AS56"/>
  <c r="AS57"/>
  <c r="AS58"/>
  <c r="AS59"/>
  <c r="AS60"/>
  <c r="AS61"/>
  <c r="AS62"/>
  <c r="AS63"/>
  <c r="AS64"/>
  <c r="AS65"/>
  <c r="AS66"/>
  <c r="AS67"/>
  <c r="AS68"/>
  <c r="AS69"/>
  <c r="AS70"/>
  <c r="AS71"/>
  <c r="AS72"/>
  <c r="AS73"/>
  <c r="AS74"/>
  <c r="AS75"/>
  <c r="AS76"/>
  <c r="AS77"/>
  <c r="AS78"/>
  <c r="AS79"/>
  <c r="AS80"/>
  <c r="AS81"/>
  <c r="AS82"/>
  <c r="AS83"/>
  <c r="AS84"/>
  <c r="AS85"/>
  <c r="AS8"/>
  <c r="AC9"/>
  <c r="AD9"/>
  <c r="AC10"/>
  <c r="AD10"/>
  <c r="AC11"/>
  <c r="AD11"/>
  <c r="AC12"/>
  <c r="AD12"/>
  <c r="AC13"/>
  <c r="AD13"/>
  <c r="AC14"/>
  <c r="AD14"/>
  <c r="AC15"/>
  <c r="AD15"/>
  <c r="AC16"/>
  <c r="AD16"/>
  <c r="AC17"/>
  <c r="AD17"/>
  <c r="AC18"/>
  <c r="AD18"/>
  <c r="AC19"/>
  <c r="AD19"/>
  <c r="AC20"/>
  <c r="AD20"/>
  <c r="AC21"/>
  <c r="AD21"/>
  <c r="AC22"/>
  <c r="AD22"/>
  <c r="AC23"/>
  <c r="AD23"/>
  <c r="AC24"/>
  <c r="AD24"/>
  <c r="AC25"/>
  <c r="AD25"/>
  <c r="AC26"/>
  <c r="AD26"/>
  <c r="AC27"/>
  <c r="AD27"/>
  <c r="AC28"/>
  <c r="AD28"/>
  <c r="AC29"/>
  <c r="AD29"/>
  <c r="AC30"/>
  <c r="AD30"/>
  <c r="AC31"/>
  <c r="AD31"/>
  <c r="AC32"/>
  <c r="AD32"/>
  <c r="AC33"/>
  <c r="AD33"/>
  <c r="AC34"/>
  <c r="AD34"/>
  <c r="AC35"/>
  <c r="AD35"/>
  <c r="AC36"/>
  <c r="AD36"/>
  <c r="AC37"/>
  <c r="AD37"/>
  <c r="AC38"/>
  <c r="AD38"/>
  <c r="AC39"/>
  <c r="AD39"/>
  <c r="AC40"/>
  <c r="AD40"/>
  <c r="AC41"/>
  <c r="AD41"/>
  <c r="AC42"/>
  <c r="AD42"/>
  <c r="AC43"/>
  <c r="AD43"/>
  <c r="AC44"/>
  <c r="AD44"/>
  <c r="AC45"/>
  <c r="AD45"/>
  <c r="AC46"/>
  <c r="AD46"/>
  <c r="AC47"/>
  <c r="AD47"/>
  <c r="AC48"/>
  <c r="AD48"/>
  <c r="AC49"/>
  <c r="AD49"/>
  <c r="AC50"/>
  <c r="AD50"/>
  <c r="AC51"/>
  <c r="AD51"/>
  <c r="AC52"/>
  <c r="AD52"/>
  <c r="AC53"/>
  <c r="AD53"/>
  <c r="AC54"/>
  <c r="AD54"/>
  <c r="AC55"/>
  <c r="AD55"/>
  <c r="AC56"/>
  <c r="AD56"/>
  <c r="AC57"/>
  <c r="AD57"/>
  <c r="AC58"/>
  <c r="AD58"/>
  <c r="AC59"/>
  <c r="AD59"/>
  <c r="AC60"/>
  <c r="AD60"/>
  <c r="AC61"/>
  <c r="AD61"/>
  <c r="AC62"/>
  <c r="AD62"/>
  <c r="AC63"/>
  <c r="AD63"/>
  <c r="AC64"/>
  <c r="AD64"/>
  <c r="AC65"/>
  <c r="AD65"/>
  <c r="AC66"/>
  <c r="AD66"/>
  <c r="AC67"/>
  <c r="AD67"/>
  <c r="AC68"/>
  <c r="AD68"/>
  <c r="AC69"/>
  <c r="AD69"/>
  <c r="AC70"/>
  <c r="AD70"/>
  <c r="AC71"/>
  <c r="AD71"/>
  <c r="AC72"/>
  <c r="AD72"/>
  <c r="AC73"/>
  <c r="AD73"/>
  <c r="AC74"/>
  <c r="AD74"/>
  <c r="AC75"/>
  <c r="AD75"/>
  <c r="AC76"/>
  <c r="AD76"/>
  <c r="AC77"/>
  <c r="AD77"/>
  <c r="AC78"/>
  <c r="AD78"/>
  <c r="AC79"/>
  <c r="AD79"/>
  <c r="AC80"/>
  <c r="AD80"/>
  <c r="AC81"/>
  <c r="AD81"/>
  <c r="AC82"/>
  <c r="AD82"/>
  <c r="AC83"/>
  <c r="AD83"/>
  <c r="AC84"/>
  <c r="AD84"/>
  <c r="AC85"/>
  <c r="AD85"/>
  <c r="AD8"/>
  <c r="AC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9"/>
  <c r="M10"/>
  <c r="M11"/>
  <c r="M12"/>
  <c r="M13"/>
  <c r="M14"/>
  <c r="M15"/>
  <c r="M16"/>
  <c r="M17"/>
  <c r="M18"/>
  <c r="M19"/>
  <c r="M20"/>
  <c r="M21"/>
  <c r="M22"/>
  <c r="M8"/>
  <c r="C15" i="8" l="1"/>
  <c r="I15"/>
  <c r="F15"/>
  <c r="F16"/>
  <c r="C16"/>
  <c r="I16"/>
  <c r="D114" i="13"/>
  <c r="E114"/>
  <c r="F114"/>
  <c r="C114"/>
  <c r="F99" i="11"/>
  <c r="G17" i="29"/>
  <c r="AU32" i="38"/>
  <c r="AU33"/>
  <c r="AU34"/>
  <c r="AU35"/>
  <c r="AU36"/>
  <c r="AU37"/>
  <c r="AU38"/>
  <c r="AU39"/>
  <c r="AU40"/>
  <c r="AU41"/>
  <c r="AU42"/>
  <c r="AU43"/>
  <c r="AU44"/>
  <c r="AU45"/>
  <c r="AU46"/>
  <c r="AU47"/>
  <c r="AU48"/>
  <c r="AU49"/>
  <c r="AU50"/>
  <c r="AU51"/>
  <c r="AU52"/>
  <c r="AU53"/>
  <c r="AU54"/>
  <c r="AU55"/>
  <c r="AU56"/>
  <c r="AU57"/>
  <c r="AU58"/>
  <c r="AU59"/>
  <c r="AU60"/>
  <c r="AU61"/>
  <c r="AU62"/>
  <c r="AU63"/>
  <c r="AU64"/>
  <c r="AU65"/>
  <c r="AU66"/>
  <c r="AU67"/>
  <c r="AU68"/>
  <c r="AU69"/>
  <c r="AU70"/>
  <c r="AU71"/>
  <c r="AU72"/>
  <c r="AU73"/>
  <c r="AU74"/>
  <c r="AU75"/>
  <c r="AU76"/>
  <c r="AU77"/>
  <c r="AU78"/>
  <c r="AU79"/>
  <c r="AU80"/>
  <c r="AU81"/>
  <c r="AU82"/>
  <c r="AU83"/>
  <c r="AU84"/>
  <c r="AU85"/>
  <c r="AU8"/>
  <c r="AU9"/>
  <c r="AU10"/>
  <c r="AU11"/>
  <c r="AU12"/>
  <c r="AU13"/>
  <c r="AU14"/>
  <c r="AU15"/>
  <c r="AU16"/>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
  <c r="AE9"/>
  <c r="AE10"/>
  <c r="AE11"/>
  <c r="AE12"/>
  <c r="AE13"/>
  <c r="AE14"/>
  <c r="AE15"/>
  <c r="AE16"/>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
  <c r="O9"/>
  <c r="O10"/>
  <c r="O11"/>
  <c r="O12"/>
  <c r="O13"/>
  <c r="O14"/>
  <c r="O15"/>
  <c r="O16"/>
  <c r="AU32" i="37"/>
  <c r="AU33"/>
  <c r="AU34"/>
  <c r="AU35"/>
  <c r="AU36"/>
  <c r="AU37"/>
  <c r="AU38"/>
  <c r="AU39"/>
  <c r="AU40"/>
  <c r="AU41"/>
  <c r="AU42"/>
  <c r="AU43"/>
  <c r="AU44"/>
  <c r="AU45"/>
  <c r="AU46"/>
  <c r="AU47"/>
  <c r="AU48"/>
  <c r="AU49"/>
  <c r="AU50"/>
  <c r="AU51"/>
  <c r="AU52"/>
  <c r="AU53"/>
  <c r="AU54"/>
  <c r="AU55"/>
  <c r="AU56"/>
  <c r="AU57"/>
  <c r="AU58"/>
  <c r="AU59"/>
  <c r="AU60"/>
  <c r="AU61"/>
  <c r="AU62"/>
  <c r="AU63"/>
  <c r="AU64"/>
  <c r="AU65"/>
  <c r="AU66"/>
  <c r="AU67"/>
  <c r="AU68"/>
  <c r="AU69"/>
  <c r="AU70"/>
  <c r="AU71"/>
  <c r="AU72"/>
  <c r="AU73"/>
  <c r="AU74"/>
  <c r="AU75"/>
  <c r="AU76"/>
  <c r="AU77"/>
  <c r="AU78"/>
  <c r="AU79"/>
  <c r="AU80"/>
  <c r="AU81"/>
  <c r="AU82"/>
  <c r="AU83"/>
  <c r="AU84"/>
  <c r="AU85"/>
  <c r="AU8"/>
  <c r="AU9"/>
  <c r="AU10"/>
  <c r="AU11"/>
  <c r="AU12"/>
  <c r="AU13"/>
  <c r="AU14"/>
  <c r="AU15"/>
  <c r="AU16"/>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
  <c r="AE9"/>
  <c r="AE10"/>
  <c r="AE11"/>
  <c r="AE12"/>
  <c r="AE13"/>
  <c r="AE14"/>
  <c r="AE15"/>
  <c r="AE16"/>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
  <c r="O9"/>
  <c r="O10"/>
  <c r="O11"/>
  <c r="O12"/>
  <c r="O13"/>
  <c r="O14"/>
  <c r="O15"/>
  <c r="O16"/>
  <c r="AE32" i="17"/>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
  <c r="AE9"/>
  <c r="AE10"/>
  <c r="AE11"/>
  <c r="AE12"/>
  <c r="AE13"/>
  <c r="AE14"/>
  <c r="AE15"/>
  <c r="AE16"/>
  <c r="AU32"/>
  <c r="AU33"/>
  <c r="AU34"/>
  <c r="AU35"/>
  <c r="AU36"/>
  <c r="AU37"/>
  <c r="AU38"/>
  <c r="AU39"/>
  <c r="AU40"/>
  <c r="AU41"/>
  <c r="AU42"/>
  <c r="AU43"/>
  <c r="AU44"/>
  <c r="AU45"/>
  <c r="AU46"/>
  <c r="AU47"/>
  <c r="AU48"/>
  <c r="AU49"/>
  <c r="AU50"/>
  <c r="AU51"/>
  <c r="AU52"/>
  <c r="AU53"/>
  <c r="AU54"/>
  <c r="AU55"/>
  <c r="AU56"/>
  <c r="AU57"/>
  <c r="AU58"/>
  <c r="AU59"/>
  <c r="AU60"/>
  <c r="AU61"/>
  <c r="AU62"/>
  <c r="AU63"/>
  <c r="AU64"/>
  <c r="AU65"/>
  <c r="AU66"/>
  <c r="AU67"/>
  <c r="AU68"/>
  <c r="AU69"/>
  <c r="AU70"/>
  <c r="AU71"/>
  <c r="AU72"/>
  <c r="AU73"/>
  <c r="AU74"/>
  <c r="AU75"/>
  <c r="AU76"/>
  <c r="AU77"/>
  <c r="AU78"/>
  <c r="AU79"/>
  <c r="AU80"/>
  <c r="AU81"/>
  <c r="AU82"/>
  <c r="AU83"/>
  <c r="AU84"/>
  <c r="AU85"/>
  <c r="AU8"/>
  <c r="AU9"/>
  <c r="AU10"/>
  <c r="AU11"/>
  <c r="AU12"/>
  <c r="AU13"/>
  <c r="AU14"/>
  <c r="AU15"/>
  <c r="AU16"/>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
  <c r="O9"/>
  <c r="O10"/>
  <c r="O11"/>
  <c r="O12"/>
  <c r="O13"/>
  <c r="O14"/>
  <c r="O15"/>
  <c r="O16"/>
  <c r="H11" i="14"/>
  <c r="H12"/>
  <c r="H13"/>
  <c r="H14"/>
  <c r="H15"/>
  <c r="H16"/>
  <c r="H17"/>
  <c r="H18"/>
  <c r="H19"/>
  <c r="H20"/>
  <c r="N264" i="11"/>
  <c r="L264"/>
  <c r="K264"/>
  <c r="M223"/>
  <c r="L223"/>
  <c r="N182"/>
  <c r="L182"/>
  <c r="K182"/>
  <c r="M141"/>
  <c r="L141"/>
  <c r="N100"/>
  <c r="M100"/>
  <c r="L100"/>
  <c r="K100"/>
  <c r="M263"/>
  <c r="L263"/>
  <c r="N222"/>
  <c r="M222"/>
  <c r="L222"/>
  <c r="K222"/>
  <c r="M181"/>
  <c r="L181"/>
  <c r="N140"/>
  <c r="M140"/>
  <c r="L140"/>
  <c r="K140"/>
  <c r="N99"/>
  <c r="M99"/>
  <c r="L99"/>
  <c r="C108" i="10"/>
  <c r="M264" i="11" s="1"/>
  <c r="E153" i="35" s="1"/>
  <c r="O21" i="5"/>
  <c r="O20"/>
  <c r="D77" i="28"/>
  <c r="D68"/>
  <c r="C77"/>
  <c r="C68"/>
  <c r="I33" i="5"/>
  <c r="J33" s="1"/>
  <c r="C33"/>
  <c r="D33" s="1"/>
  <c r="J32"/>
  <c r="D32"/>
  <c r="AX85" i="38"/>
  <c r="AW85"/>
  <c r="AV85"/>
  <c r="AR85"/>
  <c r="AQ85"/>
  <c r="AP85"/>
  <c r="AO85"/>
  <c r="AN85"/>
  <c r="AM85"/>
  <c r="AL85"/>
  <c r="AJ85"/>
  <c r="AH85"/>
  <c r="AG85"/>
  <c r="AF85"/>
  <c r="AB85"/>
  <c r="AA85"/>
  <c r="Z85"/>
  <c r="Y85"/>
  <c r="X85"/>
  <c r="W85"/>
  <c r="V85"/>
  <c r="T85"/>
  <c r="R85"/>
  <c r="Q85"/>
  <c r="P85"/>
  <c r="L85"/>
  <c r="K85"/>
  <c r="J85"/>
  <c r="I85"/>
  <c r="H85"/>
  <c r="G85"/>
  <c r="F85"/>
  <c r="D85"/>
  <c r="AX84"/>
  <c r="AW84"/>
  <c r="AV84"/>
  <c r="AR84"/>
  <c r="AQ84"/>
  <c r="AP84"/>
  <c r="AO84"/>
  <c r="AN84"/>
  <c r="AM84"/>
  <c r="AL84"/>
  <c r="AJ84"/>
  <c r="AH84"/>
  <c r="AG84"/>
  <c r="AF84"/>
  <c r="AB84"/>
  <c r="AA84"/>
  <c r="Z84"/>
  <c r="Y84"/>
  <c r="X84"/>
  <c r="W84"/>
  <c r="V84"/>
  <c r="T84"/>
  <c r="R84"/>
  <c r="Q84"/>
  <c r="P84"/>
  <c r="L84"/>
  <c r="K84"/>
  <c r="J84"/>
  <c r="I84"/>
  <c r="H84"/>
  <c r="G84"/>
  <c r="F84"/>
  <c r="D84"/>
  <c r="AX83"/>
  <c r="AW83"/>
  <c r="AV83"/>
  <c r="AR83"/>
  <c r="AQ83"/>
  <c r="AP83"/>
  <c r="AO83"/>
  <c r="AN83"/>
  <c r="AM83"/>
  <c r="AL83"/>
  <c r="AJ83"/>
  <c r="AH83"/>
  <c r="AG83"/>
  <c r="AF83"/>
  <c r="AB83"/>
  <c r="AA83"/>
  <c r="Z83"/>
  <c r="Y83"/>
  <c r="X83"/>
  <c r="W83"/>
  <c r="V83"/>
  <c r="T83"/>
  <c r="R83"/>
  <c r="Q83"/>
  <c r="P83"/>
  <c r="L83"/>
  <c r="K83"/>
  <c r="J83"/>
  <c r="I83"/>
  <c r="H83"/>
  <c r="G83"/>
  <c r="F83"/>
  <c r="D83"/>
  <c r="AX82"/>
  <c r="AW82"/>
  <c r="AV82"/>
  <c r="AR82"/>
  <c r="AQ82"/>
  <c r="AP82"/>
  <c r="AO82"/>
  <c r="AN82"/>
  <c r="AM82"/>
  <c r="AL82"/>
  <c r="AJ82"/>
  <c r="AH82"/>
  <c r="AG82"/>
  <c r="AF82"/>
  <c r="AB82"/>
  <c r="AA82"/>
  <c r="Z82"/>
  <c r="Y82"/>
  <c r="X82"/>
  <c r="W82"/>
  <c r="V82"/>
  <c r="T82"/>
  <c r="R82"/>
  <c r="Q82"/>
  <c r="P82"/>
  <c r="L82"/>
  <c r="K82"/>
  <c r="J82"/>
  <c r="I82"/>
  <c r="H82"/>
  <c r="G82"/>
  <c r="F82"/>
  <c r="D82"/>
  <c r="AX81"/>
  <c r="AW81"/>
  <c r="AV81"/>
  <c r="AR81"/>
  <c r="AQ81"/>
  <c r="AP81"/>
  <c r="AO81"/>
  <c r="AN81"/>
  <c r="AM81"/>
  <c r="AL81"/>
  <c r="AJ81"/>
  <c r="AH81"/>
  <c r="AG81"/>
  <c r="AF81"/>
  <c r="AB81"/>
  <c r="AA81"/>
  <c r="Z81"/>
  <c r="Y81"/>
  <c r="X81"/>
  <c r="W81"/>
  <c r="V81"/>
  <c r="T81"/>
  <c r="R81"/>
  <c r="Q81"/>
  <c r="P81"/>
  <c r="L81"/>
  <c r="K81"/>
  <c r="J81"/>
  <c r="I81"/>
  <c r="H81"/>
  <c r="G81"/>
  <c r="F81"/>
  <c r="D81"/>
  <c r="AX80"/>
  <c r="AW80"/>
  <c r="AV80"/>
  <c r="AR80"/>
  <c r="AQ80"/>
  <c r="AP80"/>
  <c r="AO80"/>
  <c r="AN80"/>
  <c r="AM80"/>
  <c r="AL80"/>
  <c r="AJ80"/>
  <c r="AH80"/>
  <c r="AG80"/>
  <c r="AF80"/>
  <c r="AB80"/>
  <c r="AA80"/>
  <c r="Z80"/>
  <c r="Y80"/>
  <c r="X80"/>
  <c r="W80"/>
  <c r="V80"/>
  <c r="T80"/>
  <c r="R80"/>
  <c r="Q80"/>
  <c r="P80"/>
  <c r="L80"/>
  <c r="K80"/>
  <c r="J80"/>
  <c r="I80"/>
  <c r="H80"/>
  <c r="G80"/>
  <c r="F80"/>
  <c r="D80"/>
  <c r="AX79"/>
  <c r="AW79"/>
  <c r="AV79"/>
  <c r="AR79"/>
  <c r="AQ79"/>
  <c r="AP79"/>
  <c r="AO79"/>
  <c r="AN79"/>
  <c r="AM79"/>
  <c r="AL79"/>
  <c r="AJ79"/>
  <c r="AH79"/>
  <c r="AG79"/>
  <c r="AF79"/>
  <c r="AB79"/>
  <c r="AA79"/>
  <c r="Z79"/>
  <c r="Y79"/>
  <c r="X79"/>
  <c r="W79"/>
  <c r="V79"/>
  <c r="T79"/>
  <c r="R79"/>
  <c r="Q79"/>
  <c r="P79"/>
  <c r="L79"/>
  <c r="K79"/>
  <c r="J79"/>
  <c r="I79"/>
  <c r="H79"/>
  <c r="G79"/>
  <c r="F79"/>
  <c r="D79"/>
  <c r="AX78"/>
  <c r="AW78"/>
  <c r="AV78"/>
  <c r="AR78"/>
  <c r="AQ78"/>
  <c r="AP78"/>
  <c r="AO78"/>
  <c r="AN78"/>
  <c r="AM78"/>
  <c r="AL78"/>
  <c r="AJ78"/>
  <c r="AH78"/>
  <c r="AG78"/>
  <c r="AF78"/>
  <c r="AB78"/>
  <c r="AA78"/>
  <c r="Z78"/>
  <c r="Y78"/>
  <c r="X78"/>
  <c r="W78"/>
  <c r="V78"/>
  <c r="T78"/>
  <c r="R78"/>
  <c r="Q78"/>
  <c r="P78"/>
  <c r="L78"/>
  <c r="K78"/>
  <c r="J78"/>
  <c r="I78"/>
  <c r="H78"/>
  <c r="G78"/>
  <c r="F78"/>
  <c r="D78"/>
  <c r="AX77"/>
  <c r="AW77"/>
  <c r="AV77"/>
  <c r="AR77"/>
  <c r="AQ77"/>
  <c r="AP77"/>
  <c r="AO77"/>
  <c r="AN77"/>
  <c r="AM77"/>
  <c r="AL77"/>
  <c r="AJ77"/>
  <c r="AH77"/>
  <c r="AG77"/>
  <c r="AF77"/>
  <c r="AB77"/>
  <c r="AA77"/>
  <c r="Z77"/>
  <c r="Y77"/>
  <c r="X77"/>
  <c r="W77"/>
  <c r="V77"/>
  <c r="T77"/>
  <c r="R77"/>
  <c r="Q77"/>
  <c r="P77"/>
  <c r="L77"/>
  <c r="K77"/>
  <c r="J77"/>
  <c r="I77"/>
  <c r="H77"/>
  <c r="G77"/>
  <c r="F77"/>
  <c r="D77"/>
  <c r="AX76"/>
  <c r="AW76"/>
  <c r="AV76"/>
  <c r="AR76"/>
  <c r="AQ76"/>
  <c r="AP76"/>
  <c r="AO76"/>
  <c r="AN76"/>
  <c r="AM76"/>
  <c r="AL76"/>
  <c r="AJ76"/>
  <c r="AH76"/>
  <c r="AG76"/>
  <c r="AF76"/>
  <c r="AB76"/>
  <c r="AA76"/>
  <c r="Z76"/>
  <c r="Y76"/>
  <c r="X76"/>
  <c r="W76"/>
  <c r="V76"/>
  <c r="T76"/>
  <c r="R76"/>
  <c r="Q76"/>
  <c r="P76"/>
  <c r="L76"/>
  <c r="K76"/>
  <c r="J76"/>
  <c r="I76"/>
  <c r="H76"/>
  <c r="G76"/>
  <c r="F76"/>
  <c r="D76"/>
  <c r="AX75"/>
  <c r="AW75"/>
  <c r="AV75"/>
  <c r="AR75"/>
  <c r="AQ75"/>
  <c r="AP75"/>
  <c r="AO75"/>
  <c r="AN75"/>
  <c r="AM75"/>
  <c r="AL75"/>
  <c r="AJ75"/>
  <c r="AH75"/>
  <c r="AG75"/>
  <c r="AF75"/>
  <c r="AB75"/>
  <c r="AA75"/>
  <c r="Z75"/>
  <c r="Y75"/>
  <c r="X75"/>
  <c r="W75"/>
  <c r="V75"/>
  <c r="T75"/>
  <c r="R75"/>
  <c r="Q75"/>
  <c r="P75"/>
  <c r="L75"/>
  <c r="K75"/>
  <c r="J75"/>
  <c r="I75"/>
  <c r="H75"/>
  <c r="G75"/>
  <c r="F75"/>
  <c r="D75"/>
  <c r="AX74"/>
  <c r="AW74"/>
  <c r="AV74"/>
  <c r="AR74"/>
  <c r="AQ74"/>
  <c r="AP74"/>
  <c r="AO74"/>
  <c r="AN74"/>
  <c r="AM74"/>
  <c r="AL74"/>
  <c r="AJ74"/>
  <c r="AH74"/>
  <c r="AG74"/>
  <c r="AF74"/>
  <c r="AB74"/>
  <c r="AA74"/>
  <c r="Z74"/>
  <c r="Y74"/>
  <c r="X74"/>
  <c r="W74"/>
  <c r="V74"/>
  <c r="T74"/>
  <c r="R74"/>
  <c r="Q74"/>
  <c r="P74"/>
  <c r="L74"/>
  <c r="K74"/>
  <c r="J74"/>
  <c r="I74"/>
  <c r="H74"/>
  <c r="G74"/>
  <c r="F74"/>
  <c r="D74"/>
  <c r="AX73"/>
  <c r="AW73"/>
  <c r="AV73"/>
  <c r="AR73"/>
  <c r="AQ73"/>
  <c r="AP73"/>
  <c r="AO73"/>
  <c r="AN73"/>
  <c r="AM73"/>
  <c r="AL73"/>
  <c r="AJ73"/>
  <c r="AH73"/>
  <c r="AG73"/>
  <c r="AF73"/>
  <c r="AB73"/>
  <c r="AA73"/>
  <c r="Z73"/>
  <c r="Y73"/>
  <c r="X73"/>
  <c r="W73"/>
  <c r="V73"/>
  <c r="T73"/>
  <c r="R73"/>
  <c r="Q73"/>
  <c r="P73"/>
  <c r="L73"/>
  <c r="K73"/>
  <c r="J73"/>
  <c r="I73"/>
  <c r="H73"/>
  <c r="G73"/>
  <c r="F73"/>
  <c r="D73"/>
  <c r="AX72"/>
  <c r="AW72"/>
  <c r="AV72"/>
  <c r="AR72"/>
  <c r="AQ72"/>
  <c r="AP72"/>
  <c r="AO72"/>
  <c r="AN72"/>
  <c r="AM72"/>
  <c r="AL72"/>
  <c r="AJ72"/>
  <c r="AH72"/>
  <c r="AG72"/>
  <c r="AF72"/>
  <c r="AB72"/>
  <c r="AA72"/>
  <c r="Z72"/>
  <c r="Y72"/>
  <c r="X72"/>
  <c r="W72"/>
  <c r="V72"/>
  <c r="T72"/>
  <c r="R72"/>
  <c r="Q72"/>
  <c r="P72"/>
  <c r="L72"/>
  <c r="K72"/>
  <c r="J72"/>
  <c r="I72"/>
  <c r="H72"/>
  <c r="G72"/>
  <c r="F72"/>
  <c r="D72"/>
  <c r="AX71"/>
  <c r="AW71"/>
  <c r="AV71"/>
  <c r="AR71"/>
  <c r="AQ71"/>
  <c r="AP71"/>
  <c r="AO71"/>
  <c r="AN71"/>
  <c r="AM71"/>
  <c r="AL71"/>
  <c r="AJ71"/>
  <c r="AH71"/>
  <c r="AG71"/>
  <c r="AF71"/>
  <c r="AB71"/>
  <c r="AA71"/>
  <c r="Z71"/>
  <c r="Y71"/>
  <c r="X71"/>
  <c r="W71"/>
  <c r="V71"/>
  <c r="T71"/>
  <c r="R71"/>
  <c r="Q71"/>
  <c r="P71"/>
  <c r="L71"/>
  <c r="K71"/>
  <c r="J71"/>
  <c r="I71"/>
  <c r="H71"/>
  <c r="G71"/>
  <c r="F71"/>
  <c r="D71"/>
  <c r="AX70"/>
  <c r="AW70"/>
  <c r="AV70"/>
  <c r="AR70"/>
  <c r="AQ70"/>
  <c r="AP70"/>
  <c r="AO70"/>
  <c r="AN70"/>
  <c r="AM70"/>
  <c r="AL70"/>
  <c r="AJ70"/>
  <c r="AH70"/>
  <c r="AG70"/>
  <c r="AF70"/>
  <c r="AB70"/>
  <c r="AA70"/>
  <c r="Z70"/>
  <c r="Y70"/>
  <c r="X70"/>
  <c r="W70"/>
  <c r="V70"/>
  <c r="T70"/>
  <c r="R70"/>
  <c r="Q70"/>
  <c r="P70"/>
  <c r="L70"/>
  <c r="K70"/>
  <c r="J70"/>
  <c r="I70"/>
  <c r="H70"/>
  <c r="G70"/>
  <c r="F70"/>
  <c r="D70"/>
  <c r="AX69"/>
  <c r="AW69"/>
  <c r="AV69"/>
  <c r="AR69"/>
  <c r="AQ69"/>
  <c r="AP69"/>
  <c r="AO69"/>
  <c r="AN69"/>
  <c r="AM69"/>
  <c r="AL69"/>
  <c r="AJ69"/>
  <c r="AH69"/>
  <c r="AG69"/>
  <c r="AF69"/>
  <c r="AB69"/>
  <c r="AA69"/>
  <c r="Z69"/>
  <c r="Y69"/>
  <c r="X69"/>
  <c r="W69"/>
  <c r="V69"/>
  <c r="T69"/>
  <c r="R69"/>
  <c r="Q69"/>
  <c r="P69"/>
  <c r="L69"/>
  <c r="K69"/>
  <c r="J69"/>
  <c r="I69"/>
  <c r="H69"/>
  <c r="G69"/>
  <c r="F69"/>
  <c r="D69"/>
  <c r="AX68"/>
  <c r="AW68"/>
  <c r="AV68"/>
  <c r="AR68"/>
  <c r="AQ68"/>
  <c r="AP68"/>
  <c r="AO68"/>
  <c r="AN68"/>
  <c r="AM68"/>
  <c r="AL68"/>
  <c r="AJ68"/>
  <c r="AH68"/>
  <c r="AG68"/>
  <c r="AF68"/>
  <c r="AB68"/>
  <c r="AA68"/>
  <c r="Z68"/>
  <c r="Y68"/>
  <c r="X68"/>
  <c r="W68"/>
  <c r="V68"/>
  <c r="T68"/>
  <c r="R68"/>
  <c r="Q68"/>
  <c r="P68"/>
  <c r="L68"/>
  <c r="K68"/>
  <c r="J68"/>
  <c r="I68"/>
  <c r="H68"/>
  <c r="G68"/>
  <c r="F68"/>
  <c r="D68"/>
  <c r="AX67"/>
  <c r="AW67"/>
  <c r="AV67"/>
  <c r="AR67"/>
  <c r="AQ67"/>
  <c r="AP67"/>
  <c r="AO67"/>
  <c r="AN67"/>
  <c r="AM67"/>
  <c r="AL67"/>
  <c r="AJ67"/>
  <c r="AH67"/>
  <c r="AG67"/>
  <c r="AF67"/>
  <c r="AB67"/>
  <c r="AA67"/>
  <c r="Z67"/>
  <c r="Y67"/>
  <c r="X67"/>
  <c r="W67"/>
  <c r="V67"/>
  <c r="T67"/>
  <c r="R67"/>
  <c r="Q67"/>
  <c r="P67"/>
  <c r="L67"/>
  <c r="K67"/>
  <c r="J67"/>
  <c r="I67"/>
  <c r="H67"/>
  <c r="G67"/>
  <c r="F67"/>
  <c r="D67"/>
  <c r="AX66"/>
  <c r="AW66"/>
  <c r="AV66"/>
  <c r="AR66"/>
  <c r="AQ66"/>
  <c r="AP66"/>
  <c r="AO66"/>
  <c r="AN66"/>
  <c r="AM66"/>
  <c r="AL66"/>
  <c r="AJ66"/>
  <c r="AH66"/>
  <c r="AG66"/>
  <c r="AF66"/>
  <c r="AB66"/>
  <c r="AA66"/>
  <c r="Z66"/>
  <c r="Y66"/>
  <c r="X66"/>
  <c r="W66"/>
  <c r="V66"/>
  <c r="T66"/>
  <c r="R66"/>
  <c r="Q66"/>
  <c r="P66"/>
  <c r="L66"/>
  <c r="K66"/>
  <c r="J66"/>
  <c r="I66"/>
  <c r="H66"/>
  <c r="G66"/>
  <c r="F66"/>
  <c r="D66"/>
  <c r="AX65"/>
  <c r="AW65"/>
  <c r="AV65"/>
  <c r="AR65"/>
  <c r="AQ65"/>
  <c r="AP65"/>
  <c r="AO65"/>
  <c r="AN65"/>
  <c r="AM65"/>
  <c r="AL65"/>
  <c r="AJ65"/>
  <c r="AH65"/>
  <c r="AG65"/>
  <c r="AF65"/>
  <c r="AB65"/>
  <c r="AA65"/>
  <c r="Z65"/>
  <c r="Y65"/>
  <c r="X65"/>
  <c r="W65"/>
  <c r="V65"/>
  <c r="T65"/>
  <c r="R65"/>
  <c r="Q65"/>
  <c r="P65"/>
  <c r="L65"/>
  <c r="K65"/>
  <c r="J65"/>
  <c r="I65"/>
  <c r="H65"/>
  <c r="G65"/>
  <c r="F65"/>
  <c r="D65"/>
  <c r="AX64"/>
  <c r="AW64"/>
  <c r="AV64"/>
  <c r="AR64"/>
  <c r="AQ64"/>
  <c r="AP64"/>
  <c r="AO64"/>
  <c r="AN64"/>
  <c r="AM64"/>
  <c r="AL64"/>
  <c r="AJ64"/>
  <c r="AH64"/>
  <c r="AG64"/>
  <c r="AF64"/>
  <c r="AB64"/>
  <c r="AA64"/>
  <c r="Z64"/>
  <c r="Y64"/>
  <c r="X64"/>
  <c r="W64"/>
  <c r="V64"/>
  <c r="T64"/>
  <c r="R64"/>
  <c r="Q64"/>
  <c r="P64"/>
  <c r="L64"/>
  <c r="K64"/>
  <c r="J64"/>
  <c r="I64"/>
  <c r="H64"/>
  <c r="G64"/>
  <c r="F64"/>
  <c r="D64"/>
  <c r="AX63"/>
  <c r="AW63"/>
  <c r="AV63"/>
  <c r="AR63"/>
  <c r="AQ63"/>
  <c r="AP63"/>
  <c r="AO63"/>
  <c r="AN63"/>
  <c r="AM63"/>
  <c r="AL63"/>
  <c r="AJ63"/>
  <c r="AH63"/>
  <c r="AG63"/>
  <c r="AF63"/>
  <c r="AB63"/>
  <c r="AA63"/>
  <c r="Z63"/>
  <c r="Y63"/>
  <c r="X63"/>
  <c r="W63"/>
  <c r="V63"/>
  <c r="T63"/>
  <c r="R63"/>
  <c r="Q63"/>
  <c r="P63"/>
  <c r="L63"/>
  <c r="K63"/>
  <c r="J63"/>
  <c r="I63"/>
  <c r="H63"/>
  <c r="G63"/>
  <c r="F63"/>
  <c r="D63"/>
  <c r="AX62"/>
  <c r="AW62"/>
  <c r="AV62"/>
  <c r="AR62"/>
  <c r="AQ62"/>
  <c r="AP62"/>
  <c r="AO62"/>
  <c r="AN62"/>
  <c r="AM62"/>
  <c r="AL62"/>
  <c r="AJ62"/>
  <c r="AH62"/>
  <c r="AG62"/>
  <c r="AF62"/>
  <c r="AB62"/>
  <c r="AA62"/>
  <c r="Z62"/>
  <c r="Y62"/>
  <c r="X62"/>
  <c r="W62"/>
  <c r="V62"/>
  <c r="T62"/>
  <c r="R62"/>
  <c r="Q62"/>
  <c r="P62"/>
  <c r="L62"/>
  <c r="K62"/>
  <c r="J62"/>
  <c r="I62"/>
  <c r="H62"/>
  <c r="G62"/>
  <c r="F62"/>
  <c r="D62"/>
  <c r="AX61"/>
  <c r="AW61"/>
  <c r="AV61"/>
  <c r="AR61"/>
  <c r="AQ61"/>
  <c r="AP61"/>
  <c r="AO61"/>
  <c r="AN61"/>
  <c r="AM61"/>
  <c r="AL61"/>
  <c r="AJ61"/>
  <c r="AH61"/>
  <c r="AG61"/>
  <c r="AF61"/>
  <c r="AB61"/>
  <c r="AA61"/>
  <c r="Z61"/>
  <c r="Y61"/>
  <c r="X61"/>
  <c r="W61"/>
  <c r="V61"/>
  <c r="T61"/>
  <c r="R61"/>
  <c r="Q61"/>
  <c r="P61"/>
  <c r="L61"/>
  <c r="K61"/>
  <c r="J61"/>
  <c r="I61"/>
  <c r="H61"/>
  <c r="G61"/>
  <c r="F61"/>
  <c r="D61"/>
  <c r="AX60"/>
  <c r="AW60"/>
  <c r="AV60"/>
  <c r="AR60"/>
  <c r="AQ60"/>
  <c r="AP60"/>
  <c r="AO60"/>
  <c r="AN60"/>
  <c r="AM60"/>
  <c r="AL60"/>
  <c r="AJ60"/>
  <c r="AH60"/>
  <c r="AG60"/>
  <c r="AF60"/>
  <c r="AB60"/>
  <c r="AA60"/>
  <c r="Z60"/>
  <c r="Y60"/>
  <c r="X60"/>
  <c r="W60"/>
  <c r="V60"/>
  <c r="T60"/>
  <c r="R60"/>
  <c r="Q60"/>
  <c r="P60"/>
  <c r="L60"/>
  <c r="K60"/>
  <c r="J60"/>
  <c r="I60"/>
  <c r="H60"/>
  <c r="G60"/>
  <c r="F60"/>
  <c r="D60"/>
  <c r="AX59"/>
  <c r="AW59"/>
  <c r="AV59"/>
  <c r="AR59"/>
  <c r="AQ59"/>
  <c r="AP59"/>
  <c r="AO59"/>
  <c r="AN59"/>
  <c r="AM59"/>
  <c r="AL59"/>
  <c r="AJ59"/>
  <c r="AH59"/>
  <c r="AG59"/>
  <c r="AF59"/>
  <c r="AB59"/>
  <c r="AA59"/>
  <c r="Z59"/>
  <c r="Y59"/>
  <c r="X59"/>
  <c r="W59"/>
  <c r="V59"/>
  <c r="T59"/>
  <c r="R59"/>
  <c r="Q59"/>
  <c r="P59"/>
  <c r="L59"/>
  <c r="K59"/>
  <c r="J59"/>
  <c r="I59"/>
  <c r="H59"/>
  <c r="G59"/>
  <c r="F59"/>
  <c r="D59"/>
  <c r="AX58"/>
  <c r="AW58"/>
  <c r="AV58"/>
  <c r="AR58"/>
  <c r="AQ58"/>
  <c r="AP58"/>
  <c r="AO58"/>
  <c r="AN58"/>
  <c r="AM58"/>
  <c r="AL58"/>
  <c r="AJ58"/>
  <c r="AH58"/>
  <c r="AG58"/>
  <c r="AF58"/>
  <c r="AB58"/>
  <c r="AA58"/>
  <c r="Z58"/>
  <c r="Y58"/>
  <c r="X58"/>
  <c r="W58"/>
  <c r="V58"/>
  <c r="T58"/>
  <c r="R58"/>
  <c r="Q58"/>
  <c r="P58"/>
  <c r="L58"/>
  <c r="K58"/>
  <c r="J58"/>
  <c r="I58"/>
  <c r="H58"/>
  <c r="G58"/>
  <c r="F58"/>
  <c r="D58"/>
  <c r="AX57"/>
  <c r="AW57"/>
  <c r="AV57"/>
  <c r="AR57"/>
  <c r="AQ57"/>
  <c r="AP57"/>
  <c r="AO57"/>
  <c r="AN57"/>
  <c r="AM57"/>
  <c r="AL57"/>
  <c r="AJ57"/>
  <c r="AH57"/>
  <c r="AG57"/>
  <c r="AF57"/>
  <c r="AB57"/>
  <c r="AA57"/>
  <c r="Z57"/>
  <c r="Y57"/>
  <c r="X57"/>
  <c r="W57"/>
  <c r="V57"/>
  <c r="T57"/>
  <c r="R57"/>
  <c r="Q57"/>
  <c r="P57"/>
  <c r="L57"/>
  <c r="K57"/>
  <c r="J57"/>
  <c r="I57"/>
  <c r="H57"/>
  <c r="G57"/>
  <c r="F57"/>
  <c r="D57"/>
  <c r="AX56"/>
  <c r="AW56"/>
  <c r="AV56"/>
  <c r="AR56"/>
  <c r="AQ56"/>
  <c r="AP56"/>
  <c r="AO56"/>
  <c r="AN56"/>
  <c r="AM56"/>
  <c r="AL56"/>
  <c r="AJ56"/>
  <c r="AH56"/>
  <c r="AG56"/>
  <c r="AF56"/>
  <c r="AB56"/>
  <c r="AA56"/>
  <c r="Z56"/>
  <c r="Y56"/>
  <c r="X56"/>
  <c r="W56"/>
  <c r="V56"/>
  <c r="T56"/>
  <c r="R56"/>
  <c r="Q56"/>
  <c r="P56"/>
  <c r="L56"/>
  <c r="K56"/>
  <c r="J56"/>
  <c r="I56"/>
  <c r="H56"/>
  <c r="G56"/>
  <c r="F56"/>
  <c r="D56"/>
  <c r="AX55"/>
  <c r="AW55"/>
  <c r="AV55"/>
  <c r="AR55"/>
  <c r="AQ55"/>
  <c r="AP55"/>
  <c r="AO55"/>
  <c r="AN55"/>
  <c r="AM55"/>
  <c r="AL55"/>
  <c r="AJ55"/>
  <c r="AH55"/>
  <c r="AG55"/>
  <c r="AF55"/>
  <c r="AB55"/>
  <c r="AA55"/>
  <c r="Z55"/>
  <c r="Y55"/>
  <c r="X55"/>
  <c r="W55"/>
  <c r="V55"/>
  <c r="T55"/>
  <c r="R55"/>
  <c r="Q55"/>
  <c r="P55"/>
  <c r="L55"/>
  <c r="K55"/>
  <c r="J55"/>
  <c r="I55"/>
  <c r="H55"/>
  <c r="G55"/>
  <c r="F55"/>
  <c r="D55"/>
  <c r="AX54"/>
  <c r="AW54"/>
  <c r="AV54"/>
  <c r="AR54"/>
  <c r="AQ54"/>
  <c r="AP54"/>
  <c r="AO54"/>
  <c r="AN54"/>
  <c r="AM54"/>
  <c r="AL54"/>
  <c r="AJ54"/>
  <c r="AH54"/>
  <c r="AG54"/>
  <c r="AF54"/>
  <c r="AB54"/>
  <c r="AA54"/>
  <c r="Z54"/>
  <c r="Y54"/>
  <c r="X54"/>
  <c r="W54"/>
  <c r="V54"/>
  <c r="T54"/>
  <c r="R54"/>
  <c r="Q54"/>
  <c r="P54"/>
  <c r="L54"/>
  <c r="K54"/>
  <c r="J54"/>
  <c r="I54"/>
  <c r="H54"/>
  <c r="G54"/>
  <c r="F54"/>
  <c r="D54"/>
  <c r="AX53"/>
  <c r="AW53"/>
  <c r="AV53"/>
  <c r="AR53"/>
  <c r="AQ53"/>
  <c r="AP53"/>
  <c r="AO53"/>
  <c r="AN53"/>
  <c r="AM53"/>
  <c r="AL53"/>
  <c r="AJ53"/>
  <c r="AH53"/>
  <c r="AG53"/>
  <c r="AF53"/>
  <c r="AB53"/>
  <c r="AA53"/>
  <c r="Z53"/>
  <c r="Y53"/>
  <c r="X53"/>
  <c r="W53"/>
  <c r="V53"/>
  <c r="T53"/>
  <c r="R53"/>
  <c r="Q53"/>
  <c r="P53"/>
  <c r="L53"/>
  <c r="K53"/>
  <c r="J53"/>
  <c r="I53"/>
  <c r="H53"/>
  <c r="G53"/>
  <c r="F53"/>
  <c r="D53"/>
  <c r="AX52"/>
  <c r="AW52"/>
  <c r="AV52"/>
  <c r="AR52"/>
  <c r="AQ52"/>
  <c r="AP52"/>
  <c r="AO52"/>
  <c r="AN52"/>
  <c r="AM52"/>
  <c r="AL52"/>
  <c r="AJ52"/>
  <c r="AH52"/>
  <c r="AG52"/>
  <c r="AF52"/>
  <c r="AB52"/>
  <c r="AA52"/>
  <c r="Z52"/>
  <c r="Y52"/>
  <c r="X52"/>
  <c r="W52"/>
  <c r="V52"/>
  <c r="T52"/>
  <c r="R52"/>
  <c r="Q52"/>
  <c r="P52"/>
  <c r="L52"/>
  <c r="K52"/>
  <c r="J52"/>
  <c r="I52"/>
  <c r="H52"/>
  <c r="G52"/>
  <c r="F52"/>
  <c r="D52"/>
  <c r="AX51"/>
  <c r="AW51"/>
  <c r="AV51"/>
  <c r="AR51"/>
  <c r="AQ51"/>
  <c r="AP51"/>
  <c r="AO51"/>
  <c r="AN51"/>
  <c r="AM51"/>
  <c r="AL51"/>
  <c r="AJ51"/>
  <c r="AH51"/>
  <c r="AG51"/>
  <c r="AF51"/>
  <c r="AB51"/>
  <c r="AA51"/>
  <c r="Z51"/>
  <c r="Y51"/>
  <c r="X51"/>
  <c r="W51"/>
  <c r="V51"/>
  <c r="T51"/>
  <c r="R51"/>
  <c r="Q51"/>
  <c r="P51"/>
  <c r="L51"/>
  <c r="K51"/>
  <c r="J51"/>
  <c r="I51"/>
  <c r="H51"/>
  <c r="G51"/>
  <c r="F51"/>
  <c r="D51"/>
  <c r="AX50"/>
  <c r="AW50"/>
  <c r="AV50"/>
  <c r="AR50"/>
  <c r="AQ50"/>
  <c r="AP50"/>
  <c r="AO50"/>
  <c r="AN50"/>
  <c r="AM50"/>
  <c r="AL50"/>
  <c r="AJ50"/>
  <c r="AH50"/>
  <c r="AG50"/>
  <c r="AF50"/>
  <c r="AB50"/>
  <c r="AA50"/>
  <c r="Z50"/>
  <c r="Y50"/>
  <c r="X50"/>
  <c r="W50"/>
  <c r="V50"/>
  <c r="T50"/>
  <c r="R50"/>
  <c r="Q50"/>
  <c r="P50"/>
  <c r="L50"/>
  <c r="K50"/>
  <c r="J50"/>
  <c r="I50"/>
  <c r="H50"/>
  <c r="G50"/>
  <c r="F50"/>
  <c r="D50"/>
  <c r="AX49"/>
  <c r="AW49"/>
  <c r="AV49"/>
  <c r="AR49"/>
  <c r="AQ49"/>
  <c r="AP49"/>
  <c r="AO49"/>
  <c r="AN49"/>
  <c r="AM49"/>
  <c r="AL49"/>
  <c r="AJ49"/>
  <c r="AH49"/>
  <c r="AG49"/>
  <c r="AF49"/>
  <c r="AB49"/>
  <c r="AA49"/>
  <c r="Z49"/>
  <c r="Y49"/>
  <c r="X49"/>
  <c r="W49"/>
  <c r="V49"/>
  <c r="T49"/>
  <c r="R49"/>
  <c r="Q49"/>
  <c r="P49"/>
  <c r="L49"/>
  <c r="K49"/>
  <c r="J49"/>
  <c r="I49"/>
  <c r="H49"/>
  <c r="G49"/>
  <c r="F49"/>
  <c r="D49"/>
  <c r="AX48"/>
  <c r="AW48"/>
  <c r="AV48"/>
  <c r="AR48"/>
  <c r="AQ48"/>
  <c r="AP48"/>
  <c r="AO48"/>
  <c r="AN48"/>
  <c r="AM48"/>
  <c r="AL48"/>
  <c r="AJ48"/>
  <c r="AH48"/>
  <c r="AG48"/>
  <c r="AF48"/>
  <c r="AB48"/>
  <c r="AA48"/>
  <c r="Z48"/>
  <c r="Y48"/>
  <c r="X48"/>
  <c r="W48"/>
  <c r="V48"/>
  <c r="T48"/>
  <c r="R48"/>
  <c r="Q48"/>
  <c r="P48"/>
  <c r="L48"/>
  <c r="K48"/>
  <c r="J48"/>
  <c r="I48"/>
  <c r="H48"/>
  <c r="G48"/>
  <c r="F48"/>
  <c r="D48"/>
  <c r="AX47"/>
  <c r="AW47"/>
  <c r="AV47"/>
  <c r="AR47"/>
  <c r="AQ47"/>
  <c r="AP47"/>
  <c r="AO47"/>
  <c r="AN47"/>
  <c r="AM47"/>
  <c r="AL47"/>
  <c r="AJ47"/>
  <c r="AH47"/>
  <c r="AG47"/>
  <c r="AF47"/>
  <c r="AB47"/>
  <c r="AA47"/>
  <c r="Z47"/>
  <c r="Y47"/>
  <c r="X47"/>
  <c r="W47"/>
  <c r="V47"/>
  <c r="T47"/>
  <c r="R47"/>
  <c r="Q47"/>
  <c r="P47"/>
  <c r="L47"/>
  <c r="K47"/>
  <c r="J47"/>
  <c r="I47"/>
  <c r="H47"/>
  <c r="G47"/>
  <c r="F47"/>
  <c r="D47"/>
  <c r="AX46"/>
  <c r="AW46"/>
  <c r="AV46"/>
  <c r="AR46"/>
  <c r="AQ46"/>
  <c r="AP46"/>
  <c r="AO46"/>
  <c r="AN46"/>
  <c r="AM46"/>
  <c r="AL46"/>
  <c r="AJ46"/>
  <c r="AH46"/>
  <c r="AG46"/>
  <c r="AF46"/>
  <c r="AB46"/>
  <c r="AA46"/>
  <c r="Z46"/>
  <c r="Y46"/>
  <c r="X46"/>
  <c r="W46"/>
  <c r="V46"/>
  <c r="T46"/>
  <c r="R46"/>
  <c r="Q46"/>
  <c r="P46"/>
  <c r="L46"/>
  <c r="K46"/>
  <c r="J46"/>
  <c r="I46"/>
  <c r="H46"/>
  <c r="G46"/>
  <c r="F46"/>
  <c r="D46"/>
  <c r="AX45"/>
  <c r="AW45"/>
  <c r="AV45"/>
  <c r="AR45"/>
  <c r="AQ45"/>
  <c r="AP45"/>
  <c r="AO45"/>
  <c r="AN45"/>
  <c r="AM45"/>
  <c r="AL45"/>
  <c r="AJ45"/>
  <c r="AH45"/>
  <c r="AG45"/>
  <c r="AF45"/>
  <c r="AB45"/>
  <c r="AA45"/>
  <c r="Z45"/>
  <c r="Y45"/>
  <c r="X45"/>
  <c r="W45"/>
  <c r="V45"/>
  <c r="T45"/>
  <c r="R45"/>
  <c r="Q45"/>
  <c r="P45"/>
  <c r="L45"/>
  <c r="K45"/>
  <c r="J45"/>
  <c r="I45"/>
  <c r="H45"/>
  <c r="G45"/>
  <c r="F45"/>
  <c r="D45"/>
  <c r="AX44"/>
  <c r="AW44"/>
  <c r="AV44"/>
  <c r="AR44"/>
  <c r="AQ44"/>
  <c r="AP44"/>
  <c r="AO44"/>
  <c r="AN44"/>
  <c r="AM44"/>
  <c r="AL44"/>
  <c r="AJ44"/>
  <c r="AH44"/>
  <c r="AG44"/>
  <c r="AF44"/>
  <c r="AB44"/>
  <c r="AA44"/>
  <c r="Z44"/>
  <c r="Y44"/>
  <c r="X44"/>
  <c r="W44"/>
  <c r="V44"/>
  <c r="T44"/>
  <c r="R44"/>
  <c r="Q44"/>
  <c r="P44"/>
  <c r="L44"/>
  <c r="K44"/>
  <c r="J44"/>
  <c r="I44"/>
  <c r="H44"/>
  <c r="G44"/>
  <c r="F44"/>
  <c r="D44"/>
  <c r="AX43"/>
  <c r="AW43"/>
  <c r="AV43"/>
  <c r="AR43"/>
  <c r="AQ43"/>
  <c r="AP43"/>
  <c r="AO43"/>
  <c r="AN43"/>
  <c r="AM43"/>
  <c r="AL43"/>
  <c r="AJ43"/>
  <c r="AH43"/>
  <c r="AG43"/>
  <c r="AF43"/>
  <c r="AB43"/>
  <c r="AA43"/>
  <c r="Z43"/>
  <c r="Y43"/>
  <c r="X43"/>
  <c r="W43"/>
  <c r="V43"/>
  <c r="T43"/>
  <c r="R43"/>
  <c r="Q43"/>
  <c r="P43"/>
  <c r="L43"/>
  <c r="K43"/>
  <c r="J43"/>
  <c r="I43"/>
  <c r="H43"/>
  <c r="G43"/>
  <c r="F43"/>
  <c r="D43"/>
  <c r="AX42"/>
  <c r="AW42"/>
  <c r="AV42"/>
  <c r="AR42"/>
  <c r="AQ42"/>
  <c r="AP42"/>
  <c r="AO42"/>
  <c r="AN42"/>
  <c r="AM42"/>
  <c r="AL42"/>
  <c r="AJ42"/>
  <c r="AH42"/>
  <c r="AG42"/>
  <c r="AF42"/>
  <c r="AB42"/>
  <c r="AA42"/>
  <c r="Z42"/>
  <c r="Y42"/>
  <c r="X42"/>
  <c r="W42"/>
  <c r="V42"/>
  <c r="T42"/>
  <c r="R42"/>
  <c r="Q42"/>
  <c r="P42"/>
  <c r="L42"/>
  <c r="K42"/>
  <c r="J42"/>
  <c r="I42"/>
  <c r="H42"/>
  <c r="G42"/>
  <c r="F42"/>
  <c r="D42"/>
  <c r="AX41"/>
  <c r="AW41"/>
  <c r="AV41"/>
  <c r="AR41"/>
  <c r="AQ41"/>
  <c r="AP41"/>
  <c r="AO41"/>
  <c r="AN41"/>
  <c r="AM41"/>
  <c r="AL41"/>
  <c r="AJ41"/>
  <c r="AH41"/>
  <c r="AG41"/>
  <c r="AF41"/>
  <c r="AB41"/>
  <c r="AA41"/>
  <c r="Z41"/>
  <c r="Y41"/>
  <c r="X41"/>
  <c r="W41"/>
  <c r="V41"/>
  <c r="T41"/>
  <c r="R41"/>
  <c r="Q41"/>
  <c r="P41"/>
  <c r="L41"/>
  <c r="K41"/>
  <c r="J41"/>
  <c r="I41"/>
  <c r="H41"/>
  <c r="G41"/>
  <c r="F41"/>
  <c r="D41"/>
  <c r="AX40"/>
  <c r="AW40"/>
  <c r="AV40"/>
  <c r="AR40"/>
  <c r="AQ40"/>
  <c r="AP40"/>
  <c r="AO40"/>
  <c r="AN40"/>
  <c r="AM40"/>
  <c r="AL40"/>
  <c r="AJ40"/>
  <c r="AH40"/>
  <c r="AG40"/>
  <c r="AF40"/>
  <c r="AB40"/>
  <c r="AA40"/>
  <c r="Z40"/>
  <c r="Y40"/>
  <c r="X40"/>
  <c r="W40"/>
  <c r="V40"/>
  <c r="T40"/>
  <c r="R40"/>
  <c r="Q40"/>
  <c r="P40"/>
  <c r="L40"/>
  <c r="K40"/>
  <c r="J40"/>
  <c r="I40"/>
  <c r="H40"/>
  <c r="G40"/>
  <c r="F40"/>
  <c r="D40"/>
  <c r="AX39"/>
  <c r="AW39"/>
  <c r="AV39"/>
  <c r="AR39"/>
  <c r="AQ39"/>
  <c r="AP39"/>
  <c r="AO39"/>
  <c r="AN39"/>
  <c r="AM39"/>
  <c r="AL39"/>
  <c r="AJ39"/>
  <c r="AH39"/>
  <c r="AG39"/>
  <c r="AF39"/>
  <c r="AB39"/>
  <c r="AA39"/>
  <c r="Z39"/>
  <c r="Y39"/>
  <c r="X39"/>
  <c r="W39"/>
  <c r="V39"/>
  <c r="T39"/>
  <c r="R39"/>
  <c r="Q39"/>
  <c r="P39"/>
  <c r="L39"/>
  <c r="K39"/>
  <c r="J39"/>
  <c r="I39"/>
  <c r="H39"/>
  <c r="G39"/>
  <c r="F39"/>
  <c r="D39"/>
  <c r="AX38"/>
  <c r="AW38"/>
  <c r="AV38"/>
  <c r="AR38"/>
  <c r="AQ38"/>
  <c r="AP38"/>
  <c r="AO38"/>
  <c r="AN38"/>
  <c r="AM38"/>
  <c r="AL38"/>
  <c r="AJ38"/>
  <c r="AH38"/>
  <c r="AG38"/>
  <c r="AF38"/>
  <c r="AB38"/>
  <c r="AA38"/>
  <c r="Z38"/>
  <c r="Y38"/>
  <c r="X38"/>
  <c r="W38"/>
  <c r="V38"/>
  <c r="T38"/>
  <c r="R38"/>
  <c r="Q38"/>
  <c r="P38"/>
  <c r="L38"/>
  <c r="K38"/>
  <c r="J38"/>
  <c r="I38"/>
  <c r="H38"/>
  <c r="G38"/>
  <c r="F38"/>
  <c r="D38"/>
  <c r="AX37"/>
  <c r="AW37"/>
  <c r="AV37"/>
  <c r="AR37"/>
  <c r="AQ37"/>
  <c r="AP37"/>
  <c r="AO37"/>
  <c r="AN37"/>
  <c r="AM37"/>
  <c r="AL37"/>
  <c r="AJ37"/>
  <c r="AH37"/>
  <c r="AG37"/>
  <c r="AF37"/>
  <c r="AB37"/>
  <c r="AA37"/>
  <c r="Z37"/>
  <c r="Y37"/>
  <c r="X37"/>
  <c r="W37"/>
  <c r="V37"/>
  <c r="T37"/>
  <c r="R37"/>
  <c r="Q37"/>
  <c r="P37"/>
  <c r="L37"/>
  <c r="K37"/>
  <c r="J37"/>
  <c r="I37"/>
  <c r="H37"/>
  <c r="G37"/>
  <c r="F37"/>
  <c r="D37"/>
  <c r="AL36"/>
  <c r="AJ36"/>
  <c r="V36"/>
  <c r="T36"/>
  <c r="F36"/>
  <c r="D36"/>
  <c r="AL35"/>
  <c r="AJ35"/>
  <c r="V35"/>
  <c r="T35"/>
  <c r="F35"/>
  <c r="D35"/>
  <c r="AL34"/>
  <c r="AJ34"/>
  <c r="V34"/>
  <c r="T34"/>
  <c r="F34"/>
  <c r="D34"/>
  <c r="AL33"/>
  <c r="AJ33"/>
  <c r="V33"/>
  <c r="T33"/>
  <c r="F33"/>
  <c r="D33"/>
  <c r="AL32"/>
  <c r="AJ32"/>
  <c r="V32"/>
  <c r="T32"/>
  <c r="F32"/>
  <c r="D32"/>
  <c r="AL31"/>
  <c r="AJ31"/>
  <c r="V31"/>
  <c r="T31"/>
  <c r="F31"/>
  <c r="D31"/>
  <c r="AL30"/>
  <c r="AJ30"/>
  <c r="V30"/>
  <c r="T30"/>
  <c r="F30"/>
  <c r="D30"/>
  <c r="AL29"/>
  <c r="AJ29"/>
  <c r="V29"/>
  <c r="T29"/>
  <c r="F29"/>
  <c r="D29"/>
  <c r="AL28"/>
  <c r="AJ28"/>
  <c r="V28"/>
  <c r="T28"/>
  <c r="F28"/>
  <c r="D28"/>
  <c r="AL27"/>
  <c r="AJ27"/>
  <c r="V27"/>
  <c r="T27"/>
  <c r="F27"/>
  <c r="D27"/>
  <c r="AL26"/>
  <c r="AJ26"/>
  <c r="V26"/>
  <c r="T26"/>
  <c r="F26"/>
  <c r="D26"/>
  <c r="AL25"/>
  <c r="AJ25"/>
  <c r="V25"/>
  <c r="T25"/>
  <c r="F25"/>
  <c r="D25"/>
  <c r="AL24"/>
  <c r="AJ24"/>
  <c r="V24"/>
  <c r="T24"/>
  <c r="F24"/>
  <c r="D24"/>
  <c r="AL23"/>
  <c r="AJ23"/>
  <c r="V23"/>
  <c r="T23"/>
  <c r="F23"/>
  <c r="D23"/>
  <c r="AL22"/>
  <c r="AJ22"/>
  <c r="V22"/>
  <c r="T22"/>
  <c r="F22"/>
  <c r="D22"/>
  <c r="AL21"/>
  <c r="AJ21"/>
  <c r="V21"/>
  <c r="T21"/>
  <c r="F21"/>
  <c r="D21"/>
  <c r="AL20"/>
  <c r="AJ20"/>
  <c r="V20"/>
  <c r="T20"/>
  <c r="F20"/>
  <c r="D20"/>
  <c r="AL19"/>
  <c r="AJ19"/>
  <c r="V19"/>
  <c r="T19"/>
  <c r="F19"/>
  <c r="D19"/>
  <c r="AL18"/>
  <c r="AJ18"/>
  <c r="V18"/>
  <c r="T18"/>
  <c r="F18"/>
  <c r="D18"/>
  <c r="AX16"/>
  <c r="AW16"/>
  <c r="AV16"/>
  <c r="AR16"/>
  <c r="AQ16"/>
  <c r="AP16"/>
  <c r="AO16"/>
  <c r="AN16"/>
  <c r="AM16"/>
  <c r="AL16"/>
  <c r="AK16"/>
  <c r="AJ16"/>
  <c r="AH16"/>
  <c r="AG16"/>
  <c r="AF16"/>
  <c r="AB16"/>
  <c r="AA16"/>
  <c r="Z16"/>
  <c r="Y16"/>
  <c r="X16"/>
  <c r="W16"/>
  <c r="V16"/>
  <c r="U16"/>
  <c r="T16"/>
  <c r="R16"/>
  <c r="Q16"/>
  <c r="P16"/>
  <c r="L16"/>
  <c r="K16"/>
  <c r="J16"/>
  <c r="I16"/>
  <c r="H16"/>
  <c r="G16"/>
  <c r="F16"/>
  <c r="E16"/>
  <c r="D16"/>
  <c r="AX15"/>
  <c r="AW15"/>
  <c r="AV15"/>
  <c r="AR15"/>
  <c r="AQ15"/>
  <c r="AP15"/>
  <c r="AO15"/>
  <c r="AN15"/>
  <c r="AM15"/>
  <c r="AL15"/>
  <c r="AK15"/>
  <c r="AJ15"/>
  <c r="AH15"/>
  <c r="AG15"/>
  <c r="AF15"/>
  <c r="AB15"/>
  <c r="AA15"/>
  <c r="Z15"/>
  <c r="Y15"/>
  <c r="X15"/>
  <c r="W15"/>
  <c r="V15"/>
  <c r="U15"/>
  <c r="T15"/>
  <c r="R15"/>
  <c r="Q15"/>
  <c r="P15"/>
  <c r="L15"/>
  <c r="K15"/>
  <c r="J15"/>
  <c r="I15"/>
  <c r="H15"/>
  <c r="G15"/>
  <c r="F15"/>
  <c r="E15"/>
  <c r="D15"/>
  <c r="AX14"/>
  <c r="AW14"/>
  <c r="AV14"/>
  <c r="AR14"/>
  <c r="AQ14"/>
  <c r="AP14"/>
  <c r="AO14"/>
  <c r="AN14"/>
  <c r="AM14"/>
  <c r="AL14"/>
  <c r="AK14"/>
  <c r="AJ14"/>
  <c r="AH14"/>
  <c r="AG14"/>
  <c r="AF14"/>
  <c r="AB14"/>
  <c r="AA14"/>
  <c r="Z14"/>
  <c r="Y14"/>
  <c r="X14"/>
  <c r="W14"/>
  <c r="V14"/>
  <c r="U14"/>
  <c r="T14"/>
  <c r="R14"/>
  <c r="Q14"/>
  <c r="P14"/>
  <c r="L14"/>
  <c r="K14"/>
  <c r="J14"/>
  <c r="I14"/>
  <c r="H14"/>
  <c r="G14"/>
  <c r="F14"/>
  <c r="E14"/>
  <c r="D14"/>
  <c r="AX13"/>
  <c r="AW13"/>
  <c r="AV13"/>
  <c r="AR13"/>
  <c r="AQ13"/>
  <c r="AP13"/>
  <c r="AO13"/>
  <c r="AN13"/>
  <c r="AM13"/>
  <c r="AL13"/>
  <c r="AK13"/>
  <c r="AJ13"/>
  <c r="AH13"/>
  <c r="AG13"/>
  <c r="AF13"/>
  <c r="AB13"/>
  <c r="AA13"/>
  <c r="Z13"/>
  <c r="Y13"/>
  <c r="X13"/>
  <c r="W13"/>
  <c r="V13"/>
  <c r="U13"/>
  <c r="T13"/>
  <c r="R13"/>
  <c r="Q13"/>
  <c r="P13"/>
  <c r="L13"/>
  <c r="K13"/>
  <c r="J13"/>
  <c r="I13"/>
  <c r="H13"/>
  <c r="G13"/>
  <c r="F13"/>
  <c r="E13"/>
  <c r="D13"/>
  <c r="AX12"/>
  <c r="AW12"/>
  <c r="AV12"/>
  <c r="AR12"/>
  <c r="AQ12"/>
  <c r="AP12"/>
  <c r="AO12"/>
  <c r="AN12"/>
  <c r="AM12"/>
  <c r="AL12"/>
  <c r="AK12"/>
  <c r="AJ12"/>
  <c r="AH12"/>
  <c r="AG12"/>
  <c r="AF12"/>
  <c r="AB12"/>
  <c r="AA12"/>
  <c r="Z12"/>
  <c r="Y12"/>
  <c r="X12"/>
  <c r="W12"/>
  <c r="V12"/>
  <c r="U12"/>
  <c r="T12"/>
  <c r="R12"/>
  <c r="Q12"/>
  <c r="P12"/>
  <c r="L12"/>
  <c r="K12"/>
  <c r="J12"/>
  <c r="I12"/>
  <c r="H12"/>
  <c r="G12"/>
  <c r="F12"/>
  <c r="E12"/>
  <c r="D12"/>
  <c r="AX11"/>
  <c r="AW11"/>
  <c r="AV11"/>
  <c r="AR11"/>
  <c r="AQ11"/>
  <c r="AP11"/>
  <c r="AO11"/>
  <c r="AN11"/>
  <c r="AM11"/>
  <c r="AL11"/>
  <c r="AK11"/>
  <c r="AJ11"/>
  <c r="AH11"/>
  <c r="AG11"/>
  <c r="AF11"/>
  <c r="AB11"/>
  <c r="AA11"/>
  <c r="Z11"/>
  <c r="Y11"/>
  <c r="X11"/>
  <c r="W11"/>
  <c r="V11"/>
  <c r="U11"/>
  <c r="T11"/>
  <c r="R11"/>
  <c r="Q11"/>
  <c r="P11"/>
  <c r="L11"/>
  <c r="K11"/>
  <c r="J11"/>
  <c r="I11"/>
  <c r="H11"/>
  <c r="G11"/>
  <c r="F11"/>
  <c r="E11"/>
  <c r="D11"/>
  <c r="AX10"/>
  <c r="AW10"/>
  <c r="AV10"/>
  <c r="AR10"/>
  <c r="AQ10"/>
  <c r="AP10"/>
  <c r="AO10"/>
  <c r="AN10"/>
  <c r="AM10"/>
  <c r="AL10"/>
  <c r="AK10"/>
  <c r="AJ10"/>
  <c r="AH10"/>
  <c r="AG10"/>
  <c r="AF10"/>
  <c r="AB10"/>
  <c r="AA10"/>
  <c r="Z10"/>
  <c r="Y10"/>
  <c r="X10"/>
  <c r="W10"/>
  <c r="V10"/>
  <c r="U10"/>
  <c r="T10"/>
  <c r="R10"/>
  <c r="Q10"/>
  <c r="P10"/>
  <c r="L10"/>
  <c r="K10"/>
  <c r="J10"/>
  <c r="I10"/>
  <c r="H10"/>
  <c r="G10"/>
  <c r="F10"/>
  <c r="E10"/>
  <c r="D10"/>
  <c r="AX9"/>
  <c r="AW9"/>
  <c r="AV9"/>
  <c r="AR9"/>
  <c r="AQ9"/>
  <c r="AP9"/>
  <c r="AO9"/>
  <c r="AN9"/>
  <c r="AM9"/>
  <c r="AL9"/>
  <c r="AK9"/>
  <c r="AJ9"/>
  <c r="AH9"/>
  <c r="AG9"/>
  <c r="AF9"/>
  <c r="AB9"/>
  <c r="AA9"/>
  <c r="Z9"/>
  <c r="Y9"/>
  <c r="X9"/>
  <c r="W9"/>
  <c r="V9"/>
  <c r="U9"/>
  <c r="T9"/>
  <c r="R9"/>
  <c r="Q9"/>
  <c r="P9"/>
  <c r="L9"/>
  <c r="K9"/>
  <c r="J9"/>
  <c r="I9"/>
  <c r="H9"/>
  <c r="G9"/>
  <c r="F9"/>
  <c r="E9"/>
  <c r="D9"/>
  <c r="AX8"/>
  <c r="AW8"/>
  <c r="AV8"/>
  <c r="AR8"/>
  <c r="AQ8"/>
  <c r="AP8"/>
  <c r="AO8"/>
  <c r="AN8"/>
  <c r="AM8"/>
  <c r="AL8"/>
  <c r="AK8"/>
  <c r="AJ8"/>
  <c r="AH8"/>
  <c r="AG8"/>
  <c r="AF8"/>
  <c r="AB8"/>
  <c r="AA8"/>
  <c r="Z8"/>
  <c r="Y8"/>
  <c r="X8"/>
  <c r="W8"/>
  <c r="V8"/>
  <c r="U8"/>
  <c r="T8"/>
  <c r="R8"/>
  <c r="Q8"/>
  <c r="P8"/>
  <c r="L8"/>
  <c r="K8"/>
  <c r="J8"/>
  <c r="I8"/>
  <c r="H8"/>
  <c r="G8"/>
  <c r="F8"/>
  <c r="E8"/>
  <c r="D8"/>
  <c r="AX85" i="37"/>
  <c r="AW85"/>
  <c r="AV85"/>
  <c r="AR85"/>
  <c r="AQ85"/>
  <c r="AP85"/>
  <c r="AO85"/>
  <c r="AN85"/>
  <c r="AM85"/>
  <c r="AL85"/>
  <c r="AJ85"/>
  <c r="AH85"/>
  <c r="AG85"/>
  <c r="AF85"/>
  <c r="AB85"/>
  <c r="AA85"/>
  <c r="Z85"/>
  <c r="Y85"/>
  <c r="X85"/>
  <c r="W85"/>
  <c r="V85"/>
  <c r="T85"/>
  <c r="R85"/>
  <c r="Q85"/>
  <c r="P85"/>
  <c r="L85"/>
  <c r="K85"/>
  <c r="J85"/>
  <c r="I85"/>
  <c r="H85"/>
  <c r="G85"/>
  <c r="F85"/>
  <c r="D85"/>
  <c r="AX84"/>
  <c r="AW84"/>
  <c r="AV84"/>
  <c r="AR84"/>
  <c r="AQ84"/>
  <c r="AP84"/>
  <c r="AO84"/>
  <c r="AN84"/>
  <c r="AM84"/>
  <c r="AL84"/>
  <c r="AJ84"/>
  <c r="AH84"/>
  <c r="AG84"/>
  <c r="AF84"/>
  <c r="AB84"/>
  <c r="AA84"/>
  <c r="Z84"/>
  <c r="Y84"/>
  <c r="X84"/>
  <c r="W84"/>
  <c r="V84"/>
  <c r="T84"/>
  <c r="R84"/>
  <c r="Q84"/>
  <c r="P84"/>
  <c r="L84"/>
  <c r="K84"/>
  <c r="J84"/>
  <c r="I84"/>
  <c r="H84"/>
  <c r="G84"/>
  <c r="F84"/>
  <c r="D84"/>
  <c r="AX83"/>
  <c r="AW83"/>
  <c r="AV83"/>
  <c r="AR83"/>
  <c r="AQ83"/>
  <c r="AP83"/>
  <c r="AO83"/>
  <c r="AN83"/>
  <c r="AM83"/>
  <c r="AL83"/>
  <c r="AJ83"/>
  <c r="AH83"/>
  <c r="AG83"/>
  <c r="AF83"/>
  <c r="AB83"/>
  <c r="AA83"/>
  <c r="Z83"/>
  <c r="Y83"/>
  <c r="X83"/>
  <c r="W83"/>
  <c r="V83"/>
  <c r="T83"/>
  <c r="R83"/>
  <c r="Q83"/>
  <c r="P83"/>
  <c r="L83"/>
  <c r="K83"/>
  <c r="J83"/>
  <c r="I83"/>
  <c r="H83"/>
  <c r="G83"/>
  <c r="F83"/>
  <c r="D83"/>
  <c r="AX82"/>
  <c r="AW82"/>
  <c r="AV82"/>
  <c r="AR82"/>
  <c r="AQ82"/>
  <c r="AP82"/>
  <c r="AO82"/>
  <c r="AN82"/>
  <c r="AM82"/>
  <c r="AL82"/>
  <c r="AJ82"/>
  <c r="AH82"/>
  <c r="AG82"/>
  <c r="AF82"/>
  <c r="AB82"/>
  <c r="AA82"/>
  <c r="Z82"/>
  <c r="Y82"/>
  <c r="X82"/>
  <c r="W82"/>
  <c r="V82"/>
  <c r="T82"/>
  <c r="R82"/>
  <c r="Q82"/>
  <c r="P82"/>
  <c r="L82"/>
  <c r="K82"/>
  <c r="J82"/>
  <c r="I82"/>
  <c r="H82"/>
  <c r="G82"/>
  <c r="F82"/>
  <c r="D82"/>
  <c r="AX81"/>
  <c r="AW81"/>
  <c r="AV81"/>
  <c r="AR81"/>
  <c r="AQ81"/>
  <c r="AP81"/>
  <c r="AO81"/>
  <c r="AN81"/>
  <c r="AM81"/>
  <c r="AL81"/>
  <c r="AJ81"/>
  <c r="AH81"/>
  <c r="AG81"/>
  <c r="AF81"/>
  <c r="AB81"/>
  <c r="AA81"/>
  <c r="Z81"/>
  <c r="Y81"/>
  <c r="X81"/>
  <c r="W81"/>
  <c r="V81"/>
  <c r="T81"/>
  <c r="R81"/>
  <c r="Q81"/>
  <c r="P81"/>
  <c r="L81"/>
  <c r="K81"/>
  <c r="J81"/>
  <c r="I81"/>
  <c r="H81"/>
  <c r="G81"/>
  <c r="F81"/>
  <c r="D81"/>
  <c r="AX80"/>
  <c r="AW80"/>
  <c r="AV80"/>
  <c r="AR80"/>
  <c r="AQ80"/>
  <c r="AP80"/>
  <c r="AO80"/>
  <c r="AN80"/>
  <c r="AM80"/>
  <c r="AL80"/>
  <c r="AJ80"/>
  <c r="AH80"/>
  <c r="AG80"/>
  <c r="AF80"/>
  <c r="AB80"/>
  <c r="AA80"/>
  <c r="Z80"/>
  <c r="Y80"/>
  <c r="X80"/>
  <c r="W80"/>
  <c r="V80"/>
  <c r="T80"/>
  <c r="R80"/>
  <c r="Q80"/>
  <c r="P80"/>
  <c r="L80"/>
  <c r="K80"/>
  <c r="J80"/>
  <c r="I80"/>
  <c r="H80"/>
  <c r="G80"/>
  <c r="F80"/>
  <c r="D80"/>
  <c r="AX79"/>
  <c r="AW79"/>
  <c r="AV79"/>
  <c r="AR79"/>
  <c r="AQ79"/>
  <c r="AP79"/>
  <c r="AO79"/>
  <c r="AN79"/>
  <c r="AM79"/>
  <c r="AL79"/>
  <c r="AJ79"/>
  <c r="AH79"/>
  <c r="AG79"/>
  <c r="AF79"/>
  <c r="AB79"/>
  <c r="AA79"/>
  <c r="Z79"/>
  <c r="Y79"/>
  <c r="X79"/>
  <c r="W79"/>
  <c r="V79"/>
  <c r="T79"/>
  <c r="R79"/>
  <c r="Q79"/>
  <c r="P79"/>
  <c r="L79"/>
  <c r="K79"/>
  <c r="J79"/>
  <c r="I79"/>
  <c r="H79"/>
  <c r="G79"/>
  <c r="F79"/>
  <c r="D79"/>
  <c r="AX78"/>
  <c r="AW78"/>
  <c r="AV78"/>
  <c r="AR78"/>
  <c r="AQ78"/>
  <c r="AP78"/>
  <c r="AO78"/>
  <c r="AN78"/>
  <c r="AM78"/>
  <c r="AL78"/>
  <c r="AJ78"/>
  <c r="AH78"/>
  <c r="AG78"/>
  <c r="AF78"/>
  <c r="AB78"/>
  <c r="AA78"/>
  <c r="Z78"/>
  <c r="Y78"/>
  <c r="X78"/>
  <c r="W78"/>
  <c r="V78"/>
  <c r="T78"/>
  <c r="R78"/>
  <c r="Q78"/>
  <c r="P78"/>
  <c r="L78"/>
  <c r="K78"/>
  <c r="J78"/>
  <c r="I78"/>
  <c r="H78"/>
  <c r="G78"/>
  <c r="F78"/>
  <c r="D78"/>
  <c r="AX77"/>
  <c r="AW77"/>
  <c r="AV77"/>
  <c r="AR77"/>
  <c r="AQ77"/>
  <c r="AP77"/>
  <c r="AO77"/>
  <c r="AN77"/>
  <c r="AM77"/>
  <c r="AL77"/>
  <c r="AJ77"/>
  <c r="AH77"/>
  <c r="AG77"/>
  <c r="AF77"/>
  <c r="AB77"/>
  <c r="AA77"/>
  <c r="Z77"/>
  <c r="Y77"/>
  <c r="X77"/>
  <c r="W77"/>
  <c r="V77"/>
  <c r="T77"/>
  <c r="R77"/>
  <c r="Q77"/>
  <c r="P77"/>
  <c r="L77"/>
  <c r="K77"/>
  <c r="J77"/>
  <c r="I77"/>
  <c r="H77"/>
  <c r="G77"/>
  <c r="F77"/>
  <c r="D77"/>
  <c r="AX76"/>
  <c r="AW76"/>
  <c r="AV76"/>
  <c r="AR76"/>
  <c r="AQ76"/>
  <c r="AP76"/>
  <c r="AO76"/>
  <c r="AN76"/>
  <c r="AM76"/>
  <c r="AL76"/>
  <c r="AJ76"/>
  <c r="AH76"/>
  <c r="AG76"/>
  <c r="AF76"/>
  <c r="AB76"/>
  <c r="AA76"/>
  <c r="Z76"/>
  <c r="Y76"/>
  <c r="X76"/>
  <c r="W76"/>
  <c r="V76"/>
  <c r="T76"/>
  <c r="R76"/>
  <c r="Q76"/>
  <c r="P76"/>
  <c r="L76"/>
  <c r="K76"/>
  <c r="J76"/>
  <c r="I76"/>
  <c r="H76"/>
  <c r="G76"/>
  <c r="F76"/>
  <c r="D76"/>
  <c r="AX75"/>
  <c r="AW75"/>
  <c r="AV75"/>
  <c r="AR75"/>
  <c r="AQ75"/>
  <c r="AP75"/>
  <c r="AO75"/>
  <c r="AN75"/>
  <c r="AM75"/>
  <c r="AL75"/>
  <c r="AJ75"/>
  <c r="AH75"/>
  <c r="AG75"/>
  <c r="AF75"/>
  <c r="AB75"/>
  <c r="AA75"/>
  <c r="Z75"/>
  <c r="Y75"/>
  <c r="X75"/>
  <c r="W75"/>
  <c r="V75"/>
  <c r="T75"/>
  <c r="R75"/>
  <c r="Q75"/>
  <c r="P75"/>
  <c r="L75"/>
  <c r="K75"/>
  <c r="J75"/>
  <c r="I75"/>
  <c r="H75"/>
  <c r="G75"/>
  <c r="F75"/>
  <c r="D75"/>
  <c r="AX74"/>
  <c r="AW74"/>
  <c r="AV74"/>
  <c r="AR74"/>
  <c r="AQ74"/>
  <c r="AP74"/>
  <c r="AO74"/>
  <c r="AN74"/>
  <c r="AM74"/>
  <c r="AL74"/>
  <c r="AJ74"/>
  <c r="AH74"/>
  <c r="AG74"/>
  <c r="AF74"/>
  <c r="AB74"/>
  <c r="AA74"/>
  <c r="Z74"/>
  <c r="Y74"/>
  <c r="X74"/>
  <c r="W74"/>
  <c r="V74"/>
  <c r="T74"/>
  <c r="R74"/>
  <c r="Q74"/>
  <c r="P74"/>
  <c r="L74"/>
  <c r="K74"/>
  <c r="J74"/>
  <c r="I74"/>
  <c r="H74"/>
  <c r="G74"/>
  <c r="F74"/>
  <c r="D74"/>
  <c r="AX73"/>
  <c r="AW73"/>
  <c r="AV73"/>
  <c r="AR73"/>
  <c r="AQ73"/>
  <c r="AP73"/>
  <c r="AO73"/>
  <c r="AN73"/>
  <c r="AM73"/>
  <c r="AL73"/>
  <c r="AJ73"/>
  <c r="AH73"/>
  <c r="AG73"/>
  <c r="AF73"/>
  <c r="AB73"/>
  <c r="AA73"/>
  <c r="Z73"/>
  <c r="Y73"/>
  <c r="X73"/>
  <c r="W73"/>
  <c r="V73"/>
  <c r="T73"/>
  <c r="R73"/>
  <c r="Q73"/>
  <c r="P73"/>
  <c r="L73"/>
  <c r="K73"/>
  <c r="J73"/>
  <c r="I73"/>
  <c r="H73"/>
  <c r="G73"/>
  <c r="F73"/>
  <c r="D73"/>
  <c r="AX72"/>
  <c r="AW72"/>
  <c r="AV72"/>
  <c r="AR72"/>
  <c r="AQ72"/>
  <c r="AP72"/>
  <c r="AO72"/>
  <c r="AN72"/>
  <c r="AM72"/>
  <c r="AL72"/>
  <c r="AJ72"/>
  <c r="AH72"/>
  <c r="AG72"/>
  <c r="AF72"/>
  <c r="AB72"/>
  <c r="AA72"/>
  <c r="Z72"/>
  <c r="Y72"/>
  <c r="X72"/>
  <c r="W72"/>
  <c r="V72"/>
  <c r="T72"/>
  <c r="R72"/>
  <c r="Q72"/>
  <c r="P72"/>
  <c r="L72"/>
  <c r="K72"/>
  <c r="J72"/>
  <c r="I72"/>
  <c r="H72"/>
  <c r="G72"/>
  <c r="F72"/>
  <c r="D72"/>
  <c r="AX71"/>
  <c r="AW71"/>
  <c r="AV71"/>
  <c r="AR71"/>
  <c r="AQ71"/>
  <c r="AP71"/>
  <c r="AO71"/>
  <c r="AN71"/>
  <c r="AM71"/>
  <c r="AL71"/>
  <c r="AJ71"/>
  <c r="AH71"/>
  <c r="AG71"/>
  <c r="AF71"/>
  <c r="AB71"/>
  <c r="AA71"/>
  <c r="Z71"/>
  <c r="Y71"/>
  <c r="X71"/>
  <c r="W71"/>
  <c r="V71"/>
  <c r="T71"/>
  <c r="R71"/>
  <c r="Q71"/>
  <c r="P71"/>
  <c r="L71"/>
  <c r="K71"/>
  <c r="J71"/>
  <c r="I71"/>
  <c r="H71"/>
  <c r="G71"/>
  <c r="F71"/>
  <c r="D71"/>
  <c r="AX70"/>
  <c r="AW70"/>
  <c r="AV70"/>
  <c r="AR70"/>
  <c r="AQ70"/>
  <c r="AP70"/>
  <c r="AO70"/>
  <c r="AN70"/>
  <c r="AM70"/>
  <c r="AL70"/>
  <c r="AJ70"/>
  <c r="AH70"/>
  <c r="AG70"/>
  <c r="AF70"/>
  <c r="AB70"/>
  <c r="AA70"/>
  <c r="Z70"/>
  <c r="Y70"/>
  <c r="X70"/>
  <c r="W70"/>
  <c r="V70"/>
  <c r="T70"/>
  <c r="R70"/>
  <c r="Q70"/>
  <c r="P70"/>
  <c r="L70"/>
  <c r="K70"/>
  <c r="J70"/>
  <c r="I70"/>
  <c r="H70"/>
  <c r="G70"/>
  <c r="F70"/>
  <c r="D70"/>
  <c r="AX69"/>
  <c r="AW69"/>
  <c r="AV69"/>
  <c r="AR69"/>
  <c r="AQ69"/>
  <c r="AP69"/>
  <c r="AO69"/>
  <c r="AN69"/>
  <c r="AM69"/>
  <c r="AL69"/>
  <c r="AJ69"/>
  <c r="AH69"/>
  <c r="AG69"/>
  <c r="AF69"/>
  <c r="AB69"/>
  <c r="AA69"/>
  <c r="Z69"/>
  <c r="Y69"/>
  <c r="X69"/>
  <c r="W69"/>
  <c r="V69"/>
  <c r="T69"/>
  <c r="R69"/>
  <c r="Q69"/>
  <c r="P69"/>
  <c r="L69"/>
  <c r="K69"/>
  <c r="J69"/>
  <c r="I69"/>
  <c r="H69"/>
  <c r="G69"/>
  <c r="F69"/>
  <c r="D69"/>
  <c r="AX68"/>
  <c r="AW68"/>
  <c r="AV68"/>
  <c r="AR68"/>
  <c r="AQ68"/>
  <c r="AP68"/>
  <c r="AO68"/>
  <c r="AN68"/>
  <c r="AM68"/>
  <c r="AL68"/>
  <c r="AJ68"/>
  <c r="AH68"/>
  <c r="AG68"/>
  <c r="AF68"/>
  <c r="AB68"/>
  <c r="AA68"/>
  <c r="Z68"/>
  <c r="Y68"/>
  <c r="X68"/>
  <c r="W68"/>
  <c r="V68"/>
  <c r="T68"/>
  <c r="R68"/>
  <c r="Q68"/>
  <c r="P68"/>
  <c r="L68"/>
  <c r="K68"/>
  <c r="J68"/>
  <c r="I68"/>
  <c r="H68"/>
  <c r="G68"/>
  <c r="F68"/>
  <c r="D68"/>
  <c r="AX67"/>
  <c r="AW67"/>
  <c r="AV67"/>
  <c r="AR67"/>
  <c r="AQ67"/>
  <c r="AP67"/>
  <c r="AO67"/>
  <c r="AN67"/>
  <c r="AM67"/>
  <c r="AL67"/>
  <c r="AJ67"/>
  <c r="AH67"/>
  <c r="AG67"/>
  <c r="AF67"/>
  <c r="AB67"/>
  <c r="AA67"/>
  <c r="Z67"/>
  <c r="Y67"/>
  <c r="X67"/>
  <c r="W67"/>
  <c r="V67"/>
  <c r="T67"/>
  <c r="R67"/>
  <c r="Q67"/>
  <c r="P67"/>
  <c r="L67"/>
  <c r="K67"/>
  <c r="J67"/>
  <c r="I67"/>
  <c r="H67"/>
  <c r="G67"/>
  <c r="F67"/>
  <c r="D67"/>
  <c r="AX66"/>
  <c r="AW66"/>
  <c r="AV66"/>
  <c r="AR66"/>
  <c r="AQ66"/>
  <c r="AP66"/>
  <c r="AO66"/>
  <c r="AN66"/>
  <c r="AM66"/>
  <c r="AL66"/>
  <c r="AJ66"/>
  <c r="AH66"/>
  <c r="AG66"/>
  <c r="AF66"/>
  <c r="AB66"/>
  <c r="AA66"/>
  <c r="Z66"/>
  <c r="Y66"/>
  <c r="X66"/>
  <c r="W66"/>
  <c r="V66"/>
  <c r="T66"/>
  <c r="R66"/>
  <c r="Q66"/>
  <c r="P66"/>
  <c r="L66"/>
  <c r="K66"/>
  <c r="J66"/>
  <c r="I66"/>
  <c r="H66"/>
  <c r="G66"/>
  <c r="F66"/>
  <c r="D66"/>
  <c r="AX65"/>
  <c r="AW65"/>
  <c r="AV65"/>
  <c r="AR65"/>
  <c r="AQ65"/>
  <c r="AP65"/>
  <c r="AO65"/>
  <c r="AN65"/>
  <c r="AM65"/>
  <c r="AL65"/>
  <c r="AJ65"/>
  <c r="AH65"/>
  <c r="AG65"/>
  <c r="AF65"/>
  <c r="AB65"/>
  <c r="AA65"/>
  <c r="Z65"/>
  <c r="Y65"/>
  <c r="X65"/>
  <c r="W65"/>
  <c r="V65"/>
  <c r="T65"/>
  <c r="R65"/>
  <c r="Q65"/>
  <c r="P65"/>
  <c r="L65"/>
  <c r="K65"/>
  <c r="J65"/>
  <c r="I65"/>
  <c r="H65"/>
  <c r="G65"/>
  <c r="F65"/>
  <c r="D65"/>
  <c r="AX64"/>
  <c r="AW64"/>
  <c r="AV64"/>
  <c r="AR64"/>
  <c r="AQ64"/>
  <c r="AP64"/>
  <c r="AO64"/>
  <c r="AN64"/>
  <c r="AM64"/>
  <c r="AL64"/>
  <c r="AJ64"/>
  <c r="AH64"/>
  <c r="AG64"/>
  <c r="AF64"/>
  <c r="AB64"/>
  <c r="AA64"/>
  <c r="Z64"/>
  <c r="Y64"/>
  <c r="X64"/>
  <c r="W64"/>
  <c r="V64"/>
  <c r="T64"/>
  <c r="R64"/>
  <c r="Q64"/>
  <c r="P64"/>
  <c r="L64"/>
  <c r="K64"/>
  <c r="J64"/>
  <c r="I64"/>
  <c r="H64"/>
  <c r="G64"/>
  <c r="F64"/>
  <c r="D64"/>
  <c r="AX63"/>
  <c r="AW63"/>
  <c r="AV63"/>
  <c r="AR63"/>
  <c r="AQ63"/>
  <c r="AP63"/>
  <c r="AO63"/>
  <c r="AN63"/>
  <c r="AM63"/>
  <c r="AL63"/>
  <c r="AJ63"/>
  <c r="AH63"/>
  <c r="AG63"/>
  <c r="AF63"/>
  <c r="AB63"/>
  <c r="AA63"/>
  <c r="Z63"/>
  <c r="Y63"/>
  <c r="X63"/>
  <c r="W63"/>
  <c r="V63"/>
  <c r="T63"/>
  <c r="R63"/>
  <c r="Q63"/>
  <c r="P63"/>
  <c r="L63"/>
  <c r="K63"/>
  <c r="J63"/>
  <c r="I63"/>
  <c r="H63"/>
  <c r="G63"/>
  <c r="F63"/>
  <c r="D63"/>
  <c r="AX62"/>
  <c r="AW62"/>
  <c r="AV62"/>
  <c r="AR62"/>
  <c r="AQ62"/>
  <c r="AP62"/>
  <c r="AO62"/>
  <c r="AN62"/>
  <c r="AM62"/>
  <c r="AL62"/>
  <c r="AJ62"/>
  <c r="AH62"/>
  <c r="AG62"/>
  <c r="AF62"/>
  <c r="AB62"/>
  <c r="AA62"/>
  <c r="Z62"/>
  <c r="Y62"/>
  <c r="X62"/>
  <c r="W62"/>
  <c r="V62"/>
  <c r="T62"/>
  <c r="R62"/>
  <c r="Q62"/>
  <c r="P62"/>
  <c r="L62"/>
  <c r="K62"/>
  <c r="J62"/>
  <c r="I62"/>
  <c r="H62"/>
  <c r="G62"/>
  <c r="F62"/>
  <c r="D62"/>
  <c r="AX61"/>
  <c r="AW61"/>
  <c r="AV61"/>
  <c r="AR61"/>
  <c r="AQ61"/>
  <c r="AP61"/>
  <c r="AO61"/>
  <c r="AN61"/>
  <c r="AM61"/>
  <c r="AL61"/>
  <c r="AJ61"/>
  <c r="AH61"/>
  <c r="AG61"/>
  <c r="AF61"/>
  <c r="AB61"/>
  <c r="AA61"/>
  <c r="Z61"/>
  <c r="Y61"/>
  <c r="X61"/>
  <c r="W61"/>
  <c r="V61"/>
  <c r="T61"/>
  <c r="R61"/>
  <c r="Q61"/>
  <c r="P61"/>
  <c r="L61"/>
  <c r="K61"/>
  <c r="J61"/>
  <c r="I61"/>
  <c r="H61"/>
  <c r="G61"/>
  <c r="F61"/>
  <c r="D61"/>
  <c r="AX60"/>
  <c r="AW60"/>
  <c r="AV60"/>
  <c r="AR60"/>
  <c r="AQ60"/>
  <c r="AP60"/>
  <c r="AO60"/>
  <c r="AN60"/>
  <c r="AM60"/>
  <c r="AL60"/>
  <c r="AJ60"/>
  <c r="AH60"/>
  <c r="AG60"/>
  <c r="AF60"/>
  <c r="AB60"/>
  <c r="AA60"/>
  <c r="Z60"/>
  <c r="Y60"/>
  <c r="X60"/>
  <c r="W60"/>
  <c r="V60"/>
  <c r="T60"/>
  <c r="R60"/>
  <c r="Q60"/>
  <c r="P60"/>
  <c r="L60"/>
  <c r="K60"/>
  <c r="J60"/>
  <c r="I60"/>
  <c r="H60"/>
  <c r="G60"/>
  <c r="F60"/>
  <c r="D60"/>
  <c r="AX59"/>
  <c r="AW59"/>
  <c r="AV59"/>
  <c r="AR59"/>
  <c r="AQ59"/>
  <c r="AP59"/>
  <c r="AO59"/>
  <c r="AN59"/>
  <c r="AM59"/>
  <c r="AL59"/>
  <c r="AJ59"/>
  <c r="AH59"/>
  <c r="AG59"/>
  <c r="AF59"/>
  <c r="AB59"/>
  <c r="AA59"/>
  <c r="Z59"/>
  <c r="Y59"/>
  <c r="X59"/>
  <c r="W59"/>
  <c r="V59"/>
  <c r="T59"/>
  <c r="R59"/>
  <c r="Q59"/>
  <c r="P59"/>
  <c r="L59"/>
  <c r="K59"/>
  <c r="J59"/>
  <c r="I59"/>
  <c r="H59"/>
  <c r="G59"/>
  <c r="F59"/>
  <c r="D59"/>
  <c r="AX58"/>
  <c r="AW58"/>
  <c r="AV58"/>
  <c r="AR58"/>
  <c r="AQ58"/>
  <c r="AP58"/>
  <c r="AO58"/>
  <c r="AN58"/>
  <c r="AM58"/>
  <c r="AL58"/>
  <c r="AJ58"/>
  <c r="AH58"/>
  <c r="AG58"/>
  <c r="AF58"/>
  <c r="AB58"/>
  <c r="AA58"/>
  <c r="Z58"/>
  <c r="Y58"/>
  <c r="X58"/>
  <c r="W58"/>
  <c r="V58"/>
  <c r="T58"/>
  <c r="R58"/>
  <c r="Q58"/>
  <c r="P58"/>
  <c r="L58"/>
  <c r="K58"/>
  <c r="J58"/>
  <c r="I58"/>
  <c r="H58"/>
  <c r="G58"/>
  <c r="F58"/>
  <c r="D58"/>
  <c r="AX57"/>
  <c r="AW57"/>
  <c r="AV57"/>
  <c r="AR57"/>
  <c r="AQ57"/>
  <c r="AP57"/>
  <c r="AO57"/>
  <c r="AN57"/>
  <c r="AM57"/>
  <c r="AL57"/>
  <c r="AJ57"/>
  <c r="AH57"/>
  <c r="AG57"/>
  <c r="AF57"/>
  <c r="AB57"/>
  <c r="AA57"/>
  <c r="Z57"/>
  <c r="Y57"/>
  <c r="X57"/>
  <c r="W57"/>
  <c r="V57"/>
  <c r="T57"/>
  <c r="R57"/>
  <c r="Q57"/>
  <c r="P57"/>
  <c r="L57"/>
  <c r="K57"/>
  <c r="J57"/>
  <c r="I57"/>
  <c r="H57"/>
  <c r="G57"/>
  <c r="F57"/>
  <c r="D57"/>
  <c r="AX56"/>
  <c r="AW56"/>
  <c r="AV56"/>
  <c r="AR56"/>
  <c r="AQ56"/>
  <c r="AP56"/>
  <c r="AO56"/>
  <c r="AN56"/>
  <c r="AM56"/>
  <c r="AL56"/>
  <c r="AJ56"/>
  <c r="AH56"/>
  <c r="AG56"/>
  <c r="AF56"/>
  <c r="AB56"/>
  <c r="AA56"/>
  <c r="Z56"/>
  <c r="Y56"/>
  <c r="X56"/>
  <c r="W56"/>
  <c r="V56"/>
  <c r="T56"/>
  <c r="R56"/>
  <c r="Q56"/>
  <c r="P56"/>
  <c r="L56"/>
  <c r="K56"/>
  <c r="J56"/>
  <c r="I56"/>
  <c r="H56"/>
  <c r="G56"/>
  <c r="F56"/>
  <c r="D56"/>
  <c r="AX55"/>
  <c r="AW55"/>
  <c r="AV55"/>
  <c r="AR55"/>
  <c r="AQ55"/>
  <c r="AP55"/>
  <c r="AO55"/>
  <c r="AN55"/>
  <c r="AM55"/>
  <c r="AL55"/>
  <c r="AJ55"/>
  <c r="AH55"/>
  <c r="AG55"/>
  <c r="AF55"/>
  <c r="AB55"/>
  <c r="AA55"/>
  <c r="Z55"/>
  <c r="Y55"/>
  <c r="X55"/>
  <c r="W55"/>
  <c r="V55"/>
  <c r="T55"/>
  <c r="R55"/>
  <c r="Q55"/>
  <c r="P55"/>
  <c r="L55"/>
  <c r="K55"/>
  <c r="J55"/>
  <c r="I55"/>
  <c r="H55"/>
  <c r="G55"/>
  <c r="F55"/>
  <c r="D55"/>
  <c r="AX54"/>
  <c r="AW54"/>
  <c r="AV54"/>
  <c r="AR54"/>
  <c r="AQ54"/>
  <c r="AP54"/>
  <c r="AO54"/>
  <c r="AN54"/>
  <c r="AM54"/>
  <c r="AL54"/>
  <c r="AJ54"/>
  <c r="AH54"/>
  <c r="AG54"/>
  <c r="AF54"/>
  <c r="AB54"/>
  <c r="AA54"/>
  <c r="Z54"/>
  <c r="Y54"/>
  <c r="X54"/>
  <c r="W54"/>
  <c r="V54"/>
  <c r="T54"/>
  <c r="R54"/>
  <c r="Q54"/>
  <c r="P54"/>
  <c r="L54"/>
  <c r="K54"/>
  <c r="J54"/>
  <c r="I54"/>
  <c r="H54"/>
  <c r="G54"/>
  <c r="F54"/>
  <c r="D54"/>
  <c r="AX53"/>
  <c r="AW53"/>
  <c r="AV53"/>
  <c r="AR53"/>
  <c r="AQ53"/>
  <c r="AP53"/>
  <c r="AO53"/>
  <c r="AN53"/>
  <c r="AM53"/>
  <c r="AL53"/>
  <c r="AJ53"/>
  <c r="AH53"/>
  <c r="AG53"/>
  <c r="AF53"/>
  <c r="AB53"/>
  <c r="AA53"/>
  <c r="Z53"/>
  <c r="Y53"/>
  <c r="X53"/>
  <c r="W53"/>
  <c r="V53"/>
  <c r="T53"/>
  <c r="R53"/>
  <c r="Q53"/>
  <c r="P53"/>
  <c r="L53"/>
  <c r="K53"/>
  <c r="J53"/>
  <c r="I53"/>
  <c r="H53"/>
  <c r="G53"/>
  <c r="F53"/>
  <c r="D53"/>
  <c r="AX52"/>
  <c r="AW52"/>
  <c r="AV52"/>
  <c r="AR52"/>
  <c r="AQ52"/>
  <c r="AP52"/>
  <c r="AO52"/>
  <c r="AN52"/>
  <c r="AM52"/>
  <c r="AL52"/>
  <c r="AJ52"/>
  <c r="AH52"/>
  <c r="AG52"/>
  <c r="AF52"/>
  <c r="AB52"/>
  <c r="AA52"/>
  <c r="Z52"/>
  <c r="Y52"/>
  <c r="X52"/>
  <c r="W52"/>
  <c r="V52"/>
  <c r="T52"/>
  <c r="R52"/>
  <c r="Q52"/>
  <c r="P52"/>
  <c r="L52"/>
  <c r="K52"/>
  <c r="J52"/>
  <c r="I52"/>
  <c r="H52"/>
  <c r="G52"/>
  <c r="F52"/>
  <c r="D52"/>
  <c r="AX51"/>
  <c r="AW51"/>
  <c r="AV51"/>
  <c r="AR51"/>
  <c r="AQ51"/>
  <c r="AP51"/>
  <c r="AO51"/>
  <c r="AN51"/>
  <c r="AM51"/>
  <c r="AL51"/>
  <c r="AJ51"/>
  <c r="AH51"/>
  <c r="AG51"/>
  <c r="AF51"/>
  <c r="AB51"/>
  <c r="AA51"/>
  <c r="Z51"/>
  <c r="Y51"/>
  <c r="X51"/>
  <c r="W51"/>
  <c r="V51"/>
  <c r="T51"/>
  <c r="R51"/>
  <c r="Q51"/>
  <c r="P51"/>
  <c r="L51"/>
  <c r="K51"/>
  <c r="J51"/>
  <c r="I51"/>
  <c r="H51"/>
  <c r="G51"/>
  <c r="F51"/>
  <c r="D51"/>
  <c r="AX50"/>
  <c r="AW50"/>
  <c r="AV50"/>
  <c r="AR50"/>
  <c r="AQ50"/>
  <c r="AP50"/>
  <c r="AO50"/>
  <c r="AN50"/>
  <c r="AM50"/>
  <c r="AL50"/>
  <c r="AJ50"/>
  <c r="AH50"/>
  <c r="AG50"/>
  <c r="AF50"/>
  <c r="AB50"/>
  <c r="AA50"/>
  <c r="Z50"/>
  <c r="Y50"/>
  <c r="X50"/>
  <c r="W50"/>
  <c r="V50"/>
  <c r="T50"/>
  <c r="R50"/>
  <c r="Q50"/>
  <c r="P50"/>
  <c r="L50"/>
  <c r="K50"/>
  <c r="J50"/>
  <c r="I50"/>
  <c r="H50"/>
  <c r="G50"/>
  <c r="F50"/>
  <c r="D50"/>
  <c r="AX49"/>
  <c r="AW49"/>
  <c r="AV49"/>
  <c r="AR49"/>
  <c r="AQ49"/>
  <c r="AP49"/>
  <c r="AO49"/>
  <c r="AN49"/>
  <c r="AM49"/>
  <c r="AL49"/>
  <c r="AJ49"/>
  <c r="AH49"/>
  <c r="AG49"/>
  <c r="AF49"/>
  <c r="AB49"/>
  <c r="AA49"/>
  <c r="Z49"/>
  <c r="Y49"/>
  <c r="X49"/>
  <c r="W49"/>
  <c r="V49"/>
  <c r="T49"/>
  <c r="R49"/>
  <c r="Q49"/>
  <c r="P49"/>
  <c r="L49"/>
  <c r="K49"/>
  <c r="J49"/>
  <c r="I49"/>
  <c r="H49"/>
  <c r="G49"/>
  <c r="F49"/>
  <c r="D49"/>
  <c r="AX48"/>
  <c r="AW48"/>
  <c r="AV48"/>
  <c r="AR48"/>
  <c r="AQ48"/>
  <c r="AP48"/>
  <c r="AO48"/>
  <c r="AN48"/>
  <c r="AM48"/>
  <c r="AL48"/>
  <c r="AJ48"/>
  <c r="AH48"/>
  <c r="AG48"/>
  <c r="AF48"/>
  <c r="AB48"/>
  <c r="AA48"/>
  <c r="Z48"/>
  <c r="Y48"/>
  <c r="X48"/>
  <c r="W48"/>
  <c r="V48"/>
  <c r="T48"/>
  <c r="R48"/>
  <c r="Q48"/>
  <c r="P48"/>
  <c r="L48"/>
  <c r="K48"/>
  <c r="J48"/>
  <c r="I48"/>
  <c r="H48"/>
  <c r="G48"/>
  <c r="F48"/>
  <c r="D48"/>
  <c r="AX47"/>
  <c r="AW47"/>
  <c r="AV47"/>
  <c r="AR47"/>
  <c r="AQ47"/>
  <c r="AP47"/>
  <c r="AO47"/>
  <c r="AN47"/>
  <c r="AM47"/>
  <c r="AL47"/>
  <c r="AJ47"/>
  <c r="AH47"/>
  <c r="AG47"/>
  <c r="AF47"/>
  <c r="AB47"/>
  <c r="AA47"/>
  <c r="Z47"/>
  <c r="Y47"/>
  <c r="X47"/>
  <c r="W47"/>
  <c r="V47"/>
  <c r="T47"/>
  <c r="R47"/>
  <c r="Q47"/>
  <c r="P47"/>
  <c r="L47"/>
  <c r="K47"/>
  <c r="J47"/>
  <c r="I47"/>
  <c r="H47"/>
  <c r="G47"/>
  <c r="F47"/>
  <c r="D47"/>
  <c r="AX46"/>
  <c r="AW46"/>
  <c r="AV46"/>
  <c r="AR46"/>
  <c r="AQ46"/>
  <c r="AP46"/>
  <c r="AO46"/>
  <c r="AN46"/>
  <c r="AM46"/>
  <c r="AL46"/>
  <c r="AJ46"/>
  <c r="AH46"/>
  <c r="AG46"/>
  <c r="AF46"/>
  <c r="AB46"/>
  <c r="AA46"/>
  <c r="Z46"/>
  <c r="Y46"/>
  <c r="X46"/>
  <c r="W46"/>
  <c r="V46"/>
  <c r="T46"/>
  <c r="R46"/>
  <c r="Q46"/>
  <c r="P46"/>
  <c r="L46"/>
  <c r="K46"/>
  <c r="J46"/>
  <c r="I46"/>
  <c r="H46"/>
  <c r="G46"/>
  <c r="F46"/>
  <c r="D46"/>
  <c r="AX45"/>
  <c r="AW45"/>
  <c r="AV45"/>
  <c r="AR45"/>
  <c r="AQ45"/>
  <c r="AP45"/>
  <c r="AO45"/>
  <c r="AN45"/>
  <c r="AM45"/>
  <c r="AL45"/>
  <c r="AJ45"/>
  <c r="AH45"/>
  <c r="AG45"/>
  <c r="AF45"/>
  <c r="AB45"/>
  <c r="AA45"/>
  <c r="Z45"/>
  <c r="Y45"/>
  <c r="X45"/>
  <c r="W45"/>
  <c r="V45"/>
  <c r="T45"/>
  <c r="R45"/>
  <c r="Q45"/>
  <c r="P45"/>
  <c r="L45"/>
  <c r="K45"/>
  <c r="J45"/>
  <c r="I45"/>
  <c r="H45"/>
  <c r="G45"/>
  <c r="F45"/>
  <c r="D45"/>
  <c r="AX44"/>
  <c r="AW44"/>
  <c r="AV44"/>
  <c r="AR44"/>
  <c r="AQ44"/>
  <c r="AP44"/>
  <c r="AO44"/>
  <c r="AN44"/>
  <c r="AM44"/>
  <c r="AL44"/>
  <c r="AJ44"/>
  <c r="AH44"/>
  <c r="AG44"/>
  <c r="AF44"/>
  <c r="AB44"/>
  <c r="AA44"/>
  <c r="Z44"/>
  <c r="Y44"/>
  <c r="X44"/>
  <c r="W44"/>
  <c r="V44"/>
  <c r="T44"/>
  <c r="R44"/>
  <c r="Q44"/>
  <c r="P44"/>
  <c r="L44"/>
  <c r="K44"/>
  <c r="J44"/>
  <c r="I44"/>
  <c r="H44"/>
  <c r="G44"/>
  <c r="F44"/>
  <c r="D44"/>
  <c r="AX43"/>
  <c r="AW43"/>
  <c r="AV43"/>
  <c r="AR43"/>
  <c r="AQ43"/>
  <c r="AP43"/>
  <c r="AO43"/>
  <c r="AN43"/>
  <c r="AM43"/>
  <c r="AL43"/>
  <c r="AJ43"/>
  <c r="AH43"/>
  <c r="AG43"/>
  <c r="AF43"/>
  <c r="AB43"/>
  <c r="AA43"/>
  <c r="Z43"/>
  <c r="Y43"/>
  <c r="X43"/>
  <c r="W43"/>
  <c r="V43"/>
  <c r="T43"/>
  <c r="R43"/>
  <c r="Q43"/>
  <c r="P43"/>
  <c r="L43"/>
  <c r="K43"/>
  <c r="J43"/>
  <c r="I43"/>
  <c r="H43"/>
  <c r="G43"/>
  <c r="F43"/>
  <c r="D43"/>
  <c r="AX42"/>
  <c r="AW42"/>
  <c r="AV42"/>
  <c r="AR42"/>
  <c r="AQ42"/>
  <c r="AP42"/>
  <c r="AO42"/>
  <c r="AN42"/>
  <c r="AM42"/>
  <c r="AL42"/>
  <c r="AJ42"/>
  <c r="AH42"/>
  <c r="AG42"/>
  <c r="AF42"/>
  <c r="AB42"/>
  <c r="AA42"/>
  <c r="Z42"/>
  <c r="Y42"/>
  <c r="X42"/>
  <c r="W42"/>
  <c r="V42"/>
  <c r="T42"/>
  <c r="R42"/>
  <c r="Q42"/>
  <c r="P42"/>
  <c r="L42"/>
  <c r="K42"/>
  <c r="J42"/>
  <c r="I42"/>
  <c r="H42"/>
  <c r="G42"/>
  <c r="F42"/>
  <c r="D42"/>
  <c r="AX41"/>
  <c r="AW41"/>
  <c r="AV41"/>
  <c r="AR41"/>
  <c r="AQ41"/>
  <c r="AP41"/>
  <c r="AO41"/>
  <c r="AN41"/>
  <c r="AM41"/>
  <c r="AL41"/>
  <c r="AJ41"/>
  <c r="AH41"/>
  <c r="AG41"/>
  <c r="AF41"/>
  <c r="AB41"/>
  <c r="AA41"/>
  <c r="Z41"/>
  <c r="Y41"/>
  <c r="X41"/>
  <c r="W41"/>
  <c r="V41"/>
  <c r="T41"/>
  <c r="R41"/>
  <c r="Q41"/>
  <c r="P41"/>
  <c r="L41"/>
  <c r="K41"/>
  <c r="J41"/>
  <c r="I41"/>
  <c r="H41"/>
  <c r="G41"/>
  <c r="F41"/>
  <c r="D41"/>
  <c r="AX40"/>
  <c r="AW40"/>
  <c r="AV40"/>
  <c r="AR40"/>
  <c r="AQ40"/>
  <c r="AP40"/>
  <c r="AO40"/>
  <c r="AN40"/>
  <c r="AM40"/>
  <c r="AL40"/>
  <c r="AJ40"/>
  <c r="AH40"/>
  <c r="AG40"/>
  <c r="AF40"/>
  <c r="AB40"/>
  <c r="AA40"/>
  <c r="Z40"/>
  <c r="Y40"/>
  <c r="X40"/>
  <c r="W40"/>
  <c r="V40"/>
  <c r="T40"/>
  <c r="R40"/>
  <c r="Q40"/>
  <c r="P40"/>
  <c r="L40"/>
  <c r="K40"/>
  <c r="J40"/>
  <c r="I40"/>
  <c r="H40"/>
  <c r="G40"/>
  <c r="F40"/>
  <c r="D40"/>
  <c r="AX39"/>
  <c r="AW39"/>
  <c r="AV39"/>
  <c r="AR39"/>
  <c r="AQ39"/>
  <c r="AP39"/>
  <c r="AO39"/>
  <c r="AN39"/>
  <c r="AM39"/>
  <c r="AL39"/>
  <c r="AJ39"/>
  <c r="AH39"/>
  <c r="AG39"/>
  <c r="AF39"/>
  <c r="AB39"/>
  <c r="AA39"/>
  <c r="Z39"/>
  <c r="Y39"/>
  <c r="X39"/>
  <c r="W39"/>
  <c r="V39"/>
  <c r="T39"/>
  <c r="R39"/>
  <c r="Q39"/>
  <c r="P39"/>
  <c r="L39"/>
  <c r="K39"/>
  <c r="J39"/>
  <c r="I39"/>
  <c r="H39"/>
  <c r="G39"/>
  <c r="F39"/>
  <c r="D39"/>
  <c r="AX38"/>
  <c r="AW38"/>
  <c r="AV38"/>
  <c r="AR38"/>
  <c r="AQ38"/>
  <c r="AP38"/>
  <c r="AO38"/>
  <c r="AN38"/>
  <c r="AM38"/>
  <c r="AL38"/>
  <c r="AJ38"/>
  <c r="AH38"/>
  <c r="AG38"/>
  <c r="AF38"/>
  <c r="AB38"/>
  <c r="AA38"/>
  <c r="Z38"/>
  <c r="Y38"/>
  <c r="X38"/>
  <c r="W38"/>
  <c r="V38"/>
  <c r="T38"/>
  <c r="R38"/>
  <c r="Q38"/>
  <c r="P38"/>
  <c r="L38"/>
  <c r="K38"/>
  <c r="J38"/>
  <c r="I38"/>
  <c r="H38"/>
  <c r="G38"/>
  <c r="F38"/>
  <c r="D38"/>
  <c r="AX37"/>
  <c r="AW37"/>
  <c r="AV37"/>
  <c r="AR37"/>
  <c r="AQ37"/>
  <c r="AP37"/>
  <c r="AO37"/>
  <c r="AN37"/>
  <c r="AM37"/>
  <c r="AL37"/>
  <c r="AJ37"/>
  <c r="AH37"/>
  <c r="AG37"/>
  <c r="AF37"/>
  <c r="AB37"/>
  <c r="AA37"/>
  <c r="Z37"/>
  <c r="Y37"/>
  <c r="X37"/>
  <c r="W37"/>
  <c r="V37"/>
  <c r="T37"/>
  <c r="R37"/>
  <c r="Q37"/>
  <c r="P37"/>
  <c r="L37"/>
  <c r="K37"/>
  <c r="J37"/>
  <c r="I37"/>
  <c r="H37"/>
  <c r="G37"/>
  <c r="F37"/>
  <c r="D37"/>
  <c r="AL36"/>
  <c r="AJ36"/>
  <c r="V36"/>
  <c r="T36"/>
  <c r="F36"/>
  <c r="D36"/>
  <c r="AL35"/>
  <c r="AJ35"/>
  <c r="V35"/>
  <c r="T35"/>
  <c r="F35"/>
  <c r="D35"/>
  <c r="AL34"/>
  <c r="AJ34"/>
  <c r="V34"/>
  <c r="T34"/>
  <c r="F34"/>
  <c r="D34"/>
  <c r="AL33"/>
  <c r="AJ33"/>
  <c r="V33"/>
  <c r="T33"/>
  <c r="F33"/>
  <c r="D33"/>
  <c r="AL32"/>
  <c r="AJ32"/>
  <c r="V32"/>
  <c r="T32"/>
  <c r="F32"/>
  <c r="D32"/>
  <c r="AL31"/>
  <c r="AJ31"/>
  <c r="V31"/>
  <c r="T31"/>
  <c r="F31"/>
  <c r="D31"/>
  <c r="AL30"/>
  <c r="AJ30"/>
  <c r="V30"/>
  <c r="T30"/>
  <c r="F30"/>
  <c r="D30"/>
  <c r="AL29"/>
  <c r="AJ29"/>
  <c r="V29"/>
  <c r="T29"/>
  <c r="F29"/>
  <c r="D29"/>
  <c r="AL28"/>
  <c r="AJ28"/>
  <c r="V28"/>
  <c r="T28"/>
  <c r="F28"/>
  <c r="D28"/>
  <c r="AL27"/>
  <c r="AJ27"/>
  <c r="V27"/>
  <c r="T27"/>
  <c r="F27"/>
  <c r="D27"/>
  <c r="AL26"/>
  <c r="AJ26"/>
  <c r="V26"/>
  <c r="T26"/>
  <c r="F26"/>
  <c r="D26"/>
  <c r="AL25"/>
  <c r="AJ25"/>
  <c r="V25"/>
  <c r="T25"/>
  <c r="F25"/>
  <c r="D25"/>
  <c r="AL24"/>
  <c r="AJ24"/>
  <c r="V24"/>
  <c r="T24"/>
  <c r="F24"/>
  <c r="D24"/>
  <c r="AL23"/>
  <c r="AJ23"/>
  <c r="V23"/>
  <c r="T23"/>
  <c r="F23"/>
  <c r="D23"/>
  <c r="AL22"/>
  <c r="AJ22"/>
  <c r="V22"/>
  <c r="T22"/>
  <c r="F22"/>
  <c r="D22"/>
  <c r="AL21"/>
  <c r="AJ21"/>
  <c r="V21"/>
  <c r="T21"/>
  <c r="F21"/>
  <c r="D21"/>
  <c r="AL20"/>
  <c r="AJ20"/>
  <c r="V20"/>
  <c r="T20"/>
  <c r="F20"/>
  <c r="D20"/>
  <c r="AL19"/>
  <c r="AJ19"/>
  <c r="V19"/>
  <c r="T19"/>
  <c r="F19"/>
  <c r="D19"/>
  <c r="AL18"/>
  <c r="AJ18"/>
  <c r="V18"/>
  <c r="T18"/>
  <c r="F18"/>
  <c r="D18"/>
  <c r="AX16"/>
  <c r="AW16"/>
  <c r="AV16"/>
  <c r="AR16"/>
  <c r="AQ16"/>
  <c r="AP16"/>
  <c r="AO16"/>
  <c r="AN16"/>
  <c r="AM16"/>
  <c r="AL16"/>
  <c r="AK16"/>
  <c r="AJ16"/>
  <c r="AH16"/>
  <c r="AG16"/>
  <c r="AF16"/>
  <c r="AB16"/>
  <c r="AA16"/>
  <c r="Z16"/>
  <c r="Y16"/>
  <c r="X16"/>
  <c r="W16"/>
  <c r="V16"/>
  <c r="U16"/>
  <c r="T16"/>
  <c r="R16"/>
  <c r="Q16"/>
  <c r="P16"/>
  <c r="L16"/>
  <c r="K16"/>
  <c r="J16"/>
  <c r="I16"/>
  <c r="H16"/>
  <c r="G16"/>
  <c r="F16"/>
  <c r="E16"/>
  <c r="D16"/>
  <c r="AX15"/>
  <c r="AW15"/>
  <c r="AV15"/>
  <c r="AR15"/>
  <c r="AQ15"/>
  <c r="AP15"/>
  <c r="AO15"/>
  <c r="AN15"/>
  <c r="AM15"/>
  <c r="AL15"/>
  <c r="AK15"/>
  <c r="AJ15"/>
  <c r="AH15"/>
  <c r="AG15"/>
  <c r="AF15"/>
  <c r="AB15"/>
  <c r="AA15"/>
  <c r="Z15"/>
  <c r="Y15"/>
  <c r="X15"/>
  <c r="W15"/>
  <c r="V15"/>
  <c r="U15"/>
  <c r="T15"/>
  <c r="R15"/>
  <c r="Q15"/>
  <c r="P15"/>
  <c r="L15"/>
  <c r="K15"/>
  <c r="J15"/>
  <c r="I15"/>
  <c r="H15"/>
  <c r="G15"/>
  <c r="F15"/>
  <c r="E15"/>
  <c r="D15"/>
  <c r="AX14"/>
  <c r="AW14"/>
  <c r="AV14"/>
  <c r="AR14"/>
  <c r="AQ14"/>
  <c r="AP14"/>
  <c r="AO14"/>
  <c r="AN14"/>
  <c r="AM14"/>
  <c r="AL14"/>
  <c r="AK14"/>
  <c r="AJ14"/>
  <c r="AH14"/>
  <c r="AG14"/>
  <c r="AF14"/>
  <c r="AB14"/>
  <c r="AA14"/>
  <c r="Z14"/>
  <c r="Y14"/>
  <c r="X14"/>
  <c r="W14"/>
  <c r="V14"/>
  <c r="U14"/>
  <c r="T14"/>
  <c r="R14"/>
  <c r="Q14"/>
  <c r="P14"/>
  <c r="L14"/>
  <c r="K14"/>
  <c r="J14"/>
  <c r="I14"/>
  <c r="H14"/>
  <c r="G14"/>
  <c r="F14"/>
  <c r="E14"/>
  <c r="D14"/>
  <c r="AX13"/>
  <c r="AW13"/>
  <c r="AV13"/>
  <c r="AR13"/>
  <c r="AQ13"/>
  <c r="AP13"/>
  <c r="AO13"/>
  <c r="AN13"/>
  <c r="AM13"/>
  <c r="AL13"/>
  <c r="AK13"/>
  <c r="AJ13"/>
  <c r="AH13"/>
  <c r="AG13"/>
  <c r="AF13"/>
  <c r="AB13"/>
  <c r="AA13"/>
  <c r="Z13"/>
  <c r="Y13"/>
  <c r="X13"/>
  <c r="W13"/>
  <c r="V13"/>
  <c r="U13"/>
  <c r="T13"/>
  <c r="R13"/>
  <c r="Q13"/>
  <c r="P13"/>
  <c r="L13"/>
  <c r="K13"/>
  <c r="J13"/>
  <c r="I13"/>
  <c r="H13"/>
  <c r="G13"/>
  <c r="F13"/>
  <c r="E13"/>
  <c r="D13"/>
  <c r="AX12"/>
  <c r="AW12"/>
  <c r="AV12"/>
  <c r="AR12"/>
  <c r="AQ12"/>
  <c r="AP12"/>
  <c r="AO12"/>
  <c r="AN12"/>
  <c r="AM12"/>
  <c r="AL12"/>
  <c r="AK12"/>
  <c r="AJ12"/>
  <c r="AH12"/>
  <c r="AG12"/>
  <c r="AF12"/>
  <c r="AB12"/>
  <c r="AA12"/>
  <c r="Z12"/>
  <c r="Y12"/>
  <c r="X12"/>
  <c r="W12"/>
  <c r="V12"/>
  <c r="U12"/>
  <c r="T12"/>
  <c r="R12"/>
  <c r="Q12"/>
  <c r="P12"/>
  <c r="L12"/>
  <c r="K12"/>
  <c r="J12"/>
  <c r="I12"/>
  <c r="H12"/>
  <c r="G12"/>
  <c r="F12"/>
  <c r="E12"/>
  <c r="D12"/>
  <c r="AX11"/>
  <c r="AW11"/>
  <c r="AV11"/>
  <c r="AR11"/>
  <c r="AQ11"/>
  <c r="AP11"/>
  <c r="AO11"/>
  <c r="AN11"/>
  <c r="AM11"/>
  <c r="AL11"/>
  <c r="AK11"/>
  <c r="AJ11"/>
  <c r="AH11"/>
  <c r="AG11"/>
  <c r="AF11"/>
  <c r="AB11"/>
  <c r="AA11"/>
  <c r="Z11"/>
  <c r="Y11"/>
  <c r="X11"/>
  <c r="W11"/>
  <c r="V11"/>
  <c r="U11"/>
  <c r="T11"/>
  <c r="R11"/>
  <c r="Q11"/>
  <c r="P11"/>
  <c r="L11"/>
  <c r="K11"/>
  <c r="J11"/>
  <c r="I11"/>
  <c r="H11"/>
  <c r="G11"/>
  <c r="F11"/>
  <c r="E11"/>
  <c r="D11"/>
  <c r="AX10"/>
  <c r="AW10"/>
  <c r="AV10"/>
  <c r="AR10"/>
  <c r="AQ10"/>
  <c r="AP10"/>
  <c r="AO10"/>
  <c r="AN10"/>
  <c r="AM10"/>
  <c r="AL10"/>
  <c r="AK10"/>
  <c r="AJ10"/>
  <c r="AH10"/>
  <c r="AG10"/>
  <c r="AF10"/>
  <c r="AB10"/>
  <c r="AA10"/>
  <c r="Z10"/>
  <c r="Y10"/>
  <c r="X10"/>
  <c r="W10"/>
  <c r="V10"/>
  <c r="U10"/>
  <c r="T10"/>
  <c r="R10"/>
  <c r="Q10"/>
  <c r="P10"/>
  <c r="L10"/>
  <c r="K10"/>
  <c r="J10"/>
  <c r="I10"/>
  <c r="H10"/>
  <c r="G10"/>
  <c r="F10"/>
  <c r="E10"/>
  <c r="D10"/>
  <c r="AX9"/>
  <c r="AW9"/>
  <c r="AV9"/>
  <c r="AR9"/>
  <c r="AQ9"/>
  <c r="AP9"/>
  <c r="AO9"/>
  <c r="AN9"/>
  <c r="AM9"/>
  <c r="AL9"/>
  <c r="AK9"/>
  <c r="AJ9"/>
  <c r="AH9"/>
  <c r="AG9"/>
  <c r="AF9"/>
  <c r="AB9"/>
  <c r="AA9"/>
  <c r="Z9"/>
  <c r="Y9"/>
  <c r="X9"/>
  <c r="W9"/>
  <c r="V9"/>
  <c r="U9"/>
  <c r="T9"/>
  <c r="R9"/>
  <c r="Q9"/>
  <c r="P9"/>
  <c r="L9"/>
  <c r="K9"/>
  <c r="J9"/>
  <c r="I9"/>
  <c r="H9"/>
  <c r="G9"/>
  <c r="F9"/>
  <c r="E9"/>
  <c r="D9"/>
  <c r="AX8"/>
  <c r="AW8"/>
  <c r="AV8"/>
  <c r="AR8"/>
  <c r="AQ8"/>
  <c r="AP8"/>
  <c r="AO8"/>
  <c r="AN8"/>
  <c r="AM8"/>
  <c r="AL8"/>
  <c r="AK8"/>
  <c r="AJ8"/>
  <c r="AH8"/>
  <c r="AG8"/>
  <c r="AF8"/>
  <c r="AB8"/>
  <c r="AA8"/>
  <c r="Z8"/>
  <c r="Y8"/>
  <c r="X8"/>
  <c r="W8"/>
  <c r="V8"/>
  <c r="U8"/>
  <c r="T8"/>
  <c r="R8"/>
  <c r="Q8"/>
  <c r="P8"/>
  <c r="L8"/>
  <c r="K8"/>
  <c r="J8"/>
  <c r="I8"/>
  <c r="H8"/>
  <c r="G8"/>
  <c r="F8"/>
  <c r="E8"/>
  <c r="D8"/>
  <c r="AX9" i="17"/>
  <c r="AX10"/>
  <c r="AX11"/>
  <c r="AX12"/>
  <c r="AX13"/>
  <c r="AX14"/>
  <c r="AX15"/>
  <c r="AX16"/>
  <c r="AX37"/>
  <c r="AX38"/>
  <c r="AX39"/>
  <c r="AX40"/>
  <c r="AX41"/>
  <c r="AX42"/>
  <c r="AX43"/>
  <c r="AX44"/>
  <c r="AX45"/>
  <c r="AX46"/>
  <c r="AX47"/>
  <c r="AX48"/>
  <c r="AX49"/>
  <c r="AX50"/>
  <c r="AX51"/>
  <c r="AX52"/>
  <c r="AX53"/>
  <c r="AX54"/>
  <c r="AX55"/>
  <c r="AX56"/>
  <c r="AX57"/>
  <c r="AX58"/>
  <c r="AX59"/>
  <c r="AX60"/>
  <c r="AX61"/>
  <c r="AX62"/>
  <c r="AX63"/>
  <c r="AX64"/>
  <c r="AX65"/>
  <c r="AX66"/>
  <c r="AX67"/>
  <c r="AX68"/>
  <c r="AX69"/>
  <c r="AX70"/>
  <c r="AX71"/>
  <c r="AX72"/>
  <c r="AX73"/>
  <c r="AX74"/>
  <c r="AX75"/>
  <c r="AX76"/>
  <c r="AX77"/>
  <c r="AX78"/>
  <c r="AX79"/>
  <c r="AX80"/>
  <c r="AX81"/>
  <c r="AX82"/>
  <c r="AX83"/>
  <c r="AX84"/>
  <c r="AX85"/>
  <c r="AX8"/>
  <c r="AW9"/>
  <c r="AW10"/>
  <c r="AW11"/>
  <c r="AW12"/>
  <c r="AW13"/>
  <c r="AW14"/>
  <c r="AW15"/>
  <c r="AW16"/>
  <c r="AW37"/>
  <c r="AW38"/>
  <c r="AW39"/>
  <c r="AW40"/>
  <c r="AW41"/>
  <c r="AW42"/>
  <c r="AW43"/>
  <c r="AW44"/>
  <c r="AW45"/>
  <c r="AW46"/>
  <c r="AW47"/>
  <c r="AW48"/>
  <c r="AW49"/>
  <c r="AW50"/>
  <c r="AW51"/>
  <c r="AW52"/>
  <c r="AW53"/>
  <c r="AW54"/>
  <c r="AW55"/>
  <c r="AW56"/>
  <c r="AW57"/>
  <c r="AW58"/>
  <c r="AW59"/>
  <c r="AW60"/>
  <c r="AW61"/>
  <c r="AW62"/>
  <c r="AW63"/>
  <c r="AW64"/>
  <c r="AW65"/>
  <c r="AW66"/>
  <c r="AW67"/>
  <c r="AW68"/>
  <c r="AW69"/>
  <c r="AW70"/>
  <c r="AW71"/>
  <c r="AW72"/>
  <c r="AW73"/>
  <c r="AW74"/>
  <c r="AW75"/>
  <c r="AW76"/>
  <c r="AW77"/>
  <c r="AW78"/>
  <c r="AW79"/>
  <c r="AW80"/>
  <c r="AW81"/>
  <c r="AW82"/>
  <c r="AW83"/>
  <c r="AW84"/>
  <c r="AW85"/>
  <c r="AW8"/>
  <c r="AV9"/>
  <c r="AV10"/>
  <c r="AV11"/>
  <c r="AV12"/>
  <c r="AV13"/>
  <c r="AV14"/>
  <c r="AV15"/>
  <c r="AV1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
  <c r="AR9"/>
  <c r="AR10"/>
  <c r="AR11"/>
  <c r="AR12"/>
  <c r="AR13"/>
  <c r="AR14"/>
  <c r="AR15"/>
  <c r="AR1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R75"/>
  <c r="AR76"/>
  <c r="AR77"/>
  <c r="AR78"/>
  <c r="AR79"/>
  <c r="AR80"/>
  <c r="AR81"/>
  <c r="AR82"/>
  <c r="AR83"/>
  <c r="AR84"/>
  <c r="AR85"/>
  <c r="AR8"/>
  <c r="AQ9"/>
  <c r="AQ10"/>
  <c r="AQ11"/>
  <c r="AQ12"/>
  <c r="AQ13"/>
  <c r="AQ14"/>
  <c r="AQ15"/>
  <c r="AQ16"/>
  <c r="AQ37"/>
  <c r="AQ38"/>
  <c r="AQ39"/>
  <c r="AQ40"/>
  <c r="AQ41"/>
  <c r="AQ42"/>
  <c r="AQ43"/>
  <c r="AQ44"/>
  <c r="AQ45"/>
  <c r="AQ46"/>
  <c r="AQ47"/>
  <c r="AQ48"/>
  <c r="AQ49"/>
  <c r="AQ50"/>
  <c r="AQ51"/>
  <c r="AQ52"/>
  <c r="AQ53"/>
  <c r="AQ54"/>
  <c r="AQ55"/>
  <c r="AQ56"/>
  <c r="AQ57"/>
  <c r="AQ58"/>
  <c r="AQ59"/>
  <c r="AQ60"/>
  <c r="AQ61"/>
  <c r="AQ62"/>
  <c r="AQ63"/>
  <c r="AQ64"/>
  <c r="AQ65"/>
  <c r="AQ66"/>
  <c r="AQ67"/>
  <c r="AQ68"/>
  <c r="AQ69"/>
  <c r="AQ70"/>
  <c r="AQ71"/>
  <c r="AQ72"/>
  <c r="AQ73"/>
  <c r="AQ74"/>
  <c r="AQ75"/>
  <c r="AQ76"/>
  <c r="AQ77"/>
  <c r="AQ78"/>
  <c r="AQ79"/>
  <c r="AQ80"/>
  <c r="AQ81"/>
  <c r="AQ82"/>
  <c r="AQ83"/>
  <c r="AQ84"/>
  <c r="AQ85"/>
  <c r="AQ8"/>
  <c r="AP9"/>
  <c r="AP10"/>
  <c r="AP11"/>
  <c r="AP12"/>
  <c r="AP13"/>
  <c r="AP14"/>
  <c r="AP15"/>
  <c r="AP16"/>
  <c r="AP37"/>
  <c r="AP38"/>
  <c r="AP39"/>
  <c r="AP40"/>
  <c r="AP41"/>
  <c r="AP42"/>
  <c r="AP43"/>
  <c r="AP44"/>
  <c r="AP45"/>
  <c r="AP46"/>
  <c r="AP47"/>
  <c r="AP48"/>
  <c r="AP49"/>
  <c r="AP50"/>
  <c r="AP51"/>
  <c r="AP52"/>
  <c r="AP53"/>
  <c r="AP54"/>
  <c r="AP55"/>
  <c r="AP56"/>
  <c r="AP57"/>
  <c r="AP58"/>
  <c r="AP59"/>
  <c r="AP60"/>
  <c r="AP61"/>
  <c r="AP62"/>
  <c r="AP63"/>
  <c r="AP64"/>
  <c r="AP65"/>
  <c r="AP66"/>
  <c r="AP67"/>
  <c r="AP68"/>
  <c r="AP69"/>
  <c r="AP70"/>
  <c r="AP71"/>
  <c r="AP72"/>
  <c r="AP73"/>
  <c r="AP74"/>
  <c r="AP75"/>
  <c r="AP76"/>
  <c r="AP77"/>
  <c r="AP78"/>
  <c r="AP79"/>
  <c r="AP80"/>
  <c r="AP81"/>
  <c r="AP82"/>
  <c r="AP83"/>
  <c r="AP84"/>
  <c r="AP85"/>
  <c r="AP8"/>
  <c r="AO9"/>
  <c r="AO10"/>
  <c r="AO11"/>
  <c r="AO12"/>
  <c r="AO13"/>
  <c r="AO14"/>
  <c r="AO15"/>
  <c r="AO1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
  <c r="AN9"/>
  <c r="AN10"/>
  <c r="AN11"/>
  <c r="AN12"/>
  <c r="AN13"/>
  <c r="AN14"/>
  <c r="AN15"/>
  <c r="AN1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
  <c r="AM9"/>
  <c r="AM10"/>
  <c r="AM11"/>
  <c r="AM12"/>
  <c r="AM13"/>
  <c r="AM14"/>
  <c r="AM15"/>
  <c r="AM1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
  <c r="AH9"/>
  <c r="AH10"/>
  <c r="AH11"/>
  <c r="AH12"/>
  <c r="AH13"/>
  <c r="AH14"/>
  <c r="AH15"/>
  <c r="AH1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
  <c r="AG9"/>
  <c r="AG10"/>
  <c r="AG11"/>
  <c r="AG12"/>
  <c r="AG13"/>
  <c r="AG14"/>
  <c r="AG15"/>
  <c r="AG1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
  <c r="AF9"/>
  <c r="AF10"/>
  <c r="AF11"/>
  <c r="AF12"/>
  <c r="AF13"/>
  <c r="AF14"/>
  <c r="AF15"/>
  <c r="AF1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
  <c r="AB9"/>
  <c r="AB10"/>
  <c r="AB11"/>
  <c r="AB12"/>
  <c r="AB13"/>
  <c r="AB14"/>
  <c r="AB15"/>
  <c r="AB1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
  <c r="AA9"/>
  <c r="AA10"/>
  <c r="AA11"/>
  <c r="AA12"/>
  <c r="AA13"/>
  <c r="AA14"/>
  <c r="AA15"/>
  <c r="AA1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
  <c r="Z9"/>
  <c r="Z10"/>
  <c r="Z11"/>
  <c r="Z12"/>
  <c r="Z13"/>
  <c r="Z14"/>
  <c r="Z15"/>
  <c r="Z1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
  <c r="Y9"/>
  <c r="Y10"/>
  <c r="Y11"/>
  <c r="Y12"/>
  <c r="Y13"/>
  <c r="Y14"/>
  <c r="Y15"/>
  <c r="Y1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
  <c r="X9"/>
  <c r="X10"/>
  <c r="X11"/>
  <c r="X12"/>
  <c r="X13"/>
  <c r="X14"/>
  <c r="X15"/>
  <c r="X1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
  <c r="W9"/>
  <c r="W10"/>
  <c r="W11"/>
  <c r="W12"/>
  <c r="W13"/>
  <c r="W14"/>
  <c r="W15"/>
  <c r="W1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
  <c r="AL9"/>
  <c r="AL10"/>
  <c r="AL11"/>
  <c r="AL12"/>
  <c r="AL13"/>
  <c r="AL14"/>
  <c r="AL15"/>
  <c r="AL16"/>
  <c r="AL18"/>
  <c r="AL19"/>
  <c r="AL20"/>
  <c r="AL21"/>
  <c r="AL22"/>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
  <c r="V9"/>
  <c r="V10"/>
  <c r="V11"/>
  <c r="V12"/>
  <c r="V13"/>
  <c r="V14"/>
  <c r="V15"/>
  <c r="V16"/>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
  <c r="F8"/>
  <c r="AK9"/>
  <c r="AK10"/>
  <c r="AK11"/>
  <c r="AK12"/>
  <c r="AK13"/>
  <c r="AK14"/>
  <c r="AK15"/>
  <c r="AK16"/>
  <c r="AK8"/>
  <c r="U9"/>
  <c r="U10"/>
  <c r="U11"/>
  <c r="U12"/>
  <c r="U13"/>
  <c r="U14"/>
  <c r="U15"/>
  <c r="U16"/>
  <c r="U8"/>
  <c r="E8"/>
  <c r="AJ9"/>
  <c r="AJ10"/>
  <c r="AJ11"/>
  <c r="AJ12"/>
  <c r="AJ13"/>
  <c r="AJ14"/>
  <c r="AJ15"/>
  <c r="AJ16"/>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
  <c r="T9"/>
  <c r="T10"/>
  <c r="T11"/>
  <c r="T12"/>
  <c r="T13"/>
  <c r="T14"/>
  <c r="T15"/>
  <c r="T16"/>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
  <c r="D8"/>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
  <c r="R9"/>
  <c r="R10"/>
  <c r="R11"/>
  <c r="R12"/>
  <c r="R13"/>
  <c r="R14"/>
  <c r="R15"/>
  <c r="R1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
  <c r="Q9"/>
  <c r="Q10"/>
  <c r="Q11"/>
  <c r="Q12"/>
  <c r="Q13"/>
  <c r="Q14"/>
  <c r="Q15"/>
  <c r="Q1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
  <c r="P9"/>
  <c r="P10"/>
  <c r="P11"/>
  <c r="P12"/>
  <c r="P13"/>
  <c r="P14"/>
  <c r="P15"/>
  <c r="P1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
  <c r="L9"/>
  <c r="L10"/>
  <c r="L11"/>
  <c r="L12"/>
  <c r="L13"/>
  <c r="L14"/>
  <c r="L15"/>
  <c r="L1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
  <c r="K9"/>
  <c r="K10"/>
  <c r="K11"/>
  <c r="K12"/>
  <c r="K13"/>
  <c r="K14"/>
  <c r="K15"/>
  <c r="K1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
  <c r="J9"/>
  <c r="J10"/>
  <c r="J11"/>
  <c r="J12"/>
  <c r="J13"/>
  <c r="J14"/>
  <c r="J15"/>
  <c r="J1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
  <c r="I9"/>
  <c r="I10"/>
  <c r="I11"/>
  <c r="I12"/>
  <c r="I13"/>
  <c r="I14"/>
  <c r="I15"/>
  <c r="I1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
  <c r="H9"/>
  <c r="H10"/>
  <c r="H11"/>
  <c r="H12"/>
  <c r="H13"/>
  <c r="H14"/>
  <c r="H15"/>
  <c r="H1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
  <c r="G9"/>
  <c r="G10"/>
  <c r="G11"/>
  <c r="G12"/>
  <c r="G13"/>
  <c r="G14"/>
  <c r="G15"/>
  <c r="G16"/>
  <c r="D49" i="28"/>
  <c r="C49"/>
  <c r="F18" i="17"/>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9"/>
  <c r="F10"/>
  <c r="F11"/>
  <c r="F12"/>
  <c r="F13"/>
  <c r="F14"/>
  <c r="F15"/>
  <c r="F16"/>
  <c r="E9"/>
  <c r="E10"/>
  <c r="E11"/>
  <c r="E12"/>
  <c r="E13"/>
  <c r="E14"/>
  <c r="E15"/>
  <c r="E16"/>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9"/>
  <c r="D10"/>
  <c r="D11"/>
  <c r="D12"/>
  <c r="D13"/>
  <c r="D14"/>
  <c r="D15"/>
  <c r="D16"/>
  <c r="G18" i="29"/>
  <c r="G19"/>
  <c r="G20"/>
  <c r="G21"/>
  <c r="G22"/>
  <c r="G23"/>
  <c r="G24"/>
  <c r="G25"/>
  <c r="G26"/>
  <c r="G27"/>
  <c r="G28"/>
  <c r="G29"/>
  <c r="G30"/>
  <c r="G31"/>
  <c r="G32"/>
  <c r="G33"/>
  <c r="G34"/>
  <c r="G35"/>
  <c r="G36"/>
  <c r="S22"/>
  <c r="T22"/>
  <c r="S23"/>
  <c r="T23"/>
  <c r="S24"/>
  <c r="T24"/>
  <c r="T21"/>
  <c r="S21"/>
  <c r="Q22"/>
  <c r="R22"/>
  <c r="Q23"/>
  <c r="R23"/>
  <c r="Q24"/>
  <c r="R24"/>
  <c r="R21"/>
  <c r="Q21"/>
  <c r="P21"/>
  <c r="P22"/>
  <c r="P23"/>
  <c r="P24"/>
  <c r="O22"/>
  <c r="O23"/>
  <c r="O24"/>
  <c r="O21"/>
  <c r="M25" i="28"/>
  <c r="M24"/>
  <c r="E45"/>
  <c r="E46"/>
  <c r="E47"/>
  <c r="D39"/>
  <c r="C39"/>
  <c r="E35"/>
  <c r="E36"/>
  <c r="E37"/>
  <c r="E27"/>
  <c r="E28"/>
  <c r="E29"/>
  <c r="B8" i="38"/>
  <c r="B9"/>
  <c r="B10"/>
  <c r="B11"/>
  <c r="B12"/>
  <c r="B13"/>
  <c r="G11" i="14"/>
  <c r="G12"/>
  <c r="B8" i="37" s="1"/>
  <c r="G13" i="14"/>
  <c r="B9" i="37" s="1"/>
  <c r="G14" i="14"/>
  <c r="B10" i="37" s="1"/>
  <c r="G15" i="14"/>
  <c r="B11" i="37" s="1"/>
  <c r="G16" i="14"/>
  <c r="B12" i="37" s="1"/>
  <c r="G17" i="14"/>
  <c r="G18" s="1"/>
  <c r="G19" s="1"/>
  <c r="G20" s="1"/>
  <c r="B16" i="37" s="1"/>
  <c r="F11" i="14"/>
  <c r="C34" i="16"/>
  <c r="E25"/>
  <c r="E146" i="35"/>
  <c r="E152"/>
  <c r="E152" i="36"/>
  <c r="G179" i="11"/>
  <c r="G180" s="1"/>
  <c r="E151" i="36"/>
  <c r="E143" i="35"/>
  <c r="E143" i="36"/>
  <c r="E149" i="35"/>
  <c r="E149" i="36"/>
  <c r="E142" i="35"/>
  <c r="E142" i="36"/>
  <c r="F24" i="32"/>
  <c r="S24" s="1"/>
  <c r="F25"/>
  <c r="S25" s="1"/>
  <c r="F26"/>
  <c r="S26" s="1"/>
  <c r="F27"/>
  <c r="S27" s="1"/>
  <c r="F28"/>
  <c r="S28" s="1"/>
  <c r="F29"/>
  <c r="S29" s="1"/>
  <c r="F30"/>
  <c r="S30" s="1"/>
  <c r="F31"/>
  <c r="S31" s="1"/>
  <c r="F32"/>
  <c r="S32" s="1"/>
  <c r="F33"/>
  <c r="S33" s="1"/>
  <c r="F34"/>
  <c r="S34" s="1"/>
  <c r="F35"/>
  <c r="S35" s="1"/>
  <c r="F36"/>
  <c r="S36" s="1"/>
  <c r="F37"/>
  <c r="S37" s="1"/>
  <c r="F38"/>
  <c r="S38" s="1"/>
  <c r="F39"/>
  <c r="S39" s="1"/>
  <c r="F40"/>
  <c r="S40" s="1"/>
  <c r="F41"/>
  <c r="S41" s="1"/>
  <c r="F42"/>
  <c r="S42" s="1"/>
  <c r="F23"/>
  <c r="E24"/>
  <c r="E25"/>
  <c r="E26"/>
  <c r="E27"/>
  <c r="E28"/>
  <c r="E29"/>
  <c r="E30"/>
  <c r="E31"/>
  <c r="E32"/>
  <c r="E33"/>
  <c r="E34"/>
  <c r="E35"/>
  <c r="E36"/>
  <c r="E37"/>
  <c r="E38"/>
  <c r="E39"/>
  <c r="E40"/>
  <c r="E41"/>
  <c r="E42"/>
  <c r="E23"/>
  <c r="D24"/>
  <c r="D25"/>
  <c r="D26"/>
  <c r="D27"/>
  <c r="D28"/>
  <c r="D29"/>
  <c r="D30"/>
  <c r="D31"/>
  <c r="D32"/>
  <c r="D33"/>
  <c r="D34"/>
  <c r="D35"/>
  <c r="D36"/>
  <c r="D37"/>
  <c r="D38"/>
  <c r="D39"/>
  <c r="D40"/>
  <c r="D41"/>
  <c r="D42"/>
  <c r="D23"/>
  <c r="C24"/>
  <c r="C25"/>
  <c r="C26"/>
  <c r="C27"/>
  <c r="C28"/>
  <c r="C29"/>
  <c r="C30"/>
  <c r="C31"/>
  <c r="C32"/>
  <c r="C33"/>
  <c r="C34"/>
  <c r="C35"/>
  <c r="C36"/>
  <c r="C37"/>
  <c r="C38"/>
  <c r="C39"/>
  <c r="C40"/>
  <c r="C41"/>
  <c r="C42"/>
  <c r="C23"/>
  <c r="B23"/>
  <c r="H23" s="1"/>
  <c r="B24"/>
  <c r="I24" s="1"/>
  <c r="B25"/>
  <c r="G25" s="1"/>
  <c r="B26"/>
  <c r="G26" s="1"/>
  <c r="B27"/>
  <c r="G27" s="1"/>
  <c r="B28"/>
  <c r="I28" s="1"/>
  <c r="B29"/>
  <c r="G29" s="1"/>
  <c r="B30"/>
  <c r="G30" s="1"/>
  <c r="B31"/>
  <c r="G31" s="1"/>
  <c r="B32"/>
  <c r="I32" s="1"/>
  <c r="B33"/>
  <c r="G33" s="1"/>
  <c r="B34"/>
  <c r="G34" s="1"/>
  <c r="B35"/>
  <c r="G35" s="1"/>
  <c r="B36"/>
  <c r="I36" s="1"/>
  <c r="B37"/>
  <c r="G37" s="1"/>
  <c r="B38"/>
  <c r="G38" s="1"/>
  <c r="B39"/>
  <c r="G39" s="1"/>
  <c r="B40"/>
  <c r="I40" s="1"/>
  <c r="B41"/>
  <c r="G41" s="1"/>
  <c r="B42"/>
  <c r="G42" s="1"/>
  <c r="F15"/>
  <c r="E15"/>
  <c r="D15"/>
  <c r="F14"/>
  <c r="E14"/>
  <c r="D14"/>
  <c r="D7"/>
  <c r="F8"/>
  <c r="E8"/>
  <c r="F7"/>
  <c r="E7"/>
  <c r="D8"/>
  <c r="F14" i="27"/>
  <c r="E14"/>
  <c r="D14"/>
  <c r="F8"/>
  <c r="E8"/>
  <c r="D8"/>
  <c r="E153" i="36"/>
  <c r="E150" i="35"/>
  <c r="E145"/>
  <c r="E144"/>
  <c r="G153" i="36"/>
  <c r="G152"/>
  <c r="G151"/>
  <c r="G150"/>
  <c r="G149"/>
  <c r="G153" i="35"/>
  <c r="G152"/>
  <c r="G151"/>
  <c r="G150"/>
  <c r="G149"/>
  <c r="G146" i="36"/>
  <c r="G145"/>
  <c r="G144"/>
  <c r="G143"/>
  <c r="G142"/>
  <c r="G146" i="35"/>
  <c r="G145"/>
  <c r="G144"/>
  <c r="G143"/>
  <c r="G142"/>
  <c r="G153" i="22"/>
  <c r="G152"/>
  <c r="G151"/>
  <c r="G150"/>
  <c r="G149"/>
  <c r="G146"/>
  <c r="G145"/>
  <c r="G144"/>
  <c r="G143"/>
  <c r="G142"/>
  <c r="E106" i="36"/>
  <c r="F106" s="1"/>
  <c r="Y8" i="32" s="1"/>
  <c r="E106" i="35"/>
  <c r="F106" s="1"/>
  <c r="X8" i="32" s="1"/>
  <c r="E100" i="36"/>
  <c r="E100" i="35"/>
  <c r="F100" s="1"/>
  <c r="AB7" i="32" s="1"/>
  <c r="E16" s="1"/>
  <c r="F94" i="36"/>
  <c r="F93"/>
  <c r="E93" s="1"/>
  <c r="F92"/>
  <c r="E92" s="1"/>
  <c r="F91"/>
  <c r="F94" i="35"/>
  <c r="G94" s="1"/>
  <c r="F93"/>
  <c r="G93" s="1"/>
  <c r="F92"/>
  <c r="G92" s="1"/>
  <c r="F91"/>
  <c r="D94" i="36"/>
  <c r="D93"/>
  <c r="D92"/>
  <c r="D91"/>
  <c r="D94" i="35"/>
  <c r="D93"/>
  <c r="D92"/>
  <c r="D91"/>
  <c r="F91" i="22"/>
  <c r="D94"/>
  <c r="D93"/>
  <c r="D92"/>
  <c r="D91"/>
  <c r="G53" i="36"/>
  <c r="G52"/>
  <c r="G51"/>
  <c r="G50"/>
  <c r="G49"/>
  <c r="G46"/>
  <c r="G45"/>
  <c r="G44"/>
  <c r="G43"/>
  <c r="G42"/>
  <c r="G53" i="35"/>
  <c r="G52"/>
  <c r="G51"/>
  <c r="G50"/>
  <c r="G49"/>
  <c r="G46"/>
  <c r="G45"/>
  <c r="G44"/>
  <c r="G43"/>
  <c r="G42"/>
  <c r="G53" i="22"/>
  <c r="G52"/>
  <c r="G51"/>
  <c r="G50"/>
  <c r="G49"/>
  <c r="G46"/>
  <c r="G45"/>
  <c r="G44"/>
  <c r="G43"/>
  <c r="G42"/>
  <c r="C106" i="36"/>
  <c r="D106" s="1"/>
  <c r="C100"/>
  <c r="D100" s="1"/>
  <c r="O35"/>
  <c r="O86" s="1"/>
  <c r="J35"/>
  <c r="J86" s="1"/>
  <c r="E35"/>
  <c r="C35"/>
  <c r="O34"/>
  <c r="O85" s="1"/>
  <c r="J34"/>
  <c r="J85" s="1"/>
  <c r="E34"/>
  <c r="C34"/>
  <c r="O33"/>
  <c r="O84" s="1"/>
  <c r="J33"/>
  <c r="J84" s="1"/>
  <c r="E33"/>
  <c r="C33"/>
  <c r="O32"/>
  <c r="O83" s="1"/>
  <c r="J32"/>
  <c r="J83" s="1"/>
  <c r="E32"/>
  <c r="C32"/>
  <c r="O31"/>
  <c r="O82" s="1"/>
  <c r="J31"/>
  <c r="J82" s="1"/>
  <c r="E31"/>
  <c r="C31"/>
  <c r="E30"/>
  <c r="E81" s="1"/>
  <c r="K26"/>
  <c r="K77" s="1"/>
  <c r="K126" s="1"/>
  <c r="K167" s="1"/>
  <c r="H26"/>
  <c r="H77" s="1"/>
  <c r="H126" s="1"/>
  <c r="H167" s="1"/>
  <c r="O24"/>
  <c r="O75" s="1"/>
  <c r="J24"/>
  <c r="J75" s="1"/>
  <c r="E24"/>
  <c r="C24"/>
  <c r="O23"/>
  <c r="O74" s="1"/>
  <c r="J23"/>
  <c r="J74" s="1"/>
  <c r="E23"/>
  <c r="C23"/>
  <c r="O22"/>
  <c r="O73" s="1"/>
  <c r="J22"/>
  <c r="J73" s="1"/>
  <c r="E22"/>
  <c r="C22"/>
  <c r="O21"/>
  <c r="O72" s="1"/>
  <c r="J21"/>
  <c r="J72" s="1"/>
  <c r="E21"/>
  <c r="C21"/>
  <c r="O20"/>
  <c r="O71" s="1"/>
  <c r="J20"/>
  <c r="J71" s="1"/>
  <c r="E20"/>
  <c r="C20"/>
  <c r="E19"/>
  <c r="E70" s="1"/>
  <c r="K15"/>
  <c r="K66" s="1"/>
  <c r="H15"/>
  <c r="H66" s="1"/>
  <c r="C106" i="35"/>
  <c r="D106" s="1"/>
  <c r="C100"/>
  <c r="D100" s="1"/>
  <c r="O35"/>
  <c r="O86" s="1"/>
  <c r="J35"/>
  <c r="J86" s="1"/>
  <c r="E35"/>
  <c r="C35"/>
  <c r="O34"/>
  <c r="O85" s="1"/>
  <c r="J34"/>
  <c r="J85" s="1"/>
  <c r="E34"/>
  <c r="C34"/>
  <c r="O33"/>
  <c r="O84" s="1"/>
  <c r="J33"/>
  <c r="J84" s="1"/>
  <c r="E33"/>
  <c r="C33"/>
  <c r="O32"/>
  <c r="O83" s="1"/>
  <c r="J32"/>
  <c r="J83" s="1"/>
  <c r="E32"/>
  <c r="C32"/>
  <c r="O31"/>
  <c r="O82" s="1"/>
  <c r="J31"/>
  <c r="J82" s="1"/>
  <c r="E31"/>
  <c r="C31"/>
  <c r="E30"/>
  <c r="E81" s="1"/>
  <c r="K26"/>
  <c r="K77" s="1"/>
  <c r="K126" s="1"/>
  <c r="K167" s="1"/>
  <c r="H26"/>
  <c r="H77" s="1"/>
  <c r="H126" s="1"/>
  <c r="H167" s="1"/>
  <c r="O24"/>
  <c r="O75" s="1"/>
  <c r="J24"/>
  <c r="J75" s="1"/>
  <c r="E24"/>
  <c r="C24"/>
  <c r="O23"/>
  <c r="O74" s="1"/>
  <c r="J23"/>
  <c r="J74" s="1"/>
  <c r="E23"/>
  <c r="C23"/>
  <c r="O22"/>
  <c r="O73" s="1"/>
  <c r="J22"/>
  <c r="J73" s="1"/>
  <c r="E22"/>
  <c r="C22"/>
  <c r="O21"/>
  <c r="O72" s="1"/>
  <c r="J21"/>
  <c r="J72" s="1"/>
  <c r="E21"/>
  <c r="C21"/>
  <c r="O20"/>
  <c r="O71" s="1"/>
  <c r="J20"/>
  <c r="J71" s="1"/>
  <c r="E20"/>
  <c r="C20"/>
  <c r="E19"/>
  <c r="E70" s="1"/>
  <c r="K15"/>
  <c r="H15"/>
  <c r="H66" s="1"/>
  <c r="J18" i="29"/>
  <c r="J19"/>
  <c r="J20"/>
  <c r="J21"/>
  <c r="J22"/>
  <c r="J23"/>
  <c r="J24"/>
  <c r="J25"/>
  <c r="J26"/>
  <c r="J27"/>
  <c r="J28"/>
  <c r="J29"/>
  <c r="J30"/>
  <c r="J31"/>
  <c r="J32"/>
  <c r="J33"/>
  <c r="J34"/>
  <c r="J35"/>
  <c r="J36"/>
  <c r="J17"/>
  <c r="C15" i="32"/>
  <c r="C14"/>
  <c r="C8"/>
  <c r="C7"/>
  <c r="K181" i="11" l="1"/>
  <c r="K263"/>
  <c r="K141"/>
  <c r="K223"/>
  <c r="K99"/>
  <c r="N181"/>
  <c r="E144" i="36" s="1"/>
  <c r="N263" i="11"/>
  <c r="E146" i="36" s="1"/>
  <c r="N141" i="11"/>
  <c r="E150" i="36" s="1"/>
  <c r="N223" i="11"/>
  <c r="M182"/>
  <c r="E151" i="35" s="1"/>
  <c r="G92" i="36"/>
  <c r="E92" i="35"/>
  <c r="G23" i="32"/>
  <c r="E91" i="35"/>
  <c r="L25" i="32"/>
  <c r="L41"/>
  <c r="P37"/>
  <c r="Q27"/>
  <c r="R27"/>
  <c r="Q35"/>
  <c r="P29"/>
  <c r="L33"/>
  <c r="R35"/>
  <c r="O39"/>
  <c r="O31"/>
  <c r="Q39"/>
  <c r="P33"/>
  <c r="L37"/>
  <c r="R39"/>
  <c r="O27"/>
  <c r="Q31"/>
  <c r="P41"/>
  <c r="P25"/>
  <c r="L29"/>
  <c r="R31"/>
  <c r="O35"/>
  <c r="N32"/>
  <c r="N28"/>
  <c r="E145" i="36"/>
  <c r="M41" i="32"/>
  <c r="M37"/>
  <c r="M33"/>
  <c r="M29"/>
  <c r="M25"/>
  <c r="Q40"/>
  <c r="Q36"/>
  <c r="Q32"/>
  <c r="Q28"/>
  <c r="Q24"/>
  <c r="P42"/>
  <c r="P38"/>
  <c r="P34"/>
  <c r="P30"/>
  <c r="P26"/>
  <c r="L42"/>
  <c r="L38"/>
  <c r="L34"/>
  <c r="L30"/>
  <c r="L26"/>
  <c r="N41"/>
  <c r="N37"/>
  <c r="N33"/>
  <c r="N29"/>
  <c r="N25"/>
  <c r="R40"/>
  <c r="R36"/>
  <c r="R32"/>
  <c r="R28"/>
  <c r="R24"/>
  <c r="O40"/>
  <c r="O36"/>
  <c r="O32"/>
  <c r="O28"/>
  <c r="O24"/>
  <c r="N40"/>
  <c r="M42"/>
  <c r="M38"/>
  <c r="M34"/>
  <c r="M30"/>
  <c r="M26"/>
  <c r="Q41"/>
  <c r="Q37"/>
  <c r="Q33"/>
  <c r="Q29"/>
  <c r="Q25"/>
  <c r="P39"/>
  <c r="P35"/>
  <c r="P31"/>
  <c r="P27"/>
  <c r="L39"/>
  <c r="L35"/>
  <c r="L31"/>
  <c r="L27"/>
  <c r="N42"/>
  <c r="N38"/>
  <c r="N34"/>
  <c r="N30"/>
  <c r="N26"/>
  <c r="R41"/>
  <c r="R37"/>
  <c r="R33"/>
  <c r="R29"/>
  <c r="R25"/>
  <c r="O41"/>
  <c r="O37"/>
  <c r="O33"/>
  <c r="O29"/>
  <c r="O25"/>
  <c r="M36"/>
  <c r="M28"/>
  <c r="N36"/>
  <c r="N24"/>
  <c r="M39"/>
  <c r="M35"/>
  <c r="M31"/>
  <c r="M27"/>
  <c r="Q42"/>
  <c r="Q38"/>
  <c r="Q34"/>
  <c r="Q30"/>
  <c r="Q26"/>
  <c r="P40"/>
  <c r="P36"/>
  <c r="P32"/>
  <c r="P28"/>
  <c r="P24"/>
  <c r="L40"/>
  <c r="L36"/>
  <c r="L32"/>
  <c r="L28"/>
  <c r="L24"/>
  <c r="N39"/>
  <c r="N35"/>
  <c r="N31"/>
  <c r="N27"/>
  <c r="R42"/>
  <c r="R38"/>
  <c r="R34"/>
  <c r="R30"/>
  <c r="R26"/>
  <c r="O42"/>
  <c r="O38"/>
  <c r="O34"/>
  <c r="O30"/>
  <c r="O26"/>
  <c r="M40"/>
  <c r="M32"/>
  <c r="M24"/>
  <c r="E49" i="28"/>
  <c r="C41" i="24" s="1"/>
  <c r="D31" i="35"/>
  <c r="F31" s="1"/>
  <c r="B13" i="37"/>
  <c r="B14"/>
  <c r="B15"/>
  <c r="D32" i="35"/>
  <c r="F32" s="1"/>
  <c r="B14" i="38"/>
  <c r="B15"/>
  <c r="B16"/>
  <c r="J39" i="32"/>
  <c r="J35"/>
  <c r="J31"/>
  <c r="J27"/>
  <c r="K40"/>
  <c r="K36"/>
  <c r="K32"/>
  <c r="K28"/>
  <c r="K24"/>
  <c r="J40"/>
  <c r="J36"/>
  <c r="J32"/>
  <c r="J28"/>
  <c r="J24"/>
  <c r="K41"/>
  <c r="K37"/>
  <c r="K33"/>
  <c r="K29"/>
  <c r="K25"/>
  <c r="J41"/>
  <c r="J37"/>
  <c r="J33"/>
  <c r="J29"/>
  <c r="J25"/>
  <c r="K42"/>
  <c r="K38"/>
  <c r="K34"/>
  <c r="K30"/>
  <c r="K26"/>
  <c r="J42"/>
  <c r="J38"/>
  <c r="J34"/>
  <c r="J30"/>
  <c r="J26"/>
  <c r="K39"/>
  <c r="K35"/>
  <c r="K31"/>
  <c r="K27"/>
  <c r="D33" i="35"/>
  <c r="F33" s="1"/>
  <c r="D34"/>
  <c r="F34" s="1"/>
  <c r="D35"/>
  <c r="F35" s="1"/>
  <c r="G40" i="32"/>
  <c r="G36"/>
  <c r="G32"/>
  <c r="G28"/>
  <c r="G24"/>
  <c r="D31" i="36"/>
  <c r="F31" s="1"/>
  <c r="D32"/>
  <c r="F32" s="1"/>
  <c r="D33"/>
  <c r="F33" s="1"/>
  <c r="D34"/>
  <c r="F34" s="1"/>
  <c r="D35"/>
  <c r="F35" s="1"/>
  <c r="H93" i="35"/>
  <c r="G91"/>
  <c r="E93"/>
  <c r="E91" i="36"/>
  <c r="G93"/>
  <c r="H92" i="35"/>
  <c r="H92" i="36"/>
  <c r="G91"/>
  <c r="H41" i="32"/>
  <c r="H37"/>
  <c r="H33"/>
  <c r="H29"/>
  <c r="H25"/>
  <c r="I41"/>
  <c r="I37"/>
  <c r="I33"/>
  <c r="I29"/>
  <c r="I25"/>
  <c r="H42"/>
  <c r="H38"/>
  <c r="H34"/>
  <c r="H30"/>
  <c r="H26"/>
  <c r="I42"/>
  <c r="I38"/>
  <c r="I34"/>
  <c r="I30"/>
  <c r="I26"/>
  <c r="H39"/>
  <c r="H35"/>
  <c r="H31"/>
  <c r="H27"/>
  <c r="I39"/>
  <c r="I35"/>
  <c r="I31"/>
  <c r="I27"/>
  <c r="H40"/>
  <c r="H36"/>
  <c r="H32"/>
  <c r="H28"/>
  <c r="H24"/>
  <c r="G106" i="36"/>
  <c r="C114" s="1"/>
  <c r="G54"/>
  <c r="H93"/>
  <c r="G94"/>
  <c r="F100"/>
  <c r="G147"/>
  <c r="D20"/>
  <c r="F20" s="1"/>
  <c r="D21"/>
  <c r="F21" s="1"/>
  <c r="D22"/>
  <c r="F22" s="1"/>
  <c r="D23"/>
  <c r="F23" s="1"/>
  <c r="D24"/>
  <c r="F24" s="1"/>
  <c r="E94"/>
  <c r="G154"/>
  <c r="G47"/>
  <c r="G100" i="35"/>
  <c r="D113" s="1"/>
  <c r="K66"/>
  <c r="G147"/>
  <c r="G54"/>
  <c r="D20"/>
  <c r="D21"/>
  <c r="D22"/>
  <c r="D23"/>
  <c r="D24"/>
  <c r="E94"/>
  <c r="H94" s="1"/>
  <c r="G106"/>
  <c r="C114" s="1"/>
  <c r="G154"/>
  <c r="G47"/>
  <c r="O35" i="22"/>
  <c r="O86" s="1"/>
  <c r="O34"/>
  <c r="O85" s="1"/>
  <c r="O33"/>
  <c r="O84" s="1"/>
  <c r="O32"/>
  <c r="O83" s="1"/>
  <c r="O31"/>
  <c r="O82" s="1"/>
  <c r="O24"/>
  <c r="O75" s="1"/>
  <c r="O23"/>
  <c r="O74" s="1"/>
  <c r="O22"/>
  <c r="O73" s="1"/>
  <c r="O21"/>
  <c r="O72" s="1"/>
  <c r="O20"/>
  <c r="O71" s="1"/>
  <c r="J35"/>
  <c r="J86" s="1"/>
  <c r="J34"/>
  <c r="J85" s="1"/>
  <c r="J33"/>
  <c r="J84" s="1"/>
  <c r="J32"/>
  <c r="J83" s="1"/>
  <c r="J31"/>
  <c r="J82" s="1"/>
  <c r="J24"/>
  <c r="J75" s="1"/>
  <c r="J23"/>
  <c r="J74" s="1"/>
  <c r="J22"/>
  <c r="J73" s="1"/>
  <c r="J21"/>
  <c r="J72" s="1"/>
  <c r="J20"/>
  <c r="J71" s="1"/>
  <c r="V23" i="32" l="1"/>
  <c r="H91" i="36"/>
  <c r="G100"/>
  <c r="D113" s="1"/>
  <c r="AC7" i="32"/>
  <c r="H94" i="36"/>
  <c r="H91" i="35"/>
  <c r="F22"/>
  <c r="F21"/>
  <c r="F23"/>
  <c r="F24"/>
  <c r="F20"/>
  <c r="E35" i="22"/>
  <c r="E34"/>
  <c r="E33"/>
  <c r="E32"/>
  <c r="E31"/>
  <c r="C35"/>
  <c r="C34"/>
  <c r="C33"/>
  <c r="C32"/>
  <c r="C31"/>
  <c r="E30"/>
  <c r="E19"/>
  <c r="E24"/>
  <c r="E23"/>
  <c r="E22"/>
  <c r="E21"/>
  <c r="E20"/>
  <c r="C24"/>
  <c r="C23"/>
  <c r="C22"/>
  <c r="C21"/>
  <c r="C20"/>
  <c r="P11" i="11" l="1"/>
  <c r="P10"/>
  <c r="L10"/>
  <c r="H11"/>
  <c r="H10"/>
  <c r="D11"/>
  <c r="L11"/>
  <c r="D10"/>
  <c r="I259"/>
  <c r="I258"/>
  <c r="I257"/>
  <c r="I256"/>
  <c r="I255"/>
  <c r="I254"/>
  <c r="I253"/>
  <c r="I252"/>
  <c r="I218"/>
  <c r="I217"/>
  <c r="I216"/>
  <c r="I215"/>
  <c r="I214"/>
  <c r="I213"/>
  <c r="I212"/>
  <c r="I211"/>
  <c r="I177"/>
  <c r="I176"/>
  <c r="I175"/>
  <c r="I174"/>
  <c r="I173"/>
  <c r="I172"/>
  <c r="I171"/>
  <c r="I170"/>
  <c r="I136"/>
  <c r="I135"/>
  <c r="I134"/>
  <c r="I133"/>
  <c r="I132"/>
  <c r="I131"/>
  <c r="I130"/>
  <c r="I129"/>
  <c r="I247"/>
  <c r="I246"/>
  <c r="I245"/>
  <c r="I244"/>
  <c r="I243"/>
  <c r="I242"/>
  <c r="I241"/>
  <c r="I206"/>
  <c r="I205"/>
  <c r="I204"/>
  <c r="I203"/>
  <c r="I202"/>
  <c r="I201"/>
  <c r="I200"/>
  <c r="I165"/>
  <c r="I164"/>
  <c r="I163"/>
  <c r="I162"/>
  <c r="I161"/>
  <c r="I160"/>
  <c r="I159"/>
  <c r="I124"/>
  <c r="I123"/>
  <c r="I122"/>
  <c r="I121"/>
  <c r="I120"/>
  <c r="I119"/>
  <c r="I118"/>
  <c r="I95"/>
  <c r="I94"/>
  <c r="I93"/>
  <c r="I92"/>
  <c r="I91"/>
  <c r="I90"/>
  <c r="I89"/>
  <c r="I88"/>
  <c r="I83"/>
  <c r="I82"/>
  <c r="I81"/>
  <c r="I80"/>
  <c r="I79"/>
  <c r="I78"/>
  <c r="I77"/>
  <c r="E153" i="22"/>
  <c r="G263" i="11"/>
  <c r="F263"/>
  <c r="E263"/>
  <c r="D263"/>
  <c r="E146" i="22"/>
  <c r="G261" i="11"/>
  <c r="G262" s="1"/>
  <c r="F261"/>
  <c r="F262" s="1"/>
  <c r="E261"/>
  <c r="E262" s="1"/>
  <c r="D261"/>
  <c r="D262" s="1"/>
  <c r="N261"/>
  <c r="N262" s="1"/>
  <c r="M261"/>
  <c r="M262" s="1"/>
  <c r="L261"/>
  <c r="L262" s="1"/>
  <c r="K261"/>
  <c r="K262" s="1"/>
  <c r="G222"/>
  <c r="F222"/>
  <c r="E222"/>
  <c r="D222"/>
  <c r="E145" i="22"/>
  <c r="G220" i="11"/>
  <c r="G221" s="1"/>
  <c r="F220"/>
  <c r="F221" s="1"/>
  <c r="E220"/>
  <c r="E221" s="1"/>
  <c r="D220"/>
  <c r="D221" s="1"/>
  <c r="N220"/>
  <c r="N221" s="1"/>
  <c r="M220"/>
  <c r="M221" s="1"/>
  <c r="L220"/>
  <c r="L221" s="1"/>
  <c r="K220"/>
  <c r="K221" s="1"/>
  <c r="E151" i="22"/>
  <c r="G181" i="11"/>
  <c r="F181"/>
  <c r="E181"/>
  <c r="D181"/>
  <c r="E144" i="22"/>
  <c r="F179" i="11"/>
  <c r="F180" s="1"/>
  <c r="E179"/>
  <c r="E180" s="1"/>
  <c r="D179"/>
  <c r="D180" s="1"/>
  <c r="N179"/>
  <c r="N180" s="1"/>
  <c r="M179"/>
  <c r="M180" s="1"/>
  <c r="L179"/>
  <c r="L180" s="1"/>
  <c r="K179"/>
  <c r="K180" s="1"/>
  <c r="E150" i="22"/>
  <c r="G140" i="11"/>
  <c r="F140"/>
  <c r="E140"/>
  <c r="D140"/>
  <c r="E143" i="22"/>
  <c r="G138" i="11"/>
  <c r="G139" s="1"/>
  <c r="F138"/>
  <c r="F139" s="1"/>
  <c r="E138"/>
  <c r="E139" s="1"/>
  <c r="D138"/>
  <c r="D139" s="1"/>
  <c r="N138"/>
  <c r="N139" s="1"/>
  <c r="M138"/>
  <c r="M139" s="1"/>
  <c r="L138"/>
  <c r="L139" s="1"/>
  <c r="K138"/>
  <c r="K139" s="1"/>
  <c r="E99"/>
  <c r="G99"/>
  <c r="D99"/>
  <c r="D97"/>
  <c r="D98" s="1"/>
  <c r="E43" i="36" l="1"/>
  <c r="E50"/>
  <c r="E51"/>
  <c r="E44"/>
  <c r="E52"/>
  <c r="E45"/>
  <c r="E53"/>
  <c r="E46"/>
  <c r="E50" i="35"/>
  <c r="E43"/>
  <c r="E44"/>
  <c r="E51"/>
  <c r="E52"/>
  <c r="E45"/>
  <c r="E53"/>
  <c r="E46"/>
  <c r="D42"/>
  <c r="D42" i="22"/>
  <c r="D42" i="36"/>
  <c r="D49"/>
  <c r="D49" i="35"/>
  <c r="D49" i="22"/>
  <c r="E43"/>
  <c r="E50"/>
  <c r="E51"/>
  <c r="E44"/>
  <c r="E45"/>
  <c r="E52"/>
  <c r="E53"/>
  <c r="E46"/>
  <c r="D43" i="36"/>
  <c r="D43" i="22"/>
  <c r="D43" i="35"/>
  <c r="D50" i="36"/>
  <c r="D50" i="35"/>
  <c r="D50" i="22"/>
  <c r="F50" s="1"/>
  <c r="D51" i="36"/>
  <c r="D51" i="35"/>
  <c r="D51" i="22"/>
  <c r="D44" i="36"/>
  <c r="D44" i="35"/>
  <c r="D44" i="22"/>
  <c r="D45"/>
  <c r="D52" i="36"/>
  <c r="D52" i="35"/>
  <c r="D52" i="22"/>
  <c r="D45" i="35"/>
  <c r="D45" i="36"/>
  <c r="D46"/>
  <c r="D46" i="35"/>
  <c r="D46" i="22"/>
  <c r="D53" i="36"/>
  <c r="D53" i="35"/>
  <c r="D53" i="22"/>
  <c r="D150" i="35"/>
  <c r="F150" s="1"/>
  <c r="D150" i="36"/>
  <c r="F150" s="1"/>
  <c r="D150" i="22"/>
  <c r="F150" s="1"/>
  <c r="D151"/>
  <c r="F151" s="1"/>
  <c r="D151" i="35"/>
  <c r="F151" s="1"/>
  <c r="D151" i="36"/>
  <c r="F151" s="1"/>
  <c r="D153"/>
  <c r="F153" s="1"/>
  <c r="D153" i="22"/>
  <c r="F153" s="1"/>
  <c r="D153" i="35"/>
  <c r="F153" s="1"/>
  <c r="D143"/>
  <c r="F143" s="1"/>
  <c r="D143" i="22"/>
  <c r="F143" s="1"/>
  <c r="D143" i="36"/>
  <c r="F143" s="1"/>
  <c r="D144"/>
  <c r="F144" s="1"/>
  <c r="D144" i="35"/>
  <c r="F144" s="1"/>
  <c r="D144" i="22"/>
  <c r="F144" s="1"/>
  <c r="D145" i="35"/>
  <c r="F145" s="1"/>
  <c r="D145" i="22"/>
  <c r="F145" s="1"/>
  <c r="D145" i="36"/>
  <c r="F145" s="1"/>
  <c r="D152" i="22"/>
  <c r="D152" i="35"/>
  <c r="F152" s="1"/>
  <c r="D152" i="36"/>
  <c r="F152" s="1"/>
  <c r="D146" i="35"/>
  <c r="F146" s="1"/>
  <c r="D146" i="22"/>
  <c r="F146" s="1"/>
  <c r="D146" i="36"/>
  <c r="F146" s="1"/>
  <c r="E42"/>
  <c r="E49"/>
  <c r="F49" s="1"/>
  <c r="E49" i="35"/>
  <c r="F49" s="1"/>
  <c r="E42"/>
  <c r="E49" i="22"/>
  <c r="E42"/>
  <c r="E152"/>
  <c r="G47"/>
  <c r="D12" i="28"/>
  <c r="F42" i="36" l="1"/>
  <c r="F42" i="35"/>
  <c r="F46"/>
  <c r="F53"/>
  <c r="F44"/>
  <c r="F53" i="36"/>
  <c r="F51"/>
  <c r="F51" i="35"/>
  <c r="F46" i="36"/>
  <c r="F44"/>
  <c r="F52" i="35"/>
  <c r="F50"/>
  <c r="F52" i="36"/>
  <c r="F43"/>
  <c r="F45" i="35"/>
  <c r="F43"/>
  <c r="F45" i="36"/>
  <c r="F50"/>
  <c r="F42" i="22"/>
  <c r="F52"/>
  <c r="F43"/>
  <c r="F46"/>
  <c r="F49"/>
  <c r="F53"/>
  <c r="F51"/>
  <c r="F44"/>
  <c r="F45"/>
  <c r="F152"/>
  <c r="F78" i="13"/>
  <c r="H78" s="1"/>
  <c r="F79"/>
  <c r="H79" s="1"/>
  <c r="F80"/>
  <c r="H80" s="1"/>
  <c r="F81"/>
  <c r="H81" s="1"/>
  <c r="F82"/>
  <c r="H82" s="1"/>
  <c r="F83"/>
  <c r="H83" s="1"/>
  <c r="F84"/>
  <c r="H84" s="1"/>
  <c r="F85"/>
  <c r="H85" s="1"/>
  <c r="F86"/>
  <c r="H86" s="1"/>
  <c r="F87"/>
  <c r="H87" s="1"/>
  <c r="F88"/>
  <c r="H88" s="1"/>
  <c r="F89"/>
  <c r="H89" s="1"/>
  <c r="F61"/>
  <c r="H61" s="1"/>
  <c r="F62"/>
  <c r="H62" s="1"/>
  <c r="F63"/>
  <c r="H63" s="1"/>
  <c r="F64"/>
  <c r="H64" s="1"/>
  <c r="F65"/>
  <c r="H65" s="1"/>
  <c r="F42"/>
  <c r="H42" s="1"/>
  <c r="F43"/>
  <c r="H43" s="1"/>
  <c r="F44"/>
  <c r="H44" s="1"/>
  <c r="F45"/>
  <c r="H45" s="1"/>
  <c r="F28"/>
  <c r="H28" s="1"/>
  <c r="F29"/>
  <c r="H29" s="1"/>
  <c r="F30"/>
  <c r="H30" s="1"/>
  <c r="F77"/>
  <c r="H77" s="1"/>
  <c r="F76"/>
  <c r="H76" s="1"/>
  <c r="F74"/>
  <c r="H74" s="1"/>
  <c r="F73"/>
  <c r="H73" s="1"/>
  <c r="F72"/>
  <c r="H72" s="1"/>
  <c r="F71"/>
  <c r="H71" s="1"/>
  <c r="F70"/>
  <c r="H70" s="1"/>
  <c r="F69"/>
  <c r="H69" s="1"/>
  <c r="F68"/>
  <c r="H68" s="1"/>
  <c r="F67"/>
  <c r="H67" s="1"/>
  <c r="F66"/>
  <c r="H66" s="1"/>
  <c r="F59"/>
  <c r="H59" s="1"/>
  <c r="F24"/>
  <c r="H24" s="1"/>
  <c r="F47"/>
  <c r="H47" s="1"/>
  <c r="F48"/>
  <c r="H48" s="1"/>
  <c r="F49"/>
  <c r="H49" s="1"/>
  <c r="F50"/>
  <c r="H50" s="1"/>
  <c r="F51"/>
  <c r="H51" s="1"/>
  <c r="F52"/>
  <c r="H52" s="1"/>
  <c r="F53"/>
  <c r="H53" s="1"/>
  <c r="F54"/>
  <c r="H54" s="1"/>
  <c r="F46"/>
  <c r="H46" s="1"/>
  <c r="F41"/>
  <c r="H41" s="1"/>
  <c r="F33"/>
  <c r="H33" s="1"/>
  <c r="F38"/>
  <c r="H38" s="1"/>
  <c r="F39"/>
  <c r="H39" s="1"/>
  <c r="E19"/>
  <c r="G19" s="1"/>
  <c r="E18"/>
  <c r="G18" s="1"/>
  <c r="E13"/>
  <c r="G13" s="1"/>
  <c r="E14"/>
  <c r="G14" s="1"/>
  <c r="E15"/>
  <c r="G15" s="1"/>
  <c r="E16"/>
  <c r="G16" s="1"/>
  <c r="E17"/>
  <c r="G17" s="1"/>
  <c r="F37"/>
  <c r="H37" s="1"/>
  <c r="F36"/>
  <c r="H36" s="1"/>
  <c r="F35"/>
  <c r="H35" s="1"/>
  <c r="F34"/>
  <c r="H34" s="1"/>
  <c r="F32"/>
  <c r="H32" s="1"/>
  <c r="F26"/>
  <c r="H26" s="1"/>
  <c r="F31"/>
  <c r="H31" s="1"/>
  <c r="E12"/>
  <c r="G12" s="1"/>
  <c r="E9"/>
  <c r="G9" s="1"/>
  <c r="E10"/>
  <c r="G10" s="1"/>
  <c r="E11"/>
  <c r="G11" s="1"/>
  <c r="G154" i="22"/>
  <c r="E106"/>
  <c r="C106"/>
  <c r="C100"/>
  <c r="D100" s="1"/>
  <c r="Z7" i="32" s="1"/>
  <c r="E100" i="22"/>
  <c r="F92"/>
  <c r="F93"/>
  <c r="F94"/>
  <c r="E81"/>
  <c r="E70"/>
  <c r="F106" l="1"/>
  <c r="W8" i="32" s="1"/>
  <c r="D106" i="22"/>
  <c r="V8" i="32" s="1"/>
  <c r="F100" i="22"/>
  <c r="G94"/>
  <c r="H93"/>
  <c r="G93"/>
  <c r="G91"/>
  <c r="G92"/>
  <c r="E93"/>
  <c r="E92"/>
  <c r="E94"/>
  <c r="E91"/>
  <c r="I73" i="13"/>
  <c r="I69"/>
  <c r="J69" s="1"/>
  <c r="I67"/>
  <c r="J67" s="1"/>
  <c r="I44"/>
  <c r="I70"/>
  <c r="J70" s="1"/>
  <c r="I74"/>
  <c r="J74" s="1"/>
  <c r="I31"/>
  <c r="I72"/>
  <c r="J72" s="1"/>
  <c r="I68"/>
  <c r="J68" s="1"/>
  <c r="I52"/>
  <c r="J52" s="1"/>
  <c r="I29"/>
  <c r="J29" s="1"/>
  <c r="I46"/>
  <c r="I51"/>
  <c r="I48"/>
  <c r="J48" s="1"/>
  <c r="I66"/>
  <c r="I45"/>
  <c r="J45" s="1"/>
  <c r="I71"/>
  <c r="J71" s="1"/>
  <c r="I64"/>
  <c r="J64" s="1"/>
  <c r="I65"/>
  <c r="J65" s="1"/>
  <c r="I47"/>
  <c r="J47" s="1"/>
  <c r="I53"/>
  <c r="J53" s="1"/>
  <c r="I30"/>
  <c r="J30" s="1"/>
  <c r="I49"/>
  <c r="J49" s="1"/>
  <c r="I54"/>
  <c r="J54" s="1"/>
  <c r="I50"/>
  <c r="J50" s="1"/>
  <c r="I89"/>
  <c r="J89" s="1"/>
  <c r="I87"/>
  <c r="J87" s="1"/>
  <c r="I85"/>
  <c r="J85" s="1"/>
  <c r="I82"/>
  <c r="J82" s="1"/>
  <c r="I79"/>
  <c r="J79" s="1"/>
  <c r="I83"/>
  <c r="J83" s="1"/>
  <c r="I88"/>
  <c r="J88" s="1"/>
  <c r="I86"/>
  <c r="J86" s="1"/>
  <c r="I84"/>
  <c r="J84" s="1"/>
  <c r="I81"/>
  <c r="J81" s="1"/>
  <c r="I80"/>
  <c r="J80" s="1"/>
  <c r="J44"/>
  <c r="J73"/>
  <c r="I36"/>
  <c r="J36" s="1"/>
  <c r="I35"/>
  <c r="J35" s="1"/>
  <c r="I39"/>
  <c r="J39" s="1"/>
  <c r="I34"/>
  <c r="J34" s="1"/>
  <c r="I38"/>
  <c r="J38" s="1"/>
  <c r="J51"/>
  <c r="I33"/>
  <c r="J33" s="1"/>
  <c r="I37"/>
  <c r="J37" s="1"/>
  <c r="I32"/>
  <c r="J32" s="1"/>
  <c r="G147" i="22"/>
  <c r="F27" i="13"/>
  <c r="H27" s="1"/>
  <c r="E8"/>
  <c r="G8" s="1"/>
  <c r="I63" s="1"/>
  <c r="J63" s="1"/>
  <c r="E6"/>
  <c r="G6" s="1"/>
  <c r="I61" s="1"/>
  <c r="J61" s="1"/>
  <c r="E7"/>
  <c r="G7" s="1"/>
  <c r="G100" i="22" l="1"/>
  <c r="D113" s="1"/>
  <c r="AA7" i="32"/>
  <c r="D16" s="1"/>
  <c r="H92" i="22"/>
  <c r="H94"/>
  <c r="H91"/>
  <c r="G106"/>
  <c r="C114" s="1"/>
  <c r="J46" i="13"/>
  <c r="I43"/>
  <c r="J43" s="1"/>
  <c r="I78"/>
  <c r="J78" s="1"/>
  <c r="I27"/>
  <c r="I62"/>
  <c r="J62" s="1"/>
  <c r="I42"/>
  <c r="J42" s="1"/>
  <c r="I28"/>
  <c r="J28" s="1"/>
  <c r="I26"/>
  <c r="J26" s="1"/>
  <c r="I41"/>
  <c r="J41" s="1"/>
  <c r="I76"/>
  <c r="J76" s="1"/>
  <c r="I77"/>
  <c r="J77" s="1"/>
  <c r="J31"/>
  <c r="J66"/>
  <c r="J27" l="1"/>
  <c r="G97" i="11" l="1"/>
  <c r="G98" s="1"/>
  <c r="F97"/>
  <c r="F98" s="1"/>
  <c r="E97"/>
  <c r="E98" s="1"/>
  <c r="K26" i="22"/>
  <c r="K77" s="1"/>
  <c r="K126" s="1"/>
  <c r="K167" s="1"/>
  <c r="H26"/>
  <c r="K15"/>
  <c r="K66" s="1"/>
  <c r="H15"/>
  <c r="H77" l="1"/>
  <c r="H126" s="1"/>
  <c r="H167" s="1"/>
  <c r="D32"/>
  <c r="D31"/>
  <c r="D34"/>
  <c r="D33"/>
  <c r="D35"/>
  <c r="H66"/>
  <c r="G54"/>
  <c r="M10" i="29"/>
  <c r="M11"/>
  <c r="M12"/>
  <c r="M9"/>
  <c r="O3" i="28"/>
  <c r="C75" l="1"/>
  <c r="I42" i="36"/>
  <c r="F33" i="22"/>
  <c r="F10" i="7" s="1"/>
  <c r="D8"/>
  <c r="AO34" i="38"/>
  <c r="AO36" i="37"/>
  <c r="AO32"/>
  <c r="AO34" i="17"/>
  <c r="AO35" i="38"/>
  <c r="AO33" i="37"/>
  <c r="AO33" i="17"/>
  <c r="AO36" i="38"/>
  <c r="AO32"/>
  <c r="AO34" i="37"/>
  <c r="AO32" i="17"/>
  <c r="AO36"/>
  <c r="AO33" i="38"/>
  <c r="AO35" i="37"/>
  <c r="AO35" i="17"/>
  <c r="AQ36" i="38"/>
  <c r="AQ32"/>
  <c r="AQ34" i="37"/>
  <c r="AQ34" i="17"/>
  <c r="AQ33" i="38"/>
  <c r="AQ35" i="37"/>
  <c r="AQ33" i="17"/>
  <c r="AQ34" i="38"/>
  <c r="AQ36" i="37"/>
  <c r="AQ32"/>
  <c r="AQ32" i="17"/>
  <c r="AQ36"/>
  <c r="AQ35" i="38"/>
  <c r="AQ33" i="37"/>
  <c r="AQ35" i="17"/>
  <c r="I144" i="36"/>
  <c r="L43"/>
  <c r="O150" i="35"/>
  <c r="L43"/>
  <c r="L51" i="36"/>
  <c r="O146" i="35"/>
  <c r="O153"/>
  <c r="O51"/>
  <c r="L44" i="36"/>
  <c r="I150"/>
  <c r="O52"/>
  <c r="L146"/>
  <c r="I53"/>
  <c r="L49"/>
  <c r="O43"/>
  <c r="O51"/>
  <c r="L42" i="35"/>
  <c r="L49"/>
  <c r="O151"/>
  <c r="L53"/>
  <c r="O144"/>
  <c r="L152"/>
  <c r="I45"/>
  <c r="I143"/>
  <c r="I150"/>
  <c r="I43"/>
  <c r="L145"/>
  <c r="I50" i="36"/>
  <c r="O145" i="35"/>
  <c r="O46" i="36"/>
  <c r="O44"/>
  <c r="L150"/>
  <c r="I151"/>
  <c r="I45"/>
  <c r="O146"/>
  <c r="L53"/>
  <c r="O49"/>
  <c r="I143"/>
  <c r="L42"/>
  <c r="L50"/>
  <c r="O145"/>
  <c r="O153"/>
  <c r="I51"/>
  <c r="I153"/>
  <c r="I42" i="35"/>
  <c r="I49"/>
  <c r="O50"/>
  <c r="O53"/>
  <c r="L144"/>
  <c r="I152"/>
  <c r="O45"/>
  <c r="L46"/>
  <c r="I52"/>
  <c r="L52"/>
  <c r="L146"/>
  <c r="I153"/>
  <c r="O52"/>
  <c r="L51"/>
  <c r="I152" i="36"/>
  <c r="O144"/>
  <c r="O42"/>
  <c r="O150"/>
  <c r="L151"/>
  <c r="L45"/>
  <c r="I52"/>
  <c r="O53"/>
  <c r="L143"/>
  <c r="L46"/>
  <c r="L144"/>
  <c r="L152"/>
  <c r="I43"/>
  <c r="O49" i="35"/>
  <c r="L50"/>
  <c r="L151"/>
  <c r="I144"/>
  <c r="L45"/>
  <c r="O46"/>
  <c r="L143"/>
  <c r="I146"/>
  <c r="I44"/>
  <c r="I51"/>
  <c r="L150"/>
  <c r="O44"/>
  <c r="O152" i="36"/>
  <c r="L153" i="35"/>
  <c r="L145" i="36"/>
  <c r="O50"/>
  <c r="O43" i="35"/>
  <c r="I44" i="36"/>
  <c r="O151"/>
  <c r="O45"/>
  <c r="L52"/>
  <c r="I146"/>
  <c r="I49"/>
  <c r="O143"/>
  <c r="I145"/>
  <c r="O42" i="35"/>
  <c r="I50"/>
  <c r="I151"/>
  <c r="I53"/>
  <c r="O152"/>
  <c r="I46"/>
  <c r="O143"/>
  <c r="L44"/>
  <c r="I145"/>
  <c r="I46" i="36"/>
  <c r="L153"/>
  <c r="E15" i="34"/>
  <c r="G9"/>
  <c r="I53" i="22"/>
  <c r="F15" i="34"/>
  <c r="H9"/>
  <c r="I51" i="22"/>
  <c r="L44"/>
  <c r="G15" i="34"/>
  <c r="I9"/>
  <c r="E9"/>
  <c r="I44" i="22"/>
  <c r="O44"/>
  <c r="H15" i="34"/>
  <c r="I15"/>
  <c r="F9"/>
  <c r="O43" i="22"/>
  <c r="I153"/>
  <c r="O45"/>
  <c r="L46"/>
  <c r="I42"/>
  <c r="I43"/>
  <c r="I150"/>
  <c r="I152"/>
  <c r="I45"/>
  <c r="O46"/>
  <c r="O42"/>
  <c r="O144"/>
  <c r="I52"/>
  <c r="O145"/>
  <c r="I46"/>
  <c r="L146"/>
  <c r="L144"/>
  <c r="I151"/>
  <c r="L145"/>
  <c r="L45"/>
  <c r="O146"/>
  <c r="L42"/>
  <c r="L43"/>
  <c r="O143"/>
  <c r="L143"/>
  <c r="I50"/>
  <c r="I49"/>
  <c r="O49"/>
  <c r="L49"/>
  <c r="C5" i="5"/>
  <c r="O153" i="22"/>
  <c r="L150"/>
  <c r="I144"/>
  <c r="O51"/>
  <c r="L51"/>
  <c r="O152"/>
  <c r="L153"/>
  <c r="I143"/>
  <c r="O50"/>
  <c r="L50"/>
  <c r="L53"/>
  <c r="O151"/>
  <c r="O150"/>
  <c r="L151"/>
  <c r="I145"/>
  <c r="O52"/>
  <c r="L52"/>
  <c r="L152"/>
  <c r="I146"/>
  <c r="O53"/>
  <c r="I5" i="5"/>
  <c r="D10" i="7"/>
  <c r="D6"/>
  <c r="C8" i="39" s="1"/>
  <c r="D12" i="7"/>
  <c r="D14"/>
  <c r="F31" i="22"/>
  <c r="F6" i="7" s="1"/>
  <c r="F34" i="22"/>
  <c r="F12" i="7" s="1"/>
  <c r="F35" i="22"/>
  <c r="F14" i="7" s="1"/>
  <c r="F32" i="22"/>
  <c r="F8" i="7" s="1"/>
  <c r="L97" i="11"/>
  <c r="L98" s="1"/>
  <c r="M97"/>
  <c r="M98" s="1"/>
  <c r="N97"/>
  <c r="N98" s="1"/>
  <c r="K97"/>
  <c r="K98" s="1"/>
  <c r="AB31"/>
  <c r="AA31"/>
  <c r="Z31"/>
  <c r="Z34"/>
  <c r="Z35"/>
  <c r="Z36"/>
  <c r="Z33"/>
  <c r="C14" i="39" l="1"/>
  <c r="C26"/>
  <c r="O48" i="35"/>
  <c r="O55"/>
  <c r="E26" i="36"/>
  <c r="E77" s="1"/>
  <c r="E126" s="1"/>
  <c r="E167" s="1"/>
  <c r="E26" i="35"/>
  <c r="E77" s="1"/>
  <c r="E126" s="1"/>
  <c r="E167" s="1"/>
  <c r="O55" i="36"/>
  <c r="L55" i="35"/>
  <c r="I48" i="36"/>
  <c r="I48" i="35"/>
  <c r="I55" i="36"/>
  <c r="I55" i="35"/>
  <c r="O48" i="36"/>
  <c r="L55"/>
  <c r="E15" i="35"/>
  <c r="E66" s="1"/>
  <c r="E15" i="36"/>
  <c r="E66" s="1"/>
  <c r="L48"/>
  <c r="L48" i="35"/>
  <c r="E149" i="22"/>
  <c r="E142"/>
  <c r="D142" i="35"/>
  <c r="F142" s="1"/>
  <c r="D142" i="22"/>
  <c r="D142" i="36"/>
  <c r="F142" s="1"/>
  <c r="D149"/>
  <c r="F149" s="1"/>
  <c r="D149" i="22"/>
  <c r="D149" i="35"/>
  <c r="F149" s="1"/>
  <c r="O48" i="22"/>
  <c r="L48"/>
  <c r="I48"/>
  <c r="O55"/>
  <c r="L55"/>
  <c r="E15"/>
  <c r="E66" s="1"/>
  <c r="C19" i="33"/>
  <c r="C17"/>
  <c r="C18"/>
  <c r="C15"/>
  <c r="C25"/>
  <c r="C26"/>
  <c r="C28"/>
  <c r="C29"/>
  <c r="I55" i="22"/>
  <c r="I7" i="5"/>
  <c r="E26" i="22"/>
  <c r="E77" s="1"/>
  <c r="E126" s="1"/>
  <c r="E167" s="1"/>
  <c r="C42" i="24"/>
  <c r="D20" i="22"/>
  <c r="D21"/>
  <c r="D22"/>
  <c r="D23"/>
  <c r="D24"/>
  <c r="F12" i="14"/>
  <c r="F13"/>
  <c r="F14"/>
  <c r="F15"/>
  <c r="F16"/>
  <c r="F17"/>
  <c r="L149" i="35" l="1"/>
  <c r="L155" s="1"/>
  <c r="I149"/>
  <c r="I155" s="1"/>
  <c r="O149"/>
  <c r="O155" s="1"/>
  <c r="L142" i="36"/>
  <c r="L148" s="1"/>
  <c r="O142"/>
  <c r="O148" s="1"/>
  <c r="I142"/>
  <c r="I148" s="1"/>
  <c r="L149"/>
  <c r="L155" s="1"/>
  <c r="O149"/>
  <c r="O155" s="1"/>
  <c r="I149"/>
  <c r="I155" s="1"/>
  <c r="I142" i="35"/>
  <c r="I148" s="1"/>
  <c r="L142"/>
  <c r="L148" s="1"/>
  <c r="O142"/>
  <c r="O148" s="1"/>
  <c r="AP33" i="38"/>
  <c r="AP35" i="37"/>
  <c r="AP32" i="17"/>
  <c r="AP36"/>
  <c r="AP34" i="38"/>
  <c r="AP36" i="37"/>
  <c r="AP32"/>
  <c r="AP35" i="17"/>
  <c r="AP35" i="38"/>
  <c r="AP33" i="37"/>
  <c r="AP34" i="17"/>
  <c r="AP36" i="38"/>
  <c r="AP32"/>
  <c r="AP34" i="37"/>
  <c r="AP33" i="17"/>
  <c r="AR35" i="38"/>
  <c r="AR33" i="37"/>
  <c r="AR32" i="17"/>
  <c r="AR36"/>
  <c r="AR36" i="38"/>
  <c r="AR32"/>
  <c r="AR34" i="37"/>
  <c r="AR35" i="17"/>
  <c r="AR33" i="38"/>
  <c r="AR35" i="37"/>
  <c r="AR34" i="17"/>
  <c r="AR34" i="38"/>
  <c r="AR36" i="37"/>
  <c r="AR32"/>
  <c r="AR33" i="17"/>
  <c r="F18" i="14"/>
  <c r="F149" i="22"/>
  <c r="L149" s="1"/>
  <c r="L155" s="1"/>
  <c r="F142"/>
  <c r="L142" s="1"/>
  <c r="L148" s="1"/>
  <c r="F23"/>
  <c r="F24"/>
  <c r="F20"/>
  <c r="F21"/>
  <c r="F22"/>
  <c r="C7" i="5"/>
  <c r="E44" i="28"/>
  <c r="E34"/>
  <c r="E26"/>
  <c r="H55" i="36" l="1"/>
  <c r="H155"/>
  <c r="H55" i="35"/>
  <c r="H55" i="22"/>
  <c r="H155" i="35"/>
  <c r="H155" i="22"/>
  <c r="M28" i="28"/>
  <c r="M27"/>
  <c r="F19" i="14"/>
  <c r="D72" i="28"/>
  <c r="I149" i="22"/>
  <c r="I155" s="1"/>
  <c r="O149"/>
  <c r="O155" s="1"/>
  <c r="O142"/>
  <c r="O148" s="1"/>
  <c r="I142"/>
  <c r="I148" s="1"/>
  <c r="C79" i="28"/>
  <c r="B8" i="17"/>
  <c r="B9"/>
  <c r="B10"/>
  <c r="B11"/>
  <c r="B12"/>
  <c r="B13"/>
  <c r="B14"/>
  <c r="B15" l="1"/>
  <c r="F20" i="14"/>
  <c r="C72" i="28"/>
  <c r="C78"/>
  <c r="C10" i="35" s="1"/>
  <c r="D10" s="1"/>
  <c r="C9" i="22"/>
  <c r="D9" s="1"/>
  <c r="C9" i="36"/>
  <c r="D9" s="1"/>
  <c r="C9" i="35"/>
  <c r="D9" s="1"/>
  <c r="F9" i="22"/>
  <c r="F9" i="36"/>
  <c r="G9" s="1"/>
  <c r="F9" i="35"/>
  <c r="G9" s="1"/>
  <c r="C7" i="36"/>
  <c r="D7" s="1"/>
  <c r="C7" i="35"/>
  <c r="D7" s="1"/>
  <c r="C7" i="22"/>
  <c r="D7" s="1"/>
  <c r="C11" i="36"/>
  <c r="D11" s="1"/>
  <c r="C11" i="35"/>
  <c r="D11" s="1"/>
  <c r="C11" i="22"/>
  <c r="D11" s="1"/>
  <c r="C76" i="28"/>
  <c r="C80"/>
  <c r="D79"/>
  <c r="D80"/>
  <c r="D75"/>
  <c r="D76"/>
  <c r="D78"/>
  <c r="E21" i="14"/>
  <c r="G21" l="1"/>
  <c r="H21"/>
  <c r="F21"/>
  <c r="G9" i="22"/>
  <c r="H9"/>
  <c r="E9"/>
  <c r="H19" s="1"/>
  <c r="E7"/>
  <c r="K55" s="1"/>
  <c r="K48"/>
  <c r="E11"/>
  <c r="B16" i="17"/>
  <c r="B17" i="38"/>
  <c r="B17" i="37"/>
  <c r="B17" i="17"/>
  <c r="V27" i="32"/>
  <c r="V31"/>
  <c r="V35"/>
  <c r="V39"/>
  <c r="V26"/>
  <c r="V30"/>
  <c r="V34"/>
  <c r="V38"/>
  <c r="V42"/>
  <c r="V25"/>
  <c r="V29"/>
  <c r="V33"/>
  <c r="V37"/>
  <c r="V41"/>
  <c r="V24"/>
  <c r="V28"/>
  <c r="V32"/>
  <c r="V36"/>
  <c r="V40"/>
  <c r="H49" i="36"/>
  <c r="J49" s="1"/>
  <c r="D19" i="33"/>
  <c r="C10" i="22"/>
  <c r="D10" s="1"/>
  <c r="C10" i="36"/>
  <c r="D10" s="1"/>
  <c r="H9"/>
  <c r="H9" i="35"/>
  <c r="E9" i="36"/>
  <c r="E9" i="35"/>
  <c r="D15" i="33"/>
  <c r="F12" i="36"/>
  <c r="G12" s="1"/>
  <c r="F12" i="35"/>
  <c r="G12" s="1"/>
  <c r="F12" i="22"/>
  <c r="E11" i="35"/>
  <c r="E7" i="36"/>
  <c r="K55" s="1"/>
  <c r="F7" i="22"/>
  <c r="G7" s="1"/>
  <c r="F7" i="35"/>
  <c r="G7" s="1"/>
  <c r="F7" i="36"/>
  <c r="G7" s="1"/>
  <c r="C8" i="22"/>
  <c r="D8" s="1"/>
  <c r="C8" i="36"/>
  <c r="D8" s="1"/>
  <c r="C8" i="35"/>
  <c r="D8" s="1"/>
  <c r="E7"/>
  <c r="K55" s="1"/>
  <c r="F8" i="36"/>
  <c r="G8" s="1"/>
  <c r="F8" i="35"/>
  <c r="G8" s="1"/>
  <c r="F8" i="22"/>
  <c r="C12"/>
  <c r="D12" s="1"/>
  <c r="C12" i="36"/>
  <c r="D12" s="1"/>
  <c r="C12" i="35"/>
  <c r="D12" s="1"/>
  <c r="F10" i="22"/>
  <c r="F10" i="36"/>
  <c r="G10" s="1"/>
  <c r="F10" i="35"/>
  <c r="G10" s="1"/>
  <c r="F11" i="22"/>
  <c r="F11" i="36"/>
  <c r="G11" s="1"/>
  <c r="F11" i="35"/>
  <c r="G11" s="1"/>
  <c r="E10"/>
  <c r="E11" i="36"/>
  <c r="C81" i="28"/>
  <c r="C7" i="29"/>
  <c r="D81" i="28"/>
  <c r="E22" i="14"/>
  <c r="C9" i="29" l="1"/>
  <c r="C12"/>
  <c r="C11"/>
  <c r="C10"/>
  <c r="AD17" i="38"/>
  <c r="AC17"/>
  <c r="N17"/>
  <c r="M17"/>
  <c r="H22" i="14"/>
  <c r="H17" i="33"/>
  <c r="N23" i="32"/>
  <c r="K23"/>
  <c r="O23"/>
  <c r="S23"/>
  <c r="L23"/>
  <c r="P23"/>
  <c r="J23"/>
  <c r="I19" i="22"/>
  <c r="I70"/>
  <c r="H23"/>
  <c r="I23" s="1"/>
  <c r="D110" i="11"/>
  <c r="D113" s="1"/>
  <c r="V17" i="38"/>
  <c r="AL17"/>
  <c r="T17"/>
  <c r="AJ17"/>
  <c r="U17"/>
  <c r="AK17"/>
  <c r="V17" i="17"/>
  <c r="AL17"/>
  <c r="AK17"/>
  <c r="U17"/>
  <c r="AJ17"/>
  <c r="T17"/>
  <c r="AL17" i="37"/>
  <c r="V17"/>
  <c r="AK17"/>
  <c r="U17"/>
  <c r="AJ17"/>
  <c r="T17"/>
  <c r="D233" i="11"/>
  <c r="D236" s="1"/>
  <c r="H30" i="22"/>
  <c r="C94" i="36"/>
  <c r="D151" i="11"/>
  <c r="D154" s="1"/>
  <c r="D69"/>
  <c r="D72" s="1"/>
  <c r="D192"/>
  <c r="D195" s="1"/>
  <c r="G12" i="22"/>
  <c r="H12"/>
  <c r="N48"/>
  <c r="N43" s="1"/>
  <c r="P43" s="1"/>
  <c r="H7"/>
  <c r="N55" s="1"/>
  <c r="N49" s="1"/>
  <c r="H11"/>
  <c r="G11"/>
  <c r="H10"/>
  <c r="G10"/>
  <c r="G8"/>
  <c r="H8"/>
  <c r="K45"/>
  <c r="M45" s="1"/>
  <c r="K43"/>
  <c r="M43" s="1"/>
  <c r="K44"/>
  <c r="M44" s="1"/>
  <c r="K46"/>
  <c r="M46" s="1"/>
  <c r="K42"/>
  <c r="M42" s="1"/>
  <c r="E12"/>
  <c r="D26" i="33"/>
  <c r="E8" i="22"/>
  <c r="E10"/>
  <c r="L56"/>
  <c r="E17" i="37"/>
  <c r="D17"/>
  <c r="F17" i="17"/>
  <c r="E17"/>
  <c r="D17"/>
  <c r="B18" i="38"/>
  <c r="G22" i="14"/>
  <c r="B18" i="37" s="1"/>
  <c r="E10" i="36"/>
  <c r="H33" s="1"/>
  <c r="F22" i="14"/>
  <c r="E23"/>
  <c r="H34" i="22"/>
  <c r="I34" s="1"/>
  <c r="K34" s="1"/>
  <c r="E233" i="11"/>
  <c r="E236" s="1"/>
  <c r="H31" i="22"/>
  <c r="I31" s="1"/>
  <c r="E110" i="11"/>
  <c r="E113" s="1"/>
  <c r="H50" i="36"/>
  <c r="J50" s="1"/>
  <c r="H53"/>
  <c r="J53" s="1"/>
  <c r="H52"/>
  <c r="J52" s="1"/>
  <c r="H51"/>
  <c r="J51" s="1"/>
  <c r="D18" i="33"/>
  <c r="H53" i="35"/>
  <c r="J53" s="1"/>
  <c r="H49"/>
  <c r="J49" s="1"/>
  <c r="H52"/>
  <c r="J52" s="1"/>
  <c r="H50"/>
  <c r="J50" s="1"/>
  <c r="H51"/>
  <c r="J51" s="1"/>
  <c r="H151"/>
  <c r="J151" s="1"/>
  <c r="H150"/>
  <c r="J150" s="1"/>
  <c r="H149"/>
  <c r="J149" s="1"/>
  <c r="H152"/>
  <c r="J152" s="1"/>
  <c r="H153"/>
  <c r="J153" s="1"/>
  <c r="H153" i="36"/>
  <c r="J153" s="1"/>
  <c r="H151"/>
  <c r="J151" s="1"/>
  <c r="H149"/>
  <c r="J149" s="1"/>
  <c r="H150"/>
  <c r="J150" s="1"/>
  <c r="H152"/>
  <c r="J152" s="1"/>
  <c r="I9" i="35"/>
  <c r="H30"/>
  <c r="I81" s="1"/>
  <c r="H19"/>
  <c r="I70" s="1"/>
  <c r="M30"/>
  <c r="N81" s="1"/>
  <c r="M19"/>
  <c r="N70" s="1"/>
  <c r="E151" i="11"/>
  <c r="E154" s="1"/>
  <c r="E69"/>
  <c r="E72" s="1"/>
  <c r="I19" i="33"/>
  <c r="H20" i="22"/>
  <c r="I20" s="1"/>
  <c r="H30" i="36"/>
  <c r="I81" s="1"/>
  <c r="H19"/>
  <c r="I70" s="1"/>
  <c r="I9"/>
  <c r="M19"/>
  <c r="N70" s="1"/>
  <c r="M30"/>
  <c r="N81" s="1"/>
  <c r="E192" i="11"/>
  <c r="E195" s="1"/>
  <c r="H23" i="35"/>
  <c r="I23" s="1"/>
  <c r="K23" s="1"/>
  <c r="H18" i="33"/>
  <c r="H34" i="35"/>
  <c r="I34" s="1"/>
  <c r="K34" s="1"/>
  <c r="I17" i="33"/>
  <c r="H19"/>
  <c r="I15"/>
  <c r="I18"/>
  <c r="H15"/>
  <c r="D17"/>
  <c r="H33" i="35"/>
  <c r="I33" s="1"/>
  <c r="K33" s="1"/>
  <c r="H22"/>
  <c r="I22" s="1"/>
  <c r="K22" s="1"/>
  <c r="H8" i="36"/>
  <c r="E8"/>
  <c r="H7" i="35"/>
  <c r="N55" s="1"/>
  <c r="H12" i="36"/>
  <c r="H11"/>
  <c r="E12"/>
  <c r="H8" i="35"/>
  <c r="E8"/>
  <c r="H7" i="36"/>
  <c r="N55" s="1"/>
  <c r="K48"/>
  <c r="L56" s="1"/>
  <c r="H31"/>
  <c r="H20"/>
  <c r="H12" i="35"/>
  <c r="H34" i="36"/>
  <c r="H23"/>
  <c r="H11" i="35"/>
  <c r="H10" i="36"/>
  <c r="E12" i="35"/>
  <c r="K48"/>
  <c r="L56" s="1"/>
  <c r="H20"/>
  <c r="H31"/>
  <c r="K50" i="36"/>
  <c r="M50" s="1"/>
  <c r="K49"/>
  <c r="M49" s="1"/>
  <c r="K53"/>
  <c r="M53" s="1"/>
  <c r="K52"/>
  <c r="M52" s="1"/>
  <c r="K51"/>
  <c r="M51" s="1"/>
  <c r="H10" i="35"/>
  <c r="K51"/>
  <c r="M51" s="1"/>
  <c r="K49"/>
  <c r="M49" s="1"/>
  <c r="K53"/>
  <c r="M53" s="1"/>
  <c r="K52"/>
  <c r="M52" s="1"/>
  <c r="K50"/>
  <c r="M50" s="1"/>
  <c r="D29" i="33"/>
  <c r="D25"/>
  <c r="D28"/>
  <c r="H52" i="22"/>
  <c r="J52" s="1"/>
  <c r="H50"/>
  <c r="J50" s="1"/>
  <c r="H53"/>
  <c r="J53" s="1"/>
  <c r="H51"/>
  <c r="J51" s="1"/>
  <c r="H49"/>
  <c r="J49" s="1"/>
  <c r="H153"/>
  <c r="J153" s="1"/>
  <c r="H149"/>
  <c r="J149" s="1"/>
  <c r="H152"/>
  <c r="J152" s="1"/>
  <c r="H151"/>
  <c r="J151" s="1"/>
  <c r="H150"/>
  <c r="J150" s="1"/>
  <c r="M19"/>
  <c r="N19" s="1"/>
  <c r="M30"/>
  <c r="N30" s="1"/>
  <c r="I9"/>
  <c r="C92" i="36" l="1"/>
  <c r="C92" i="22"/>
  <c r="C92" i="35"/>
  <c r="C93"/>
  <c r="C93" i="22"/>
  <c r="C93" i="36"/>
  <c r="AD18" i="38"/>
  <c r="AC18"/>
  <c r="N18"/>
  <c r="M18"/>
  <c r="H23" i="14"/>
  <c r="J55" i="36"/>
  <c r="D13" i="22"/>
  <c r="C30" s="1"/>
  <c r="D30" s="1"/>
  <c r="I30"/>
  <c r="I81"/>
  <c r="D13" i="35"/>
  <c r="C30" s="1"/>
  <c r="D30" s="1"/>
  <c r="I34" i="36"/>
  <c r="K34" s="1"/>
  <c r="I23"/>
  <c r="K23" s="1"/>
  <c r="I33"/>
  <c r="K33" s="1"/>
  <c r="I6" i="8"/>
  <c r="M35" i="22"/>
  <c r="N35" s="1"/>
  <c r="P35" s="1"/>
  <c r="M48"/>
  <c r="M21"/>
  <c r="N21" s="1"/>
  <c r="M34"/>
  <c r="N34" s="1"/>
  <c r="D11" i="7" s="1"/>
  <c r="C26" i="24" s="1"/>
  <c r="C31" s="1"/>
  <c r="AK18" i="38"/>
  <c r="U18"/>
  <c r="AK18" i="37"/>
  <c r="U18"/>
  <c r="F6" i="8"/>
  <c r="C94" i="22"/>
  <c r="M33"/>
  <c r="N33" s="1"/>
  <c r="C94" i="35"/>
  <c r="H24" i="22"/>
  <c r="C91" i="36"/>
  <c r="E95" s="1"/>
  <c r="C91" i="35"/>
  <c r="C91" i="22"/>
  <c r="F8" i="26"/>
  <c r="F15" s="1"/>
  <c r="F22" s="1"/>
  <c r="F8" i="20"/>
  <c r="F15" s="1"/>
  <c r="F22" s="1"/>
  <c r="F9" i="26"/>
  <c r="F16" s="1"/>
  <c r="F23" s="1"/>
  <c r="F9" i="20"/>
  <c r="F16" s="1"/>
  <c r="F23" s="1"/>
  <c r="E8" i="26"/>
  <c r="E15" s="1"/>
  <c r="E22" s="1"/>
  <c r="E8" i="20"/>
  <c r="E15" s="1"/>
  <c r="E22" s="1"/>
  <c r="M24" i="22"/>
  <c r="N24" s="1"/>
  <c r="N75" s="1"/>
  <c r="P75" s="1"/>
  <c r="AA36" i="17"/>
  <c r="H22" i="36"/>
  <c r="E18" i="37"/>
  <c r="E18" i="38"/>
  <c r="F17"/>
  <c r="E17"/>
  <c r="D17"/>
  <c r="F17" i="37"/>
  <c r="C6" i="8"/>
  <c r="B19" i="38"/>
  <c r="F23" i="14"/>
  <c r="G23"/>
  <c r="B19" i="37" s="1"/>
  <c r="I11" i="22"/>
  <c r="M22"/>
  <c r="N22" s="1"/>
  <c r="I10"/>
  <c r="M23"/>
  <c r="N23" s="1"/>
  <c r="E24" i="14"/>
  <c r="N46" i="22"/>
  <c r="P46" s="1"/>
  <c r="D9" i="20"/>
  <c r="D16" s="1"/>
  <c r="D23" s="1"/>
  <c r="E9"/>
  <c r="E16" s="1"/>
  <c r="E23" s="1"/>
  <c r="Y33" i="37" s="1"/>
  <c r="E9" i="26"/>
  <c r="E16" s="1"/>
  <c r="E23" s="1"/>
  <c r="M32" i="22"/>
  <c r="N32" s="1"/>
  <c r="P32" s="1"/>
  <c r="H35"/>
  <c r="I12"/>
  <c r="D9" i="26"/>
  <c r="D16" s="1"/>
  <c r="D23" s="1"/>
  <c r="D20" i="33"/>
  <c r="H22" i="22"/>
  <c r="I22" s="1"/>
  <c r="H33"/>
  <c r="I33" s="1"/>
  <c r="K33" s="1"/>
  <c r="J155" i="35"/>
  <c r="J55"/>
  <c r="J155" i="36"/>
  <c r="N19" i="35"/>
  <c r="N19" i="36"/>
  <c r="I30" i="35"/>
  <c r="N30" i="36"/>
  <c r="M81" s="1"/>
  <c r="I30"/>
  <c r="I19" i="35"/>
  <c r="I19" i="36"/>
  <c r="N30" i="35"/>
  <c r="I7"/>
  <c r="I11" i="36"/>
  <c r="M22" i="35"/>
  <c r="M35" i="36"/>
  <c r="I8" i="22"/>
  <c r="I10" i="36"/>
  <c r="O56" i="22"/>
  <c r="I7"/>
  <c r="N45"/>
  <c r="P45" s="1"/>
  <c r="M20"/>
  <c r="N20" s="1"/>
  <c r="M31"/>
  <c r="N31" s="1"/>
  <c r="N42"/>
  <c r="P42" s="1"/>
  <c r="G13"/>
  <c r="N44"/>
  <c r="P44" s="1"/>
  <c r="I7" i="36"/>
  <c r="D8" i="26"/>
  <c r="D15" s="1"/>
  <c r="D22" s="1"/>
  <c r="D8" i="20"/>
  <c r="D15" s="1"/>
  <c r="D22" s="1"/>
  <c r="M55" i="36"/>
  <c r="D30" i="33"/>
  <c r="E26" s="1"/>
  <c r="L233" i="11"/>
  <c r="L236" s="1"/>
  <c r="L69"/>
  <c r="L72" s="1"/>
  <c r="L110"/>
  <c r="L113" s="1"/>
  <c r="L151"/>
  <c r="L154" s="1"/>
  <c r="L192"/>
  <c r="L195" s="1"/>
  <c r="K45" i="36"/>
  <c r="M45" s="1"/>
  <c r="K44"/>
  <c r="M44" s="1"/>
  <c r="K43"/>
  <c r="M43" s="1"/>
  <c r="K42"/>
  <c r="M42" s="1"/>
  <c r="K46"/>
  <c r="M46" s="1"/>
  <c r="H24"/>
  <c r="I75" s="1"/>
  <c r="K75" s="1"/>
  <c r="I12"/>
  <c r="H35"/>
  <c r="I86" s="1"/>
  <c r="K86" s="1"/>
  <c r="N53" i="35"/>
  <c r="P53" s="1"/>
  <c r="N52"/>
  <c r="P52" s="1"/>
  <c r="N51"/>
  <c r="P51" s="1"/>
  <c r="N50"/>
  <c r="P50" s="1"/>
  <c r="N49"/>
  <c r="P49" s="1"/>
  <c r="M55"/>
  <c r="I12"/>
  <c r="K42"/>
  <c r="M42" s="1"/>
  <c r="K44"/>
  <c r="M44" s="1"/>
  <c r="K43"/>
  <c r="M43" s="1"/>
  <c r="K46"/>
  <c r="M46" s="1"/>
  <c r="K45"/>
  <c r="M45" s="1"/>
  <c r="M24"/>
  <c r="N75" s="1"/>
  <c r="P75" s="1"/>
  <c r="M35"/>
  <c r="N86" s="1"/>
  <c r="P86" s="1"/>
  <c r="H21"/>
  <c r="I21" s="1"/>
  <c r="K21" s="1"/>
  <c r="H32"/>
  <c r="I32" s="1"/>
  <c r="K32" s="1"/>
  <c r="I8"/>
  <c r="I10"/>
  <c r="K110" i="11"/>
  <c r="K113" s="1"/>
  <c r="K151"/>
  <c r="K154" s="1"/>
  <c r="K69"/>
  <c r="K72" s="1"/>
  <c r="K192"/>
  <c r="K195" s="1"/>
  <c r="H21" i="22"/>
  <c r="I21" s="1"/>
  <c r="D7" i="7" s="1"/>
  <c r="K233" i="11"/>
  <c r="K236" s="1"/>
  <c r="H32" i="22"/>
  <c r="I32" s="1"/>
  <c r="K32" s="1"/>
  <c r="I20" i="35"/>
  <c r="K20" s="1"/>
  <c r="M22" i="36"/>
  <c r="M33"/>
  <c r="I31"/>
  <c r="K31" s="1"/>
  <c r="M20"/>
  <c r="M31"/>
  <c r="N48"/>
  <c r="O56" s="1"/>
  <c r="G13"/>
  <c r="I8"/>
  <c r="H21"/>
  <c r="H32"/>
  <c r="M33" i="35"/>
  <c r="M24" i="36"/>
  <c r="N75" s="1"/>
  <c r="P75" s="1"/>
  <c r="I31" i="35"/>
  <c r="K31" s="1"/>
  <c r="H24"/>
  <c r="I75" s="1"/>
  <c r="K75" s="1"/>
  <c r="H35"/>
  <c r="I86" s="1"/>
  <c r="K86" s="1"/>
  <c r="I11"/>
  <c r="M23"/>
  <c r="M34"/>
  <c r="I20" i="36"/>
  <c r="K20" s="1"/>
  <c r="N50"/>
  <c r="P50" s="1"/>
  <c r="N49"/>
  <c r="P49" s="1"/>
  <c r="N53"/>
  <c r="P53" s="1"/>
  <c r="N52"/>
  <c r="P52" s="1"/>
  <c r="N51"/>
  <c r="P51" s="1"/>
  <c r="M32" i="35"/>
  <c r="M21"/>
  <c r="M23" i="36"/>
  <c r="M34"/>
  <c r="N48" i="35"/>
  <c r="O56" s="1"/>
  <c r="M31"/>
  <c r="M20"/>
  <c r="G13"/>
  <c r="M32" i="36"/>
  <c r="M21"/>
  <c r="D13"/>
  <c r="C19" s="1"/>
  <c r="N81" i="22"/>
  <c r="M81" s="1"/>
  <c r="J55"/>
  <c r="J155"/>
  <c r="N51"/>
  <c r="P51" s="1"/>
  <c r="N52"/>
  <c r="P52" s="1"/>
  <c r="N53"/>
  <c r="P53" s="1"/>
  <c r="N50"/>
  <c r="P50" s="1"/>
  <c r="P49"/>
  <c r="K53"/>
  <c r="M53" s="1"/>
  <c r="K52"/>
  <c r="M52" s="1"/>
  <c r="K51"/>
  <c r="M51" s="1"/>
  <c r="K50"/>
  <c r="M50" s="1"/>
  <c r="K49"/>
  <c r="M49" s="1"/>
  <c r="K23"/>
  <c r="K31"/>
  <c r="K20"/>
  <c r="N70"/>
  <c r="M70" s="1"/>
  <c r="B18" i="17"/>
  <c r="D9" i="7" l="1"/>
  <c r="C25" i="24" s="1"/>
  <c r="C30" s="1"/>
  <c r="C32" s="1"/>
  <c r="AD19" i="38"/>
  <c r="AC19"/>
  <c r="N19"/>
  <c r="M19"/>
  <c r="H24" i="14"/>
  <c r="N21" i="35"/>
  <c r="P21" s="1"/>
  <c r="N34"/>
  <c r="P34" s="1"/>
  <c r="N33" i="36"/>
  <c r="P33" s="1"/>
  <c r="N34"/>
  <c r="P34" s="1"/>
  <c r="N32" i="35"/>
  <c r="P32" s="1"/>
  <c r="N23"/>
  <c r="P23" s="1"/>
  <c r="N22"/>
  <c r="P22" s="1"/>
  <c r="I24" i="22"/>
  <c r="K24" s="1"/>
  <c r="I75"/>
  <c r="N32" i="36"/>
  <c r="P32" s="1"/>
  <c r="N86"/>
  <c r="P86" s="1"/>
  <c r="I35" i="22"/>
  <c r="K35" s="1"/>
  <c r="I86"/>
  <c r="D5" i="7"/>
  <c r="C7" i="39" s="1"/>
  <c r="N33" i="35"/>
  <c r="P33" s="1"/>
  <c r="N21" i="36"/>
  <c r="P21" s="1"/>
  <c r="I32"/>
  <c r="K32" s="1"/>
  <c r="N23"/>
  <c r="P23" s="1"/>
  <c r="I21"/>
  <c r="K21" s="1"/>
  <c r="N22"/>
  <c r="P22" s="1"/>
  <c r="I22"/>
  <c r="K22" s="1"/>
  <c r="G95" i="22"/>
  <c r="E95"/>
  <c r="V6" i="32" s="1"/>
  <c r="V9" s="1"/>
  <c r="H95" i="22"/>
  <c r="C112" s="1"/>
  <c r="H95" i="36"/>
  <c r="C112" s="1"/>
  <c r="G95"/>
  <c r="H95" i="35"/>
  <c r="D112" s="1"/>
  <c r="U19" i="38"/>
  <c r="AK19"/>
  <c r="U18" i="17"/>
  <c r="AK18"/>
  <c r="AK19" i="37"/>
  <c r="U19"/>
  <c r="E95" i="35"/>
  <c r="G95"/>
  <c r="AA18" i="37"/>
  <c r="AQ17" i="38"/>
  <c r="AQ18" i="17"/>
  <c r="AQ18" i="38"/>
  <c r="AQ17" i="37"/>
  <c r="AQ18"/>
  <c r="AQ17" i="17"/>
  <c r="AQ19" i="38"/>
  <c r="AQ19" i="37"/>
  <c r="AO19" i="38"/>
  <c r="AO18" i="37"/>
  <c r="AO18" i="17"/>
  <c r="AO19" i="37"/>
  <c r="AO17" i="17"/>
  <c r="AO17" i="38"/>
  <c r="AO18"/>
  <c r="AO17" i="37"/>
  <c r="F7" i="20"/>
  <c r="F14" s="1"/>
  <c r="F21" s="1"/>
  <c r="F7" i="26"/>
  <c r="F14" s="1"/>
  <c r="F21" s="1"/>
  <c r="F6"/>
  <c r="F13" s="1"/>
  <c r="F20" s="1"/>
  <c r="F6" i="20"/>
  <c r="F13" s="1"/>
  <c r="F20" s="1"/>
  <c r="AA34" i="37"/>
  <c r="AA17" i="38"/>
  <c r="AA33"/>
  <c r="AA34" i="17"/>
  <c r="AA18"/>
  <c r="Y19" i="38"/>
  <c r="Y35"/>
  <c r="Y34" i="17"/>
  <c r="Y18"/>
  <c r="Y32" i="37"/>
  <c r="Y36"/>
  <c r="AA32" i="17"/>
  <c r="AA17" i="37"/>
  <c r="AA33"/>
  <c r="AA33" i="17"/>
  <c r="AA17"/>
  <c r="AA32" i="38"/>
  <c r="AA36"/>
  <c r="Y18"/>
  <c r="Y34"/>
  <c r="Y32" i="17"/>
  <c r="Y33"/>
  <c r="Y17"/>
  <c r="Y19" i="37"/>
  <c r="Y35"/>
  <c r="AA32"/>
  <c r="AA36"/>
  <c r="AA19" i="38"/>
  <c r="AA35"/>
  <c r="Y17"/>
  <c r="Y33"/>
  <c r="Y36" i="17"/>
  <c r="Y18" i="37"/>
  <c r="Y34"/>
  <c r="AA35" i="17"/>
  <c r="AA19" i="37"/>
  <c r="AA35"/>
  <c r="AA18" i="38"/>
  <c r="AA34"/>
  <c r="Y35" i="17"/>
  <c r="Y32" i="38"/>
  <c r="Y36"/>
  <c r="Y17" i="37"/>
  <c r="I18" i="38"/>
  <c r="I17"/>
  <c r="E19" i="37"/>
  <c r="E19" i="38"/>
  <c r="K19"/>
  <c r="K18"/>
  <c r="K17"/>
  <c r="I17" i="37"/>
  <c r="I18"/>
  <c r="I17" i="17"/>
  <c r="K18" i="37"/>
  <c r="K17"/>
  <c r="K17" i="17"/>
  <c r="K18"/>
  <c r="I18"/>
  <c r="E18"/>
  <c r="G24" i="14"/>
  <c r="B20" i="37" s="1"/>
  <c r="B20" i="38"/>
  <c r="K21" i="22"/>
  <c r="K22"/>
  <c r="C19" i="35"/>
  <c r="E25" i="14"/>
  <c r="F24"/>
  <c r="E6" i="20"/>
  <c r="E13" s="1"/>
  <c r="E20" s="1"/>
  <c r="E6" i="26"/>
  <c r="E13" s="1"/>
  <c r="E20" s="1"/>
  <c r="E7"/>
  <c r="E14" s="1"/>
  <c r="E21" s="1"/>
  <c r="E7" i="20"/>
  <c r="E14" s="1"/>
  <c r="E21" s="1"/>
  <c r="M70" i="35"/>
  <c r="N35" i="36"/>
  <c r="P35" s="1"/>
  <c r="M81" i="35"/>
  <c r="M70" i="36"/>
  <c r="E17" i="33"/>
  <c r="E19"/>
  <c r="E18"/>
  <c r="E15"/>
  <c r="P48" i="22"/>
  <c r="D6" i="20"/>
  <c r="D13" s="1"/>
  <c r="D20" s="1"/>
  <c r="D6" i="26"/>
  <c r="D13" s="1"/>
  <c r="D20" s="1"/>
  <c r="D7" i="20"/>
  <c r="D14" s="1"/>
  <c r="D21" s="1"/>
  <c r="D7" i="26"/>
  <c r="D14" s="1"/>
  <c r="D21" s="1"/>
  <c r="E28" i="33"/>
  <c r="E29"/>
  <c r="E25"/>
  <c r="N45" i="35"/>
  <c r="P45" s="1"/>
  <c r="N46"/>
  <c r="P46" s="1"/>
  <c r="N43"/>
  <c r="P43" s="1"/>
  <c r="N44"/>
  <c r="P44" s="1"/>
  <c r="N42"/>
  <c r="P42" s="1"/>
  <c r="I24"/>
  <c r="K24" s="1"/>
  <c r="H75"/>
  <c r="N31" i="36"/>
  <c r="P31" s="1"/>
  <c r="N35" i="35"/>
  <c r="P35" s="1"/>
  <c r="F30"/>
  <c r="P55" i="36"/>
  <c r="P55" i="35"/>
  <c r="N31"/>
  <c r="P31" s="1"/>
  <c r="I35"/>
  <c r="K35" s="1"/>
  <c r="N42" i="36"/>
  <c r="P42" s="1"/>
  <c r="N46"/>
  <c r="P46" s="1"/>
  <c r="N45"/>
  <c r="P45" s="1"/>
  <c r="N44"/>
  <c r="P44" s="1"/>
  <c r="N43"/>
  <c r="P43" s="1"/>
  <c r="H75"/>
  <c r="I24"/>
  <c r="K24" s="1"/>
  <c r="M48" i="35"/>
  <c r="M56" s="1"/>
  <c r="C30" i="36"/>
  <c r="N20" i="35"/>
  <c r="P20" s="1"/>
  <c r="C19" i="22"/>
  <c r="D19" s="1"/>
  <c r="D13" i="7"/>
  <c r="C6" i="39" s="1"/>
  <c r="M48" i="36"/>
  <c r="M56" s="1"/>
  <c r="M75"/>
  <c r="N24"/>
  <c r="P24" s="1"/>
  <c r="N20"/>
  <c r="P20" s="1"/>
  <c r="N24" i="35"/>
  <c r="P24" s="1"/>
  <c r="M75"/>
  <c r="I35" i="36"/>
  <c r="K35" s="1"/>
  <c r="C16" i="32"/>
  <c r="P55" i="22"/>
  <c r="N86"/>
  <c r="P33"/>
  <c r="M55"/>
  <c r="M56" s="1"/>
  <c r="P31"/>
  <c r="F5" i="7" s="1"/>
  <c r="C6" i="19" s="1"/>
  <c r="C11" s="1"/>
  <c r="P34" i="22"/>
  <c r="F11" i="7" s="1"/>
  <c r="C7" i="24" s="1"/>
  <c r="C12" s="1"/>
  <c r="M75" i="22"/>
  <c r="P24"/>
  <c r="P23"/>
  <c r="P20"/>
  <c r="P21"/>
  <c r="P22"/>
  <c r="B19" i="17"/>
  <c r="AO19" s="1"/>
  <c r="M86" i="36" l="1"/>
  <c r="N135"/>
  <c r="M135" s="1"/>
  <c r="C9" i="32"/>
  <c r="Z6"/>
  <c r="Z9" s="1"/>
  <c r="C112" i="35"/>
  <c r="X6" i="32" s="1"/>
  <c r="X9" s="1"/>
  <c r="C12" i="39"/>
  <c r="C24"/>
  <c r="C13"/>
  <c r="C25"/>
  <c r="AD20" i="38"/>
  <c r="AC20"/>
  <c r="AQ20"/>
  <c r="M20"/>
  <c r="N20"/>
  <c r="H25" i="14"/>
  <c r="F7" i="7"/>
  <c r="C7" i="19" s="1"/>
  <c r="C12" s="1"/>
  <c r="F9" i="7"/>
  <c r="C6" i="24" s="1"/>
  <c r="C11" s="1"/>
  <c r="N176" i="36"/>
  <c r="M176" s="1"/>
  <c r="I135" i="22"/>
  <c r="H135" s="1"/>
  <c r="I176" s="1"/>
  <c r="K86"/>
  <c r="H75"/>
  <c r="K75"/>
  <c r="N135"/>
  <c r="M135" s="1"/>
  <c r="P86"/>
  <c r="D19" i="35"/>
  <c r="F19" s="1"/>
  <c r="F19" i="22"/>
  <c r="D112" i="36"/>
  <c r="D115" s="1"/>
  <c r="N121" s="1"/>
  <c r="D112" i="22"/>
  <c r="AA6" i="32" s="1"/>
  <c r="AA9" s="1"/>
  <c r="Y20" i="38"/>
  <c r="AA20"/>
  <c r="AO20"/>
  <c r="AQ19" i="17"/>
  <c r="U20" i="37"/>
  <c r="AK20"/>
  <c r="AA19" i="17"/>
  <c r="AA20" i="37"/>
  <c r="AQ20"/>
  <c r="U20" i="38"/>
  <c r="AK20"/>
  <c r="Y20" i="37"/>
  <c r="AK19" i="17"/>
  <c r="U19"/>
  <c r="Y19"/>
  <c r="AO20" i="37"/>
  <c r="AB6" i="32"/>
  <c r="AB9" s="1"/>
  <c r="D115" i="35"/>
  <c r="N121" s="1"/>
  <c r="C115"/>
  <c r="I121" s="1"/>
  <c r="Y6" i="32"/>
  <c r="Y9" s="1"/>
  <c r="C115" i="36"/>
  <c r="I121" s="1"/>
  <c r="AP18" i="38"/>
  <c r="AP17" i="37"/>
  <c r="AP17" i="17"/>
  <c r="AP19" i="38"/>
  <c r="AP18" i="37"/>
  <c r="AP19"/>
  <c r="AP19" i="17"/>
  <c r="AP20" i="38"/>
  <c r="AP17"/>
  <c r="AP20" i="37"/>
  <c r="AP18" i="17"/>
  <c r="AR20" i="38"/>
  <c r="AR19" i="37"/>
  <c r="AR17" i="17"/>
  <c r="AR17" i="38"/>
  <c r="AR20" i="37"/>
  <c r="AR17"/>
  <c r="AR19" i="17"/>
  <c r="AR18" i="38"/>
  <c r="AR19"/>
  <c r="AR18" i="37"/>
  <c r="AR18" i="17"/>
  <c r="Z36" i="38"/>
  <c r="Z35"/>
  <c r="Z34"/>
  <c r="Z33"/>
  <c r="Z32"/>
  <c r="Z20"/>
  <c r="Z19"/>
  <c r="Z18"/>
  <c r="Z17"/>
  <c r="Z32" i="17"/>
  <c r="Z36"/>
  <c r="Z36" i="37"/>
  <c r="Z35"/>
  <c r="Z34"/>
  <c r="Z33"/>
  <c r="Z32"/>
  <c r="Z20"/>
  <c r="Z19"/>
  <c r="Z18"/>
  <c r="Z17"/>
  <c r="Z19" i="17"/>
  <c r="Z35"/>
  <c r="Z18"/>
  <c r="Z34"/>
  <c r="Z17"/>
  <c r="Z33"/>
  <c r="AB32"/>
  <c r="AB36"/>
  <c r="AB19"/>
  <c r="AB35"/>
  <c r="AB36" i="38"/>
  <c r="AB35"/>
  <c r="AB34"/>
  <c r="AB33"/>
  <c r="AB32"/>
  <c r="AB20"/>
  <c r="AB19"/>
  <c r="AB18"/>
  <c r="AB17"/>
  <c r="AB18" i="17"/>
  <c r="AB34"/>
  <c r="AB36" i="37"/>
  <c r="AB35"/>
  <c r="AB34"/>
  <c r="AB33"/>
  <c r="AB32"/>
  <c r="AB20"/>
  <c r="AB19"/>
  <c r="AB18"/>
  <c r="AB17"/>
  <c r="AB17" i="17"/>
  <c r="AB33"/>
  <c r="J18"/>
  <c r="I19" i="38"/>
  <c r="J20"/>
  <c r="J19"/>
  <c r="J18"/>
  <c r="J17"/>
  <c r="I19" i="37"/>
  <c r="L20" i="38"/>
  <c r="L19"/>
  <c r="L18"/>
  <c r="L17"/>
  <c r="K19" i="37"/>
  <c r="L19"/>
  <c r="L18"/>
  <c r="L17"/>
  <c r="J19"/>
  <c r="J18"/>
  <c r="J17"/>
  <c r="J17" i="17"/>
  <c r="J19"/>
  <c r="K19"/>
  <c r="I19"/>
  <c r="E19"/>
  <c r="L19"/>
  <c r="L17"/>
  <c r="L18"/>
  <c r="C115" i="22"/>
  <c r="I121" s="1"/>
  <c r="W6" i="32"/>
  <c r="W9" s="1"/>
  <c r="H86" i="22"/>
  <c r="J135" s="1"/>
  <c r="F25" i="14"/>
  <c r="G25"/>
  <c r="F30" i="22"/>
  <c r="F13" i="7" s="1"/>
  <c r="E26" i="14"/>
  <c r="P56" i="22"/>
  <c r="H86" i="36"/>
  <c r="I135"/>
  <c r="D30"/>
  <c r="F30" s="1"/>
  <c r="N135" i="35"/>
  <c r="M135" s="1"/>
  <c r="M86"/>
  <c r="P48"/>
  <c r="P56" s="1"/>
  <c r="D19" i="36"/>
  <c r="I135" i="35"/>
  <c r="H135" s="1"/>
  <c r="H86"/>
  <c r="P48" i="36"/>
  <c r="P56" s="1"/>
  <c r="O135"/>
  <c r="O132"/>
  <c r="O173" s="1"/>
  <c r="O133" i="22"/>
  <c r="O174" s="1"/>
  <c r="M86"/>
  <c r="O131"/>
  <c r="O172" s="1"/>
  <c r="O134"/>
  <c r="O175" s="1"/>
  <c r="B20" i="17"/>
  <c r="Z20" s="1"/>
  <c r="AC6" i="32" l="1"/>
  <c r="AC9" s="1"/>
  <c r="H26" i="14"/>
  <c r="C13" i="24"/>
  <c r="C14"/>
  <c r="N60" i="35"/>
  <c r="O60"/>
  <c r="N176" i="22"/>
  <c r="M176" s="1"/>
  <c r="K135"/>
  <c r="J176"/>
  <c r="K176" s="1"/>
  <c r="N176" i="35"/>
  <c r="M176" s="1"/>
  <c r="I176"/>
  <c r="N60" i="36"/>
  <c r="N82" s="1"/>
  <c r="O60"/>
  <c r="P135"/>
  <c r="O176"/>
  <c r="P176" s="1"/>
  <c r="F19"/>
  <c r="N60" i="22"/>
  <c r="O60"/>
  <c r="B21" i="37"/>
  <c r="U21" s="1"/>
  <c r="G26" i="14"/>
  <c r="D115" i="22"/>
  <c r="AK21" i="37"/>
  <c r="AQ21"/>
  <c r="AB20" i="17"/>
  <c r="L20"/>
  <c r="AK20"/>
  <c r="U20"/>
  <c r="AQ20"/>
  <c r="AO20"/>
  <c r="AA20"/>
  <c r="Y20"/>
  <c r="AP20"/>
  <c r="AR20"/>
  <c r="N123" i="35"/>
  <c r="N119"/>
  <c r="N130" s="1"/>
  <c r="M130" s="1"/>
  <c r="N171" s="1"/>
  <c r="N120"/>
  <c r="N122"/>
  <c r="E20" i="37"/>
  <c r="K20"/>
  <c r="E20" i="38"/>
  <c r="I20"/>
  <c r="K20"/>
  <c r="J20" i="37"/>
  <c r="L20"/>
  <c r="I20"/>
  <c r="E21"/>
  <c r="J21"/>
  <c r="J20" i="17"/>
  <c r="K20"/>
  <c r="I20"/>
  <c r="E20"/>
  <c r="N123" i="36"/>
  <c r="N122"/>
  <c r="N119"/>
  <c r="N130" s="1"/>
  <c r="M130" s="1"/>
  <c r="N171" s="1"/>
  <c r="N120"/>
  <c r="F26" i="14"/>
  <c r="E27"/>
  <c r="H81" i="35"/>
  <c r="H70"/>
  <c r="H81" i="36"/>
  <c r="H70"/>
  <c r="H81" i="22"/>
  <c r="H70"/>
  <c r="J135" i="36"/>
  <c r="O135" i="35"/>
  <c r="H135" i="36"/>
  <c r="J135" i="35"/>
  <c r="O135" i="22"/>
  <c r="B21" i="17"/>
  <c r="Z21" i="37" l="1"/>
  <c r="Y21"/>
  <c r="L21"/>
  <c r="AA21"/>
  <c r="AP21"/>
  <c r="K21"/>
  <c r="I21"/>
  <c r="AB21"/>
  <c r="AR21"/>
  <c r="H27" i="14"/>
  <c r="AO21" i="37"/>
  <c r="K135" i="35"/>
  <c r="J176"/>
  <c r="K176" s="1"/>
  <c r="P135" i="22"/>
  <c r="O176"/>
  <c r="P176" s="1"/>
  <c r="P135" i="35"/>
  <c r="O176"/>
  <c r="P176" s="1"/>
  <c r="N63"/>
  <c r="N61"/>
  <c r="N62"/>
  <c r="N59"/>
  <c r="N71"/>
  <c r="N82"/>
  <c r="O59"/>
  <c r="O62"/>
  <c r="O61"/>
  <c r="O63"/>
  <c r="H176" i="22"/>
  <c r="H176" i="35"/>
  <c r="N59" i="36"/>
  <c r="N63"/>
  <c r="N85" s="1"/>
  <c r="N61"/>
  <c r="N83" s="1"/>
  <c r="N62"/>
  <c r="N84" s="1"/>
  <c r="N71"/>
  <c r="K135"/>
  <c r="J176"/>
  <c r="N121" i="22"/>
  <c r="N123" s="1"/>
  <c r="N61"/>
  <c r="N59"/>
  <c r="N62"/>
  <c r="N63"/>
  <c r="N71"/>
  <c r="N82"/>
  <c r="O63" i="36"/>
  <c r="O59"/>
  <c r="O62"/>
  <c r="O61"/>
  <c r="O62" i="22"/>
  <c r="O61"/>
  <c r="O59"/>
  <c r="O63"/>
  <c r="N131" i="36"/>
  <c r="M131" s="1"/>
  <c r="I176"/>
  <c r="H176" s="1"/>
  <c r="AK21" i="17"/>
  <c r="U21"/>
  <c r="AO21"/>
  <c r="AQ21"/>
  <c r="AA21"/>
  <c r="Y21"/>
  <c r="AR21"/>
  <c r="AP21"/>
  <c r="Z21"/>
  <c r="AB21"/>
  <c r="J21"/>
  <c r="K21"/>
  <c r="I21"/>
  <c r="E21"/>
  <c r="L21"/>
  <c r="G27" i="14"/>
  <c r="I123" i="22"/>
  <c r="F27" i="14"/>
  <c r="I120" i="22"/>
  <c r="I122"/>
  <c r="E28" i="14"/>
  <c r="I119" i="35"/>
  <c r="I130" s="1"/>
  <c r="H130" s="1"/>
  <c r="I171" s="1"/>
  <c r="I123"/>
  <c r="I122"/>
  <c r="I120"/>
  <c r="B22" i="17"/>
  <c r="N119" i="22" l="1"/>
  <c r="N130" s="1"/>
  <c r="M130" s="1"/>
  <c r="N171" s="1"/>
  <c r="N120"/>
  <c r="N131" s="1"/>
  <c r="M131" s="1"/>
  <c r="H28" i="14"/>
  <c r="N122" i="22"/>
  <c r="K176" i="36"/>
  <c r="N84" i="35"/>
  <c r="N73"/>
  <c r="P71"/>
  <c r="M71"/>
  <c r="N74"/>
  <c r="N85"/>
  <c r="P82"/>
  <c r="M82"/>
  <c r="O131" s="1"/>
  <c r="O172" s="1"/>
  <c r="N131"/>
  <c r="N72"/>
  <c r="N83"/>
  <c r="N84" i="22"/>
  <c r="N73"/>
  <c r="M82" i="36"/>
  <c r="O131" s="1"/>
  <c r="P82"/>
  <c r="N74"/>
  <c r="N85" i="22"/>
  <c r="N134" s="1"/>
  <c r="N74"/>
  <c r="N72" i="36"/>
  <c r="M71" i="22"/>
  <c r="P71"/>
  <c r="N83"/>
  <c r="N72"/>
  <c r="N73" i="36"/>
  <c r="M82" i="22"/>
  <c r="P82"/>
  <c r="P71" i="36"/>
  <c r="M71"/>
  <c r="U22" i="17"/>
  <c r="AK22"/>
  <c r="AO22"/>
  <c r="Y22"/>
  <c r="AA22"/>
  <c r="AQ22"/>
  <c r="AR22"/>
  <c r="AP22"/>
  <c r="Z22"/>
  <c r="AB22"/>
  <c r="I22"/>
  <c r="J22"/>
  <c r="K22"/>
  <c r="E22"/>
  <c r="L22"/>
  <c r="G28" i="14"/>
  <c r="F28"/>
  <c r="E29"/>
  <c r="I119" i="36"/>
  <c r="I130" s="1"/>
  <c r="H130" s="1"/>
  <c r="I171" s="1"/>
  <c r="I123"/>
  <c r="I122"/>
  <c r="I120"/>
  <c r="B23" i="17"/>
  <c r="H29" i="14" l="1"/>
  <c r="N133" i="22"/>
  <c r="M133" s="1"/>
  <c r="P131"/>
  <c r="M131" i="35"/>
  <c r="P131"/>
  <c r="P74"/>
  <c r="M74"/>
  <c r="P84"/>
  <c r="M84"/>
  <c r="O133" s="1"/>
  <c r="O174" s="1"/>
  <c r="N133"/>
  <c r="P72"/>
  <c r="M72"/>
  <c r="P85"/>
  <c r="M85"/>
  <c r="O134" s="1"/>
  <c r="O175" s="1"/>
  <c r="N134"/>
  <c r="P73"/>
  <c r="M73"/>
  <c r="P83"/>
  <c r="N132"/>
  <c r="M83"/>
  <c r="O132" s="1"/>
  <c r="O173" s="1"/>
  <c r="P83" i="22"/>
  <c r="M83"/>
  <c r="O132" s="1"/>
  <c r="O173" s="1"/>
  <c r="N132"/>
  <c r="P72" i="36"/>
  <c r="M72"/>
  <c r="P85" i="22"/>
  <c r="M85"/>
  <c r="M85" i="36"/>
  <c r="O134" s="1"/>
  <c r="O175" s="1"/>
  <c r="P85"/>
  <c r="N134"/>
  <c r="M72" i="22"/>
  <c r="P72"/>
  <c r="M134"/>
  <c r="P134"/>
  <c r="M83" i="36"/>
  <c r="P83"/>
  <c r="N132"/>
  <c r="M74" i="22"/>
  <c r="P74"/>
  <c r="P74" i="36"/>
  <c r="M74"/>
  <c r="P73"/>
  <c r="M73"/>
  <c r="O172"/>
  <c r="P131"/>
  <c r="P84" i="22"/>
  <c r="M84"/>
  <c r="M84" i="36"/>
  <c r="O133" s="1"/>
  <c r="O174" s="1"/>
  <c r="P84"/>
  <c r="N133"/>
  <c r="P73" i="22"/>
  <c r="M73"/>
  <c r="AK23" i="17"/>
  <c r="U23"/>
  <c r="AA23"/>
  <c r="AQ23"/>
  <c r="AO23"/>
  <c r="Y23"/>
  <c r="AR23"/>
  <c r="Z23"/>
  <c r="AB23"/>
  <c r="AP23"/>
  <c r="I23"/>
  <c r="K23"/>
  <c r="J23"/>
  <c r="E23"/>
  <c r="L23"/>
  <c r="G29" i="14"/>
  <c r="F29"/>
  <c r="E30"/>
  <c r="R23" i="32"/>
  <c r="B24" i="17"/>
  <c r="P133" i="22" l="1"/>
  <c r="H30" i="14"/>
  <c r="M133" i="35"/>
  <c r="P133"/>
  <c r="M132"/>
  <c r="P132"/>
  <c r="M134"/>
  <c r="P134"/>
  <c r="M132" i="22"/>
  <c r="P132"/>
  <c r="M132" i="36"/>
  <c r="P132"/>
  <c r="M133"/>
  <c r="P133"/>
  <c r="M134"/>
  <c r="P134"/>
  <c r="AK24" i="17"/>
  <c r="U24"/>
  <c r="AO24"/>
  <c r="AA24"/>
  <c r="Y24"/>
  <c r="AQ24"/>
  <c r="AP24"/>
  <c r="Z24"/>
  <c r="AB24"/>
  <c r="AR24"/>
  <c r="J24"/>
  <c r="K24"/>
  <c r="I24"/>
  <c r="E24"/>
  <c r="L24"/>
  <c r="G30" i="14"/>
  <c r="F30"/>
  <c r="E31"/>
  <c r="B25" i="17"/>
  <c r="H31" i="14" l="1"/>
  <c r="AK25" i="17"/>
  <c r="U25"/>
  <c r="AQ25"/>
  <c r="AO25"/>
  <c r="Y25"/>
  <c r="AA25"/>
  <c r="AR25"/>
  <c r="Z25"/>
  <c r="AB25"/>
  <c r="AP25"/>
  <c r="I25"/>
  <c r="J25"/>
  <c r="K25"/>
  <c r="E25"/>
  <c r="L25"/>
  <c r="G31" i="14"/>
  <c r="E32"/>
  <c r="F31"/>
  <c r="B26" i="17"/>
  <c r="H32" i="14" l="1"/>
  <c r="AK26" i="17"/>
  <c r="U26"/>
  <c r="AQ26"/>
  <c r="Y26"/>
  <c r="AO26"/>
  <c r="AA26"/>
  <c r="AR26"/>
  <c r="AP26"/>
  <c r="Z26"/>
  <c r="AB26"/>
  <c r="I26"/>
  <c r="J26"/>
  <c r="K26"/>
  <c r="E26"/>
  <c r="L26"/>
  <c r="G32" i="14"/>
  <c r="F32"/>
  <c r="E33"/>
  <c r="B27" i="17"/>
  <c r="H33" i="14" l="1"/>
  <c r="AK27" i="17"/>
  <c r="U27"/>
  <c r="AQ27"/>
  <c r="AA27"/>
  <c r="Y27"/>
  <c r="AO27"/>
  <c r="AR27"/>
  <c r="AP27"/>
  <c r="AB27"/>
  <c r="Z27"/>
  <c r="I27"/>
  <c r="K27"/>
  <c r="J27"/>
  <c r="E27"/>
  <c r="L27"/>
  <c r="G33" i="14"/>
  <c r="E34"/>
  <c r="F33"/>
  <c r="B28" i="17"/>
  <c r="H34" i="14" l="1"/>
  <c r="U28" i="17"/>
  <c r="AK28"/>
  <c r="AO28"/>
  <c r="AA28"/>
  <c r="Y28"/>
  <c r="AQ28"/>
  <c r="AP28"/>
  <c r="Z28"/>
  <c r="AB28"/>
  <c r="AR28"/>
  <c r="I28"/>
  <c r="J28"/>
  <c r="K28"/>
  <c r="E28"/>
  <c r="L28"/>
  <c r="F34" i="14"/>
  <c r="G34"/>
  <c r="E35"/>
  <c r="B29" i="17"/>
  <c r="H35" i="14" l="1"/>
  <c r="AK29" i="17"/>
  <c r="U29"/>
  <c r="AO29"/>
  <c r="Y29"/>
  <c r="AQ29"/>
  <c r="AA29"/>
  <c r="AP29"/>
  <c r="AR29"/>
  <c r="Z29"/>
  <c r="AB29"/>
  <c r="E29"/>
  <c r="K29"/>
  <c r="I29"/>
  <c r="J29"/>
  <c r="L29"/>
  <c r="G35" i="14"/>
  <c r="E36"/>
  <c r="F35"/>
  <c r="B30" i="17"/>
  <c r="H36" i="14" l="1"/>
  <c r="AK30" i="17"/>
  <c r="U30"/>
  <c r="Y30"/>
  <c r="AA30"/>
  <c r="AQ30"/>
  <c r="AO30"/>
  <c r="AR30"/>
  <c r="Z30"/>
  <c r="AB30"/>
  <c r="AP30"/>
  <c r="E30"/>
  <c r="K30"/>
  <c r="I30"/>
  <c r="J30"/>
  <c r="L30"/>
  <c r="G36" i="14"/>
  <c r="E37"/>
  <c r="F36"/>
  <c r="B31" i="17"/>
  <c r="H37" i="14" l="1"/>
  <c r="AK31" i="17"/>
  <c r="U31"/>
  <c r="AA31"/>
  <c r="F13" i="8" s="1"/>
  <c r="AO31" i="17"/>
  <c r="I11" i="8" s="1"/>
  <c r="Y31" i="17"/>
  <c r="F11" i="8" s="1"/>
  <c r="AQ31" i="17"/>
  <c r="I13" i="8" s="1"/>
  <c r="AR31" i="17"/>
  <c r="I14" i="8" s="1"/>
  <c r="AP31" i="17"/>
  <c r="I12" i="8" s="1"/>
  <c r="Z31" i="17"/>
  <c r="F12" i="8" s="1"/>
  <c r="AB31" i="17"/>
  <c r="F14" i="8" s="1"/>
  <c r="E31" i="17"/>
  <c r="K31"/>
  <c r="I31"/>
  <c r="J31"/>
  <c r="L31"/>
  <c r="G37" i="14"/>
  <c r="E38"/>
  <c r="F37"/>
  <c r="B32" i="17"/>
  <c r="H38" i="14" l="1"/>
  <c r="U32" i="17"/>
  <c r="AK32"/>
  <c r="E32"/>
  <c r="K32"/>
  <c r="I32"/>
  <c r="J32"/>
  <c r="L32"/>
  <c r="G38" i="14"/>
  <c r="E39"/>
  <c r="F38"/>
  <c r="B33" i="17"/>
  <c r="H39" i="14" l="1"/>
  <c r="AK33" i="17"/>
  <c r="U33"/>
  <c r="E33"/>
  <c r="K33"/>
  <c r="I33"/>
  <c r="J33"/>
  <c r="L33"/>
  <c r="G39" i="14"/>
  <c r="E40"/>
  <c r="F39"/>
  <c r="B34" i="17"/>
  <c r="H40" i="14" l="1"/>
  <c r="G40"/>
  <c r="U34" i="17"/>
  <c r="AK34"/>
  <c r="E34"/>
  <c r="K34"/>
  <c r="I34"/>
  <c r="J34"/>
  <c r="L34"/>
  <c r="F40" i="14"/>
  <c r="E41"/>
  <c r="B35" i="17"/>
  <c r="H41" i="14" l="1"/>
  <c r="G41"/>
  <c r="AK35" i="17"/>
  <c r="U35"/>
  <c r="E35"/>
  <c r="K35"/>
  <c r="I35"/>
  <c r="J35"/>
  <c r="L35"/>
  <c r="F41" i="14"/>
  <c r="E42"/>
  <c r="B36" i="17"/>
  <c r="H42" i="14" l="1"/>
  <c r="AK36" i="17"/>
  <c r="U36"/>
  <c r="E36"/>
  <c r="K36"/>
  <c r="C13" i="8" s="1"/>
  <c r="I36" i="17"/>
  <c r="C11" i="8" s="1"/>
  <c r="J36" i="17"/>
  <c r="C12" i="8" s="1"/>
  <c r="L36" i="17"/>
  <c r="C14" i="8" s="1"/>
  <c r="G42" i="14"/>
  <c r="F42"/>
  <c r="E43"/>
  <c r="B37" i="17"/>
  <c r="H43" i="14" l="1"/>
  <c r="E37" i="17"/>
  <c r="U37"/>
  <c r="AK37"/>
  <c r="G43" i="14"/>
  <c r="F43"/>
  <c r="E44"/>
  <c r="B38" i="17"/>
  <c r="H44" i="14" l="1"/>
  <c r="E38" i="17"/>
  <c r="AK38"/>
  <c r="U38"/>
  <c r="G44" i="14"/>
  <c r="F44"/>
  <c r="E45"/>
  <c r="B39" i="17"/>
  <c r="H45" i="14" l="1"/>
  <c r="E39" i="17"/>
  <c r="AK39"/>
  <c r="U39"/>
  <c r="G45" i="14"/>
  <c r="F45"/>
  <c r="E46"/>
  <c r="B40" i="17"/>
  <c r="H46" i="14" l="1"/>
  <c r="E40" i="17"/>
  <c r="U40"/>
  <c r="AK40"/>
  <c r="G46" i="14"/>
  <c r="F46"/>
  <c r="E47"/>
  <c r="B41" i="17"/>
  <c r="H47" i="14" l="1"/>
  <c r="E41" i="17"/>
  <c r="U41"/>
  <c r="AK41"/>
  <c r="G47" i="14"/>
  <c r="F47"/>
  <c r="E48"/>
  <c r="B42" i="17"/>
  <c r="H48" i="14" l="1"/>
  <c r="E42" i="17"/>
  <c r="AK42"/>
  <c r="U42"/>
  <c r="G48" i="14"/>
  <c r="F48"/>
  <c r="E49"/>
  <c r="B43" i="17"/>
  <c r="H49" i="14" l="1"/>
  <c r="E43" i="17"/>
  <c r="AK43"/>
  <c r="U43"/>
  <c r="G49" i="14"/>
  <c r="F49"/>
  <c r="E50"/>
  <c r="B44" i="17"/>
  <c r="H50" i="14" l="1"/>
  <c r="E44" i="17"/>
  <c r="U44"/>
  <c r="AK44"/>
  <c r="G50" i="14"/>
  <c r="E51"/>
  <c r="F50"/>
  <c r="B45" i="17"/>
  <c r="H51" i="14" l="1"/>
  <c r="E45" i="17"/>
  <c r="U45"/>
  <c r="AK45"/>
  <c r="G51" i="14"/>
  <c r="F51"/>
  <c r="E52"/>
  <c r="B46" i="17"/>
  <c r="H52" i="14" l="1"/>
  <c r="E46" i="17"/>
  <c r="AK46"/>
  <c r="U46"/>
  <c r="G52" i="14"/>
  <c r="F52"/>
  <c r="E53"/>
  <c r="B47" i="17"/>
  <c r="H53" i="14" l="1"/>
  <c r="E47" i="17"/>
  <c r="AK47"/>
  <c r="U47"/>
  <c r="G53" i="14"/>
  <c r="F53"/>
  <c r="E54"/>
  <c r="B48" i="17"/>
  <c r="H54" i="14" l="1"/>
  <c r="E48" i="17"/>
  <c r="U48"/>
  <c r="AK48"/>
  <c r="G54" i="14"/>
  <c r="E55"/>
  <c r="F54"/>
  <c r="B49" i="17"/>
  <c r="H55" i="14" l="1"/>
  <c r="E49" i="17"/>
  <c r="U49"/>
  <c r="AK49"/>
  <c r="F55" i="14"/>
  <c r="G55"/>
  <c r="G56" s="1"/>
  <c r="E56"/>
  <c r="B50" i="17"/>
  <c r="H56" i="14" l="1"/>
  <c r="E50" i="17"/>
  <c r="AK50"/>
  <c r="U50"/>
  <c r="F56" i="14"/>
  <c r="E57"/>
  <c r="G57" s="1"/>
  <c r="B51" i="17"/>
  <c r="H57" i="14" l="1"/>
  <c r="E51" i="17"/>
  <c r="AK51"/>
  <c r="U51"/>
  <c r="E58" i="14"/>
  <c r="G58" s="1"/>
  <c r="F57"/>
  <c r="B52" i="17"/>
  <c r="H58" i="14" l="1"/>
  <c r="E52" i="17"/>
  <c r="U52"/>
  <c r="AK52"/>
  <c r="F58" i="14"/>
  <c r="E59"/>
  <c r="B53" i="17"/>
  <c r="H59" i="14" l="1"/>
  <c r="E53" i="17"/>
  <c r="U53"/>
  <c r="AK53"/>
  <c r="F59" i="14"/>
  <c r="G59"/>
  <c r="E60"/>
  <c r="B54" i="17"/>
  <c r="H60" i="14" l="1"/>
  <c r="E54" i="17"/>
  <c r="AK54"/>
  <c r="U54"/>
  <c r="G60" i="14"/>
  <c r="E61"/>
  <c r="F60"/>
  <c r="B55" i="17"/>
  <c r="H61" i="14" l="1"/>
  <c r="E55" i="17"/>
  <c r="AK55"/>
  <c r="U55"/>
  <c r="F61" i="14"/>
  <c r="G61"/>
  <c r="E62"/>
  <c r="B56" i="17"/>
  <c r="H62" i="14" l="1"/>
  <c r="E56" i="17"/>
  <c r="U56"/>
  <c r="AK56"/>
  <c r="G62" i="14"/>
  <c r="E63"/>
  <c r="F62"/>
  <c r="B57" i="17"/>
  <c r="H63" i="14" l="1"/>
  <c r="E57" i="17"/>
  <c r="U57"/>
  <c r="AK57"/>
  <c r="F63" i="14"/>
  <c r="G63"/>
  <c r="E64"/>
  <c r="B58" i="17"/>
  <c r="H64" i="14" l="1"/>
  <c r="E58" i="17"/>
  <c r="AK58"/>
  <c r="U58"/>
  <c r="G64" i="14"/>
  <c r="E65"/>
  <c r="F64"/>
  <c r="B59" i="17"/>
  <c r="H65" i="14" l="1"/>
  <c r="E59" i="17"/>
  <c r="AK59"/>
  <c r="U59"/>
  <c r="G65" i="14"/>
  <c r="F65"/>
  <c r="E66"/>
  <c r="B60" i="17"/>
  <c r="H66" i="14" l="1"/>
  <c r="E60" i="17"/>
  <c r="U60"/>
  <c r="AK60"/>
  <c r="G66" i="14"/>
  <c r="E67"/>
  <c r="F66"/>
  <c r="B61" i="17"/>
  <c r="H67" i="14" l="1"/>
  <c r="E61" i="17"/>
  <c r="U61"/>
  <c r="AK61"/>
  <c r="G67" i="14"/>
  <c r="F67"/>
  <c r="E68"/>
  <c r="B62" i="17"/>
  <c r="H68" i="14" l="1"/>
  <c r="E62" i="17"/>
  <c r="AK62"/>
  <c r="U62"/>
  <c r="G68" i="14"/>
  <c r="E69"/>
  <c r="F68"/>
  <c r="B63" i="17"/>
  <c r="H69" i="14" l="1"/>
  <c r="E63" i="17"/>
  <c r="AK63"/>
  <c r="U63"/>
  <c r="G69" i="14"/>
  <c r="F69"/>
  <c r="E70"/>
  <c r="B64" i="17"/>
  <c r="H70" i="14" l="1"/>
  <c r="E64" i="17"/>
  <c r="U64"/>
  <c r="AK64"/>
  <c r="G70" i="14"/>
  <c r="E71"/>
  <c r="F70"/>
  <c r="B65" i="17"/>
  <c r="H71" i="14" l="1"/>
  <c r="G71"/>
  <c r="E65" i="17"/>
  <c r="U65"/>
  <c r="AK65"/>
  <c r="F71" i="14"/>
  <c r="E72"/>
  <c r="G72" s="1"/>
  <c r="B66" i="17"/>
  <c r="H72" i="14" l="1"/>
  <c r="E66" i="17"/>
  <c r="AK66"/>
  <c r="U66"/>
  <c r="F72" i="14"/>
  <c r="E73"/>
  <c r="G73" s="1"/>
  <c r="B67" i="17"/>
  <c r="H73" i="14" l="1"/>
  <c r="E67" i="17"/>
  <c r="AK67"/>
  <c r="U67"/>
  <c r="F73" i="14"/>
  <c r="E74"/>
  <c r="B68" i="17"/>
  <c r="H74" i="14" l="1"/>
  <c r="E68" i="17"/>
  <c r="U68"/>
  <c r="AK68"/>
  <c r="G74" i="14"/>
  <c r="F74"/>
  <c r="E75"/>
  <c r="B69" i="17"/>
  <c r="H75" i="14" l="1"/>
  <c r="E69" i="17"/>
  <c r="U69"/>
  <c r="AK69"/>
  <c r="G75" i="14"/>
  <c r="F75"/>
  <c r="E76"/>
  <c r="B70" i="17"/>
  <c r="H76" i="14" l="1"/>
  <c r="E70" i="17"/>
  <c r="AK70"/>
  <c r="U70"/>
  <c r="G76" i="14"/>
  <c r="F76"/>
  <c r="E77"/>
  <c r="B71" i="17"/>
  <c r="H77" i="14" l="1"/>
  <c r="E71" i="17"/>
  <c r="AK71"/>
  <c r="U71"/>
  <c r="G77" i="14"/>
  <c r="F77"/>
  <c r="E78"/>
  <c r="B72" i="17"/>
  <c r="H78" i="14" l="1"/>
  <c r="E72" i="17"/>
  <c r="U72"/>
  <c r="AK72"/>
  <c r="G78" i="14"/>
  <c r="F78"/>
  <c r="E79"/>
  <c r="B73" i="17"/>
  <c r="H79" i="14" l="1"/>
  <c r="E73" i="17"/>
  <c r="U73"/>
  <c r="AK73"/>
  <c r="G79" i="14"/>
  <c r="F79"/>
  <c r="E80"/>
  <c r="B74" i="17"/>
  <c r="H80" i="14" l="1"/>
  <c r="E74" i="17"/>
  <c r="AK74"/>
  <c r="U74"/>
  <c r="G80" i="14"/>
  <c r="F80"/>
  <c r="E81"/>
  <c r="B75" i="17"/>
  <c r="H81" i="14" l="1"/>
  <c r="E75" i="17"/>
  <c r="AK75"/>
  <c r="U75"/>
  <c r="G81" i="14"/>
  <c r="F81"/>
  <c r="E82"/>
  <c r="B76" i="17"/>
  <c r="H82" i="14" l="1"/>
  <c r="E76" i="17"/>
  <c r="U76"/>
  <c r="AK76"/>
  <c r="G82" i="14"/>
  <c r="F82"/>
  <c r="E83"/>
  <c r="B77" i="17"/>
  <c r="H83" i="14" l="1"/>
  <c r="E77" i="17"/>
  <c r="U77"/>
  <c r="AK77"/>
  <c r="G83" i="14"/>
  <c r="F83"/>
  <c r="E84"/>
  <c r="B78" i="17"/>
  <c r="H84" i="14" l="1"/>
  <c r="E78" i="17"/>
  <c r="AK78"/>
  <c r="U78"/>
  <c r="G84" i="14"/>
  <c r="F84"/>
  <c r="E85"/>
  <c r="B79" i="17"/>
  <c r="H85" i="14" l="1"/>
  <c r="E79" i="17"/>
  <c r="AK79"/>
  <c r="U79"/>
  <c r="G85" i="14"/>
  <c r="F85"/>
  <c r="E86"/>
  <c r="B80" i="17"/>
  <c r="H86" i="14" l="1"/>
  <c r="E80" i="17"/>
  <c r="U80"/>
  <c r="AK80"/>
  <c r="G86" i="14"/>
  <c r="F86"/>
  <c r="E87"/>
  <c r="B81" i="17"/>
  <c r="H87" i="14" l="1"/>
  <c r="E81" i="17"/>
  <c r="U81"/>
  <c r="AK81"/>
  <c r="G87" i="14"/>
  <c r="F87"/>
  <c r="E88"/>
  <c r="B82" i="17"/>
  <c r="H88" i="14" l="1"/>
  <c r="E82" i="17"/>
  <c r="AK82"/>
  <c r="U82"/>
  <c r="G88" i="14"/>
  <c r="F88"/>
  <c r="E89"/>
  <c r="B83" i="17"/>
  <c r="H89" i="14" l="1"/>
  <c r="E83" i="17"/>
  <c r="AK83"/>
  <c r="U83"/>
  <c r="G89" i="14"/>
  <c r="F89"/>
  <c r="B85" i="17" s="1"/>
  <c r="B84"/>
  <c r="E85" l="1"/>
  <c r="U85"/>
  <c r="AK85"/>
  <c r="E84"/>
  <c r="U84"/>
  <c r="AK84"/>
  <c r="B30" i="38"/>
  <c r="B44" i="37"/>
  <c r="B81"/>
  <c r="B42"/>
  <c r="B66" i="38"/>
  <c r="B50"/>
  <c r="B60"/>
  <c r="B79" i="37"/>
  <c r="B43"/>
  <c r="B23" i="38"/>
  <c r="B51"/>
  <c r="B48" i="37"/>
  <c r="B76"/>
  <c r="B36"/>
  <c r="B78" i="38"/>
  <c r="B74"/>
  <c r="B28"/>
  <c r="B60" i="37"/>
  <c r="B51"/>
  <c r="B22"/>
  <c r="B46" i="38"/>
  <c r="B48"/>
  <c r="B36"/>
  <c r="B74" i="37"/>
  <c r="B29"/>
  <c r="B32"/>
  <c r="B53" i="38"/>
  <c r="B54"/>
  <c r="B38"/>
  <c r="B77" i="37"/>
  <c r="B31"/>
  <c r="B49"/>
  <c r="B39" i="38"/>
  <c r="B45"/>
  <c r="B33"/>
  <c r="B83" i="37"/>
  <c r="B38"/>
  <c r="B57" i="38"/>
  <c r="B27" i="37"/>
  <c r="B80" i="38"/>
  <c r="B35"/>
  <c r="B34"/>
  <c r="B62"/>
  <c r="B22"/>
  <c r="B65" i="37"/>
  <c r="B61"/>
  <c r="B61" i="38"/>
  <c r="B85"/>
  <c r="B49"/>
  <c r="B26" i="37"/>
  <c r="B64" i="38"/>
  <c r="B24"/>
  <c r="B64" i="37"/>
  <c r="B52"/>
  <c r="B24"/>
  <c r="B71" i="38"/>
  <c r="B26"/>
  <c r="B77"/>
  <c r="B55"/>
  <c r="B65"/>
  <c r="B80" i="37"/>
  <c r="B70"/>
  <c r="B70" i="38"/>
  <c r="B71" i="37"/>
  <c r="B44" i="38"/>
  <c r="B59" i="37"/>
  <c r="B73" i="38"/>
  <c r="B67"/>
  <c r="B68" i="37"/>
  <c r="B28"/>
  <c r="B40"/>
  <c r="B32" i="38"/>
  <c r="B42"/>
  <c r="B39" i="37"/>
  <c r="B21" i="38"/>
  <c r="B75" i="37"/>
  <c r="B83" i="38"/>
  <c r="B54" i="37"/>
  <c r="B58" i="38"/>
  <c r="B67" i="37"/>
  <c r="B25" i="38"/>
  <c r="B47" i="37"/>
  <c r="B84"/>
  <c r="B58"/>
  <c r="B56"/>
  <c r="B82" i="38"/>
  <c r="B76"/>
  <c r="B55" i="37"/>
  <c r="B33"/>
  <c r="B45"/>
  <c r="B41" i="38"/>
  <c r="B69"/>
  <c r="B29"/>
  <c r="B72" i="37"/>
  <c r="B40" i="38"/>
  <c r="B35" i="37"/>
  <c r="B63"/>
  <c r="B23"/>
  <c r="B81" i="38"/>
  <c r="B37"/>
  <c r="B37" i="37"/>
  <c r="B43" i="38"/>
  <c r="B63"/>
  <c r="B27"/>
  <c r="B85" i="37"/>
  <c r="B73"/>
  <c r="B78"/>
  <c r="B66"/>
  <c r="B72" i="38"/>
  <c r="B31"/>
  <c r="B84"/>
  <c r="B57" i="37"/>
  <c r="B46"/>
  <c r="B75" i="38"/>
  <c r="B53" i="37"/>
  <c r="B47" i="38"/>
  <c r="B79"/>
  <c r="B68"/>
  <c r="B62" i="37"/>
  <c r="B69"/>
  <c r="B30"/>
  <c r="B52" i="38"/>
  <c r="B59"/>
  <c r="B82" i="37"/>
  <c r="B50"/>
  <c r="B25"/>
  <c r="B56" i="38"/>
  <c r="B41" i="37"/>
  <c r="B34"/>
  <c r="M171" i="35"/>
  <c r="E39" i="28"/>
  <c r="AD23" i="38" l="1"/>
  <c r="AC23"/>
  <c r="AD26"/>
  <c r="AC26"/>
  <c r="AD28"/>
  <c r="AC28"/>
  <c r="AD30"/>
  <c r="AC30"/>
  <c r="AD25"/>
  <c r="AC25"/>
  <c r="AD27"/>
  <c r="AC27"/>
  <c r="AD31"/>
  <c r="AC31"/>
  <c r="AD29"/>
  <c r="AC29"/>
  <c r="AD24"/>
  <c r="AC24"/>
  <c r="AD22"/>
  <c r="AC22"/>
  <c r="AD21"/>
  <c r="AC21"/>
  <c r="N23"/>
  <c r="M23"/>
  <c r="N25"/>
  <c r="M25"/>
  <c r="N26"/>
  <c r="M26"/>
  <c r="N28"/>
  <c r="M28"/>
  <c r="N30"/>
  <c r="M30"/>
  <c r="N27"/>
  <c r="M27"/>
  <c r="N31"/>
  <c r="M31"/>
  <c r="N29"/>
  <c r="M29"/>
  <c r="M24"/>
  <c r="N24"/>
  <c r="N22"/>
  <c r="M22"/>
  <c r="N21"/>
  <c r="M21"/>
  <c r="C40" i="24"/>
  <c r="H48" i="36"/>
  <c r="I56" s="1"/>
  <c r="H148" i="35"/>
  <c r="H48"/>
  <c r="H148" i="22"/>
  <c r="H48"/>
  <c r="H148" i="36"/>
  <c r="C7" i="8"/>
  <c r="C8" s="1"/>
  <c r="H171" i="36"/>
  <c r="H171" i="35"/>
  <c r="E56" i="38"/>
  <c r="AK56"/>
  <c r="U56"/>
  <c r="E84"/>
  <c r="AK84"/>
  <c r="U84"/>
  <c r="E63"/>
  <c r="U63"/>
  <c r="AK63"/>
  <c r="E41"/>
  <c r="U41"/>
  <c r="AK41"/>
  <c r="E58"/>
  <c r="AK58"/>
  <c r="U58"/>
  <c r="E73"/>
  <c r="U73"/>
  <c r="AK73"/>
  <c r="AK24" i="37"/>
  <c r="U24"/>
  <c r="AO24"/>
  <c r="Y24"/>
  <c r="AA24"/>
  <c r="AQ24"/>
  <c r="AR24"/>
  <c r="Z24"/>
  <c r="AP24"/>
  <c r="AB24"/>
  <c r="E62" i="38"/>
  <c r="AK62"/>
  <c r="U62"/>
  <c r="AK31" i="37"/>
  <c r="U31"/>
  <c r="Y31"/>
  <c r="AA31"/>
  <c r="AO31"/>
  <c r="AQ31"/>
  <c r="Z31"/>
  <c r="AP31"/>
  <c r="AR31"/>
  <c r="AB31"/>
  <c r="E78" i="38"/>
  <c r="AK78"/>
  <c r="U78"/>
  <c r="E69" i="37"/>
  <c r="U69"/>
  <c r="AK69"/>
  <c r="E47" i="38"/>
  <c r="U47"/>
  <c r="AK47"/>
  <c r="E57" i="37"/>
  <c r="U57"/>
  <c r="AK57"/>
  <c r="E66"/>
  <c r="U66"/>
  <c r="AK66"/>
  <c r="U27" i="38"/>
  <c r="AK27"/>
  <c r="Y27"/>
  <c r="AQ27"/>
  <c r="AO27"/>
  <c r="AA27"/>
  <c r="AP27"/>
  <c r="AB27"/>
  <c r="AR27"/>
  <c r="Z27"/>
  <c r="E37"/>
  <c r="U37"/>
  <c r="AK37"/>
  <c r="AK35" i="37"/>
  <c r="U35"/>
  <c r="E69" i="38"/>
  <c r="U69"/>
  <c r="AK69"/>
  <c r="E55" i="37"/>
  <c r="U55"/>
  <c r="AK55"/>
  <c r="E58"/>
  <c r="U58"/>
  <c r="AK58"/>
  <c r="E67"/>
  <c r="U67"/>
  <c r="AK67"/>
  <c r="E75"/>
  <c r="U75"/>
  <c r="AK75"/>
  <c r="AK32" i="38"/>
  <c r="U32"/>
  <c r="E67"/>
  <c r="U67"/>
  <c r="AK67"/>
  <c r="E71" i="37"/>
  <c r="U71"/>
  <c r="AK71"/>
  <c r="E65" i="38"/>
  <c r="U65"/>
  <c r="AK65"/>
  <c r="E71"/>
  <c r="U71"/>
  <c r="AK71"/>
  <c r="U24"/>
  <c r="AK24"/>
  <c r="AQ24"/>
  <c r="AA24"/>
  <c r="Y24"/>
  <c r="AO24"/>
  <c r="AP24"/>
  <c r="AB24"/>
  <c r="AR24"/>
  <c r="Z24"/>
  <c r="E85"/>
  <c r="U85"/>
  <c r="AK85"/>
  <c r="AK22"/>
  <c r="U22"/>
  <c r="AQ22"/>
  <c r="AA22"/>
  <c r="AO22"/>
  <c r="Y22"/>
  <c r="AP22"/>
  <c r="AR22"/>
  <c r="Z22"/>
  <c r="AB22"/>
  <c r="E80"/>
  <c r="AK80"/>
  <c r="U80"/>
  <c r="E83" i="37"/>
  <c r="U83"/>
  <c r="AK83"/>
  <c r="E49"/>
  <c r="U49"/>
  <c r="AK49"/>
  <c r="E54" i="38"/>
  <c r="AK54"/>
  <c r="U54"/>
  <c r="E74" i="37"/>
  <c r="U74"/>
  <c r="AK74"/>
  <c r="AK22"/>
  <c r="U22"/>
  <c r="AQ22"/>
  <c r="AO22"/>
  <c r="AA22"/>
  <c r="Y22"/>
  <c r="AP22"/>
  <c r="Z22"/>
  <c r="AR22"/>
  <c r="AB22"/>
  <c r="E74" i="38"/>
  <c r="AK74"/>
  <c r="U74"/>
  <c r="E48" i="37"/>
  <c r="U48"/>
  <c r="AK48"/>
  <c r="E79"/>
  <c r="U79"/>
  <c r="AK79"/>
  <c r="E42"/>
  <c r="U42"/>
  <c r="AK42"/>
  <c r="F7" i="8"/>
  <c r="F8" s="1"/>
  <c r="E62" i="37"/>
  <c r="U62"/>
  <c r="AK62"/>
  <c r="E78"/>
  <c r="U78"/>
  <c r="AK78"/>
  <c r="E40" i="38"/>
  <c r="AK40"/>
  <c r="U40"/>
  <c r="E76"/>
  <c r="AK76"/>
  <c r="U76"/>
  <c r="AK21"/>
  <c r="U21"/>
  <c r="AO21"/>
  <c r="Y21"/>
  <c r="AA21"/>
  <c r="AQ21"/>
  <c r="Z21"/>
  <c r="AR21"/>
  <c r="AB21"/>
  <c r="AP21"/>
  <c r="E70"/>
  <c r="AK70"/>
  <c r="U70"/>
  <c r="E64"/>
  <c r="AK64"/>
  <c r="U64"/>
  <c r="AK27" i="37"/>
  <c r="U27"/>
  <c r="Y27"/>
  <c r="AQ27"/>
  <c r="AA27"/>
  <c r="AO27"/>
  <c r="AR27"/>
  <c r="Z27"/>
  <c r="AP27"/>
  <c r="AB27"/>
  <c r="U33" i="38"/>
  <c r="AK33"/>
  <c r="E51" i="37"/>
  <c r="U51"/>
  <c r="AK51"/>
  <c r="E60" i="38"/>
  <c r="AK60"/>
  <c r="U60"/>
  <c r="E82" i="37"/>
  <c r="U82"/>
  <c r="AK82"/>
  <c r="AK34"/>
  <c r="U34"/>
  <c r="E50"/>
  <c r="U50"/>
  <c r="AK50"/>
  <c r="AK30"/>
  <c r="U30"/>
  <c r="AQ30"/>
  <c r="AA30"/>
  <c r="Y30"/>
  <c r="AO30"/>
  <c r="AR30"/>
  <c r="AP30"/>
  <c r="AB30"/>
  <c r="Z30"/>
  <c r="E79" i="38"/>
  <c r="U79"/>
  <c r="AK79"/>
  <c r="E46" i="37"/>
  <c r="U46"/>
  <c r="AK46"/>
  <c r="E72" i="38"/>
  <c r="AK72"/>
  <c r="U72"/>
  <c r="E85" i="37"/>
  <c r="U85"/>
  <c r="AK85"/>
  <c r="E37"/>
  <c r="U37"/>
  <c r="AK37"/>
  <c r="E63"/>
  <c r="U63"/>
  <c r="AK63"/>
  <c r="AK29" i="38"/>
  <c r="U29"/>
  <c r="AQ29"/>
  <c r="AO29"/>
  <c r="Y29"/>
  <c r="AA29"/>
  <c r="AP29"/>
  <c r="Z29"/>
  <c r="AB29"/>
  <c r="AR29"/>
  <c r="AK33" i="37"/>
  <c r="U33"/>
  <c r="E56"/>
  <c r="U56"/>
  <c r="AK56"/>
  <c r="AK25" i="38"/>
  <c r="U25"/>
  <c r="AQ25"/>
  <c r="AA25"/>
  <c r="AO25"/>
  <c r="Y25"/>
  <c r="Z25"/>
  <c r="AB25"/>
  <c r="AP25"/>
  <c r="AR25"/>
  <c r="E83"/>
  <c r="U83"/>
  <c r="AK83"/>
  <c r="E42"/>
  <c r="AK42"/>
  <c r="U42"/>
  <c r="E68" i="37"/>
  <c r="U68"/>
  <c r="AK68"/>
  <c r="E44" i="38"/>
  <c r="AK44"/>
  <c r="U44"/>
  <c r="E80" i="37"/>
  <c r="U80"/>
  <c r="AK80"/>
  <c r="AK26" i="38"/>
  <c r="U26"/>
  <c r="AO26"/>
  <c r="AA26"/>
  <c r="AQ26"/>
  <c r="Y26"/>
  <c r="AR26"/>
  <c r="Z26"/>
  <c r="AP26"/>
  <c r="AB26"/>
  <c r="E64" i="37"/>
  <c r="U64"/>
  <c r="AK64"/>
  <c r="E49" i="38"/>
  <c r="U49"/>
  <c r="AK49"/>
  <c r="E65" i="37"/>
  <c r="U65"/>
  <c r="AK65"/>
  <c r="U35" i="38"/>
  <c r="AK35"/>
  <c r="E38" i="37"/>
  <c r="U38"/>
  <c r="AK38"/>
  <c r="E39" i="38"/>
  <c r="U39"/>
  <c r="AK39"/>
  <c r="E38"/>
  <c r="AK38"/>
  <c r="U38"/>
  <c r="U29" i="37"/>
  <c r="AK29"/>
  <c r="AQ29"/>
  <c r="Y29"/>
  <c r="AO29"/>
  <c r="AA29"/>
  <c r="AR29"/>
  <c r="AB29"/>
  <c r="AP29"/>
  <c r="Z29"/>
  <c r="E46" i="38"/>
  <c r="AK46"/>
  <c r="U46"/>
  <c r="AK28"/>
  <c r="U28"/>
  <c r="AA28"/>
  <c r="Y28"/>
  <c r="AQ28"/>
  <c r="AO28"/>
  <c r="AR28"/>
  <c r="AB28"/>
  <c r="AP28"/>
  <c r="Z28"/>
  <c r="E76" i="37"/>
  <c r="U76"/>
  <c r="AK76"/>
  <c r="E43"/>
  <c r="U43"/>
  <c r="AK43"/>
  <c r="E66" i="38"/>
  <c r="AK66"/>
  <c r="U66"/>
  <c r="AK30"/>
  <c r="U30"/>
  <c r="AO30"/>
  <c r="Y30"/>
  <c r="AQ30"/>
  <c r="AA30"/>
  <c r="AR30"/>
  <c r="Z30"/>
  <c r="AP30"/>
  <c r="AB30"/>
  <c r="I7" i="8"/>
  <c r="I8" s="1"/>
  <c r="E59" i="38"/>
  <c r="U59"/>
  <c r="AK59"/>
  <c r="E53" i="37"/>
  <c r="U53"/>
  <c r="AK53"/>
  <c r="E81" i="38"/>
  <c r="U81"/>
  <c r="AK81"/>
  <c r="E84" i="37"/>
  <c r="U84"/>
  <c r="AK84"/>
  <c r="E40"/>
  <c r="U40"/>
  <c r="AK40"/>
  <c r="E55" i="38"/>
  <c r="U55"/>
  <c r="AK55"/>
  <c r="E61"/>
  <c r="U61"/>
  <c r="AK61"/>
  <c r="E53"/>
  <c r="U53"/>
  <c r="AK53"/>
  <c r="U36"/>
  <c r="AK36"/>
  <c r="E51"/>
  <c r="U51"/>
  <c r="AK51"/>
  <c r="E81" i="37"/>
  <c r="U81"/>
  <c r="AK81"/>
  <c r="E41"/>
  <c r="U41"/>
  <c r="AK41"/>
  <c r="U25"/>
  <c r="AK25"/>
  <c r="AA25"/>
  <c r="AO25"/>
  <c r="Y25"/>
  <c r="AQ25"/>
  <c r="AR25"/>
  <c r="AB25"/>
  <c r="AP25"/>
  <c r="Z25"/>
  <c r="E52" i="38"/>
  <c r="AK52"/>
  <c r="U52"/>
  <c r="E68"/>
  <c r="AK68"/>
  <c r="U68"/>
  <c r="E75"/>
  <c r="U75"/>
  <c r="AK75"/>
  <c r="AK31"/>
  <c r="U31"/>
  <c r="AQ31"/>
  <c r="AA31"/>
  <c r="AO31"/>
  <c r="Y31"/>
  <c r="AP31"/>
  <c r="Z31"/>
  <c r="AR31"/>
  <c r="AB31"/>
  <c r="E73" i="37"/>
  <c r="U73"/>
  <c r="AK73"/>
  <c r="E43" i="38"/>
  <c r="U43"/>
  <c r="AK43"/>
  <c r="AK23" i="37"/>
  <c r="U23"/>
  <c r="AQ23"/>
  <c r="Y23"/>
  <c r="AO23"/>
  <c r="AA23"/>
  <c r="AP23"/>
  <c r="Z23"/>
  <c r="AR23"/>
  <c r="AB23"/>
  <c r="E72"/>
  <c r="U72"/>
  <c r="AK72"/>
  <c r="E45"/>
  <c r="U45"/>
  <c r="AK45"/>
  <c r="E82" i="38"/>
  <c r="AK82"/>
  <c r="U82"/>
  <c r="E47" i="37"/>
  <c r="U47"/>
  <c r="AK47"/>
  <c r="E54"/>
  <c r="U54"/>
  <c r="AK54"/>
  <c r="E39"/>
  <c r="U39"/>
  <c r="AK39"/>
  <c r="U28"/>
  <c r="AK28"/>
  <c r="AQ28"/>
  <c r="AA28"/>
  <c r="AO28"/>
  <c r="Y28"/>
  <c r="AB28"/>
  <c r="Z28"/>
  <c r="AP28"/>
  <c r="AR28"/>
  <c r="E59"/>
  <c r="U59"/>
  <c r="AK59"/>
  <c r="E70"/>
  <c r="U70"/>
  <c r="AK70"/>
  <c r="E77" i="38"/>
  <c r="U77"/>
  <c r="AK77"/>
  <c r="E52" i="37"/>
  <c r="U52"/>
  <c r="AK52"/>
  <c r="U26"/>
  <c r="AK26"/>
  <c r="AQ26"/>
  <c r="AO26"/>
  <c r="AA26"/>
  <c r="Y26"/>
  <c r="AP26"/>
  <c r="Z26"/>
  <c r="AR26"/>
  <c r="AB26"/>
  <c r="E61"/>
  <c r="U61"/>
  <c r="AK61"/>
  <c r="AK34" i="38"/>
  <c r="U34"/>
  <c r="E57"/>
  <c r="U57"/>
  <c r="AK57"/>
  <c r="E45"/>
  <c r="U45"/>
  <c r="AK45"/>
  <c r="E77" i="37"/>
  <c r="U77"/>
  <c r="AK77"/>
  <c r="U32"/>
  <c r="AK32"/>
  <c r="E48" i="38"/>
  <c r="AK48"/>
  <c r="U48"/>
  <c r="E60" i="37"/>
  <c r="U60"/>
  <c r="AK60"/>
  <c r="U36"/>
  <c r="AK36"/>
  <c r="U23" i="38"/>
  <c r="AK23"/>
  <c r="Y23"/>
  <c r="AO23"/>
  <c r="AQ23"/>
  <c r="AA23"/>
  <c r="AP23"/>
  <c r="AR23"/>
  <c r="Z23"/>
  <c r="AB23"/>
  <c r="E50"/>
  <c r="AK50"/>
  <c r="U50"/>
  <c r="E44" i="37"/>
  <c r="U44"/>
  <c r="AK44"/>
  <c r="E34"/>
  <c r="K34"/>
  <c r="I34"/>
  <c r="J34"/>
  <c r="L34"/>
  <c r="E30"/>
  <c r="K30"/>
  <c r="I30"/>
  <c r="J30"/>
  <c r="L30"/>
  <c r="E29" i="38"/>
  <c r="K29"/>
  <c r="I29"/>
  <c r="J29"/>
  <c r="L29"/>
  <c r="E33" i="37"/>
  <c r="K33"/>
  <c r="I33"/>
  <c r="J33"/>
  <c r="L33"/>
  <c r="E35" i="38"/>
  <c r="K35"/>
  <c r="I35"/>
  <c r="J35"/>
  <c r="L35"/>
  <c r="E29" i="37"/>
  <c r="K29"/>
  <c r="I29"/>
  <c r="J29"/>
  <c r="L29"/>
  <c r="E30" i="38"/>
  <c r="K30"/>
  <c r="I30"/>
  <c r="J30"/>
  <c r="L30"/>
  <c r="E31"/>
  <c r="K31"/>
  <c r="I31"/>
  <c r="J31"/>
  <c r="L31"/>
  <c r="E34"/>
  <c r="K34"/>
  <c r="I34"/>
  <c r="J34"/>
  <c r="L34"/>
  <c r="E32" i="37"/>
  <c r="K32"/>
  <c r="I32"/>
  <c r="J32"/>
  <c r="L32"/>
  <c r="E36"/>
  <c r="K36"/>
  <c r="I36"/>
  <c r="J36"/>
  <c r="L36"/>
  <c r="E33" i="38"/>
  <c r="K33"/>
  <c r="I33"/>
  <c r="J33"/>
  <c r="L33"/>
  <c r="E31" i="37"/>
  <c r="K31"/>
  <c r="I31"/>
  <c r="J31"/>
  <c r="L31"/>
  <c r="E36" i="38"/>
  <c r="K36"/>
  <c r="I36"/>
  <c r="J36"/>
  <c r="L36"/>
  <c r="E35" i="37"/>
  <c r="K35"/>
  <c r="I35"/>
  <c r="J35"/>
  <c r="L35"/>
  <c r="E32" i="38"/>
  <c r="K32"/>
  <c r="I32"/>
  <c r="J32"/>
  <c r="L32"/>
  <c r="K25" i="37"/>
  <c r="I25"/>
  <c r="E25"/>
  <c r="J25"/>
  <c r="L25"/>
  <c r="K23"/>
  <c r="I23"/>
  <c r="E23"/>
  <c r="J23"/>
  <c r="L23"/>
  <c r="E28"/>
  <c r="K28"/>
  <c r="L28"/>
  <c r="I28"/>
  <c r="J28"/>
  <c r="K26"/>
  <c r="E26"/>
  <c r="J26"/>
  <c r="L26"/>
  <c r="I26"/>
  <c r="J23" i="38"/>
  <c r="I23"/>
  <c r="K23"/>
  <c r="E23"/>
  <c r="L23"/>
  <c r="K25"/>
  <c r="I25"/>
  <c r="E25"/>
  <c r="J25"/>
  <c r="L25"/>
  <c r="L26"/>
  <c r="K26"/>
  <c r="I26"/>
  <c r="E26"/>
  <c r="J26"/>
  <c r="K21"/>
  <c r="I21"/>
  <c r="J21"/>
  <c r="L21"/>
  <c r="E21"/>
  <c r="K24" i="37"/>
  <c r="I24"/>
  <c r="J24"/>
  <c r="L24"/>
  <c r="E24"/>
  <c r="K27"/>
  <c r="I27"/>
  <c r="E27"/>
  <c r="L27"/>
  <c r="J27"/>
  <c r="E28" i="38"/>
  <c r="L28"/>
  <c r="J28"/>
  <c r="K28"/>
  <c r="I28"/>
  <c r="I27"/>
  <c r="K27"/>
  <c r="E27"/>
  <c r="L27"/>
  <c r="J27"/>
  <c r="J24"/>
  <c r="I24"/>
  <c r="K24"/>
  <c r="E24"/>
  <c r="L24"/>
  <c r="I22"/>
  <c r="K22"/>
  <c r="E22"/>
  <c r="J22"/>
  <c r="L22"/>
  <c r="K22" i="37"/>
  <c r="J22"/>
  <c r="L22"/>
  <c r="I22"/>
  <c r="E22"/>
  <c r="H43" i="36" l="1"/>
  <c r="J43" s="1"/>
  <c r="H45" i="22"/>
  <c r="J45" s="1"/>
  <c r="H42"/>
  <c r="J42" s="1"/>
  <c r="I56"/>
  <c r="C59" s="1"/>
  <c r="H44"/>
  <c r="J44" s="1"/>
  <c r="H45" i="36"/>
  <c r="J45" s="1"/>
  <c r="H44"/>
  <c r="J44" s="1"/>
  <c r="H46"/>
  <c r="J46" s="1"/>
  <c r="H42"/>
  <c r="J42" s="1"/>
  <c r="H43" i="22"/>
  <c r="J43" s="1"/>
  <c r="H46"/>
  <c r="J46" s="1"/>
  <c r="H144"/>
  <c r="J144" s="1"/>
  <c r="H143"/>
  <c r="J143" s="1"/>
  <c r="H145"/>
  <c r="J145" s="1"/>
  <c r="H142"/>
  <c r="J142" s="1"/>
  <c r="N155"/>
  <c r="I156"/>
  <c r="N148"/>
  <c r="H146"/>
  <c r="J146" s="1"/>
  <c r="H143" i="35"/>
  <c r="J143" s="1"/>
  <c r="H145"/>
  <c r="J145" s="1"/>
  <c r="H144"/>
  <c r="J144" s="1"/>
  <c r="N148"/>
  <c r="H142"/>
  <c r="J142" s="1"/>
  <c r="N155"/>
  <c r="H146"/>
  <c r="J146" s="1"/>
  <c r="I156"/>
  <c r="N155" i="36"/>
  <c r="N148"/>
  <c r="H146"/>
  <c r="J146" s="1"/>
  <c r="I156"/>
  <c r="H142"/>
  <c r="J142" s="1"/>
  <c r="H144"/>
  <c r="J144" s="1"/>
  <c r="H143"/>
  <c r="J143" s="1"/>
  <c r="H145"/>
  <c r="J145" s="1"/>
  <c r="H46" i="35"/>
  <c r="J46" s="1"/>
  <c r="H43"/>
  <c r="J43" s="1"/>
  <c r="H44"/>
  <c r="J44" s="1"/>
  <c r="H45"/>
  <c r="J45" s="1"/>
  <c r="H42"/>
  <c r="J42" s="1"/>
  <c r="I56"/>
  <c r="C62" i="22" l="1"/>
  <c r="C61"/>
  <c r="C60"/>
  <c r="C64"/>
  <c r="C63"/>
  <c r="D81"/>
  <c r="D70"/>
  <c r="J48" i="35"/>
  <c r="J56" s="1"/>
  <c r="J48" i="22"/>
  <c r="J56" s="1"/>
  <c r="J148"/>
  <c r="J156" s="1"/>
  <c r="J48" i="36"/>
  <c r="J56" s="1"/>
  <c r="J148"/>
  <c r="J156" s="1"/>
  <c r="J148" i="35"/>
  <c r="J156" s="1"/>
  <c r="N150" i="36"/>
  <c r="P150" s="1"/>
  <c r="N151"/>
  <c r="P151" s="1"/>
  <c r="N153"/>
  <c r="P153" s="1"/>
  <c r="N152"/>
  <c r="P152" s="1"/>
  <c r="N149"/>
  <c r="P149" s="1"/>
  <c r="N153" i="35"/>
  <c r="P153" s="1"/>
  <c r="N149"/>
  <c r="P149" s="1"/>
  <c r="N150"/>
  <c r="P150" s="1"/>
  <c r="N151"/>
  <c r="P151" s="1"/>
  <c r="N152"/>
  <c r="P152" s="1"/>
  <c r="N153" i="22"/>
  <c r="P153" s="1"/>
  <c r="N152"/>
  <c r="P152" s="1"/>
  <c r="N151"/>
  <c r="P151" s="1"/>
  <c r="N150"/>
  <c r="P150" s="1"/>
  <c r="N149"/>
  <c r="P149" s="1"/>
  <c r="O156" i="36"/>
  <c r="N146"/>
  <c r="P146" s="1"/>
  <c r="N142"/>
  <c r="P142" s="1"/>
  <c r="N145"/>
  <c r="P145" s="1"/>
  <c r="N144"/>
  <c r="P144" s="1"/>
  <c r="N143"/>
  <c r="P143" s="1"/>
  <c r="N143" i="35"/>
  <c r="P143" s="1"/>
  <c r="N142"/>
  <c r="P142" s="1"/>
  <c r="O156"/>
  <c r="N144"/>
  <c r="P144" s="1"/>
  <c r="N146"/>
  <c r="P146" s="1"/>
  <c r="N145"/>
  <c r="P145" s="1"/>
  <c r="N144" i="22"/>
  <c r="P144" s="1"/>
  <c r="N142"/>
  <c r="P142" s="1"/>
  <c r="N146"/>
  <c r="P146" s="1"/>
  <c r="N145"/>
  <c r="P145" s="1"/>
  <c r="O156"/>
  <c r="N143"/>
  <c r="P143" s="1"/>
  <c r="I60" i="36" l="1"/>
  <c r="J60"/>
  <c r="J60" i="35"/>
  <c r="I60"/>
  <c r="D59" i="22"/>
  <c r="D63" s="1"/>
  <c r="I60"/>
  <c r="J60"/>
  <c r="D160" i="35"/>
  <c r="C160"/>
  <c r="D86" i="22"/>
  <c r="C86" s="1"/>
  <c r="D75"/>
  <c r="C75" s="1"/>
  <c r="C160"/>
  <c r="D160"/>
  <c r="D85"/>
  <c r="C85" s="1"/>
  <c r="D74"/>
  <c r="C74" s="1"/>
  <c r="D84"/>
  <c r="C84" s="1"/>
  <c r="D73"/>
  <c r="C73" s="1"/>
  <c r="D59" i="36"/>
  <c r="C59"/>
  <c r="F81" i="22"/>
  <c r="C81"/>
  <c r="D83"/>
  <c r="C83" s="1"/>
  <c r="D72"/>
  <c r="C72" s="1"/>
  <c r="C160" i="36"/>
  <c r="D160"/>
  <c r="C59" i="35"/>
  <c r="D59"/>
  <c r="F70" i="22"/>
  <c r="C70"/>
  <c r="D82"/>
  <c r="C82" s="1"/>
  <c r="D71"/>
  <c r="C71" s="1"/>
  <c r="P155" i="35"/>
  <c r="P155" i="36"/>
  <c r="P148" i="22"/>
  <c r="P148" i="36"/>
  <c r="P155" i="22"/>
  <c r="P148" i="35"/>
  <c r="D60" i="22" l="1"/>
  <c r="I62" i="36"/>
  <c r="I82"/>
  <c r="I59"/>
  <c r="I63"/>
  <c r="I71"/>
  <c r="I61"/>
  <c r="J62"/>
  <c r="J61"/>
  <c r="J59"/>
  <c r="J63"/>
  <c r="J63" i="35"/>
  <c r="J59"/>
  <c r="J62"/>
  <c r="J61"/>
  <c r="I71"/>
  <c r="I59"/>
  <c r="I63"/>
  <c r="I82"/>
  <c r="I61"/>
  <c r="I62"/>
  <c r="I71" i="22"/>
  <c r="I82"/>
  <c r="I59"/>
  <c r="I61"/>
  <c r="I63"/>
  <c r="I62"/>
  <c r="D62"/>
  <c r="F73" s="1"/>
  <c r="E73" s="1"/>
  <c r="D64"/>
  <c r="F86" s="1"/>
  <c r="J61"/>
  <c r="J62"/>
  <c r="J59"/>
  <c r="J63"/>
  <c r="D61"/>
  <c r="F72" s="1"/>
  <c r="E72" s="1"/>
  <c r="F71"/>
  <c r="E71" s="1"/>
  <c r="F74"/>
  <c r="E74" s="1"/>
  <c r="F75"/>
  <c r="E75" s="1"/>
  <c r="P156" i="35"/>
  <c r="D165" i="36"/>
  <c r="D164"/>
  <c r="D163"/>
  <c r="D162"/>
  <c r="D161"/>
  <c r="I119" i="22"/>
  <c r="I130" s="1"/>
  <c r="H130" s="1"/>
  <c r="D130"/>
  <c r="C130" s="1"/>
  <c r="D162"/>
  <c r="D161"/>
  <c r="D165"/>
  <c r="D164"/>
  <c r="D163"/>
  <c r="D131"/>
  <c r="C131" s="1"/>
  <c r="F82"/>
  <c r="C61" i="35"/>
  <c r="C60"/>
  <c r="C64"/>
  <c r="C63"/>
  <c r="C62"/>
  <c r="D81"/>
  <c r="D70"/>
  <c r="D132" i="22"/>
  <c r="C132" s="1"/>
  <c r="D60" i="36"/>
  <c r="D62"/>
  <c r="D61"/>
  <c r="D64"/>
  <c r="D63"/>
  <c r="D134" i="22"/>
  <c r="C134" s="1"/>
  <c r="F85"/>
  <c r="E85" s="1"/>
  <c r="D135"/>
  <c r="C135" s="1"/>
  <c r="D64" i="35"/>
  <c r="D63"/>
  <c r="D62"/>
  <c r="D61"/>
  <c r="D60"/>
  <c r="C61" i="36"/>
  <c r="C60"/>
  <c r="C64"/>
  <c r="C63"/>
  <c r="C62"/>
  <c r="D81"/>
  <c r="D70"/>
  <c r="D163" i="35"/>
  <c r="D162"/>
  <c r="D161"/>
  <c r="D165"/>
  <c r="D164"/>
  <c r="C165" i="36"/>
  <c r="C164"/>
  <c r="C163"/>
  <c r="C162"/>
  <c r="C161"/>
  <c r="D133" i="22"/>
  <c r="C133" s="1"/>
  <c r="F84"/>
  <c r="E84" s="1"/>
  <c r="C165"/>
  <c r="C164"/>
  <c r="C163"/>
  <c r="C162"/>
  <c r="C161"/>
  <c r="C162" i="35"/>
  <c r="C161"/>
  <c r="C165"/>
  <c r="C164"/>
  <c r="C163"/>
  <c r="P156" i="36"/>
  <c r="P156" i="22"/>
  <c r="M171"/>
  <c r="F131" l="1"/>
  <c r="K71" i="36"/>
  <c r="H71"/>
  <c r="I84"/>
  <c r="I73"/>
  <c r="I83"/>
  <c r="I72"/>
  <c r="H82"/>
  <c r="J131" s="1"/>
  <c r="J172" s="1"/>
  <c r="K82"/>
  <c r="I131"/>
  <c r="I74"/>
  <c r="I85"/>
  <c r="I83" i="35"/>
  <c r="I72"/>
  <c r="K71"/>
  <c r="H71"/>
  <c r="I84"/>
  <c r="I73"/>
  <c r="I74"/>
  <c r="I85"/>
  <c r="K82"/>
  <c r="H82"/>
  <c r="J131" s="1"/>
  <c r="J172" s="1"/>
  <c r="I131"/>
  <c r="N162" i="22"/>
  <c r="O162"/>
  <c r="F135"/>
  <c r="I85"/>
  <c r="I74"/>
  <c r="H71"/>
  <c r="K71"/>
  <c r="K82"/>
  <c r="H82"/>
  <c r="J131" s="1"/>
  <c r="J172" s="1"/>
  <c r="I131"/>
  <c r="F133"/>
  <c r="E133" s="1"/>
  <c r="E82"/>
  <c r="I73"/>
  <c r="I84"/>
  <c r="I83"/>
  <c r="I72"/>
  <c r="F83"/>
  <c r="F132" s="1"/>
  <c r="E132" s="1"/>
  <c r="I171"/>
  <c r="H171" s="1"/>
  <c r="O162" i="35"/>
  <c r="N162"/>
  <c r="D175" i="22"/>
  <c r="F70" i="36"/>
  <c r="C70"/>
  <c r="D86"/>
  <c r="C86" s="1"/>
  <c r="D75"/>
  <c r="C75" s="1"/>
  <c r="C81" i="35"/>
  <c r="D130" s="1"/>
  <c r="C130" s="1"/>
  <c r="F81"/>
  <c r="D82"/>
  <c r="C82" s="1"/>
  <c r="D71"/>
  <c r="C71" s="1"/>
  <c r="F71" s="1"/>
  <c r="E71" s="1"/>
  <c r="D172" i="22"/>
  <c r="E131"/>
  <c r="E86"/>
  <c r="F134"/>
  <c r="E134" s="1"/>
  <c r="D74" i="36"/>
  <c r="C74" s="1"/>
  <c r="D85"/>
  <c r="C85" s="1"/>
  <c r="C70" i="35"/>
  <c r="F70"/>
  <c r="D86"/>
  <c r="C86" s="1"/>
  <c r="D75"/>
  <c r="C75" s="1"/>
  <c r="F75" s="1"/>
  <c r="E75" s="1"/>
  <c r="D84" i="36"/>
  <c r="C84" s="1"/>
  <c r="D73"/>
  <c r="C73" s="1"/>
  <c r="D83"/>
  <c r="C83" s="1"/>
  <c r="D72"/>
  <c r="C72" s="1"/>
  <c r="D176" i="22"/>
  <c r="E135"/>
  <c r="D173"/>
  <c r="D74" i="35"/>
  <c r="C74" s="1"/>
  <c r="F74" s="1"/>
  <c r="E74" s="1"/>
  <c r="D85"/>
  <c r="C85" s="1"/>
  <c r="F130" i="22"/>
  <c r="E130" s="1"/>
  <c r="E171" s="1"/>
  <c r="D171"/>
  <c r="N162" i="36"/>
  <c r="O162"/>
  <c r="D174" i="22"/>
  <c r="C81" i="36"/>
  <c r="D130" s="1"/>
  <c r="C130" s="1"/>
  <c r="F81"/>
  <c r="D71"/>
  <c r="C71" s="1"/>
  <c r="D82"/>
  <c r="C82" s="1"/>
  <c r="D84" i="35"/>
  <c r="C84" s="1"/>
  <c r="D73"/>
  <c r="C73" s="1"/>
  <c r="F73" s="1"/>
  <c r="E73" s="1"/>
  <c r="D83"/>
  <c r="C83" s="1"/>
  <c r="D72"/>
  <c r="C72" s="1"/>
  <c r="F72" s="1"/>
  <c r="E72" s="1"/>
  <c r="M171" i="36"/>
  <c r="F16" i="32"/>
  <c r="H85" i="36" l="1"/>
  <c r="J134" s="1"/>
  <c r="J175" s="1"/>
  <c r="K85"/>
  <c r="I134"/>
  <c r="H73"/>
  <c r="K73"/>
  <c r="K131"/>
  <c r="H131"/>
  <c r="H83"/>
  <c r="J132" s="1"/>
  <c r="J173" s="1"/>
  <c r="K83"/>
  <c r="I132"/>
  <c r="H84"/>
  <c r="J133" s="1"/>
  <c r="J174" s="1"/>
  <c r="K84"/>
  <c r="I133"/>
  <c r="K74"/>
  <c r="H74"/>
  <c r="H72"/>
  <c r="K72"/>
  <c r="K74" i="35"/>
  <c r="H74"/>
  <c r="K85"/>
  <c r="H85"/>
  <c r="J134" s="1"/>
  <c r="J175" s="1"/>
  <c r="I134"/>
  <c r="K84"/>
  <c r="H84"/>
  <c r="J133" s="1"/>
  <c r="J174" s="1"/>
  <c r="I133"/>
  <c r="K83"/>
  <c r="H83"/>
  <c r="J132" s="1"/>
  <c r="J173" s="1"/>
  <c r="I132"/>
  <c r="K131"/>
  <c r="H131"/>
  <c r="K73"/>
  <c r="H73"/>
  <c r="K72"/>
  <c r="H72"/>
  <c r="N164" i="22"/>
  <c r="N175" s="1"/>
  <c r="N161"/>
  <c r="N172" s="1"/>
  <c r="N173"/>
  <c r="N163"/>
  <c r="N174" s="1"/>
  <c r="N160"/>
  <c r="O163"/>
  <c r="O160"/>
  <c r="O161"/>
  <c r="O164"/>
  <c r="E83"/>
  <c r="K131"/>
  <c r="H131"/>
  <c r="K83"/>
  <c r="I132"/>
  <c r="H83"/>
  <c r="J132" s="1"/>
  <c r="J173" s="1"/>
  <c r="K72"/>
  <c r="H72"/>
  <c r="K85"/>
  <c r="H85"/>
  <c r="J134" s="1"/>
  <c r="J175" s="1"/>
  <c r="I134"/>
  <c r="K84"/>
  <c r="H84"/>
  <c r="J133" s="1"/>
  <c r="J174" s="1"/>
  <c r="I133"/>
  <c r="K73"/>
  <c r="H73"/>
  <c r="K74"/>
  <c r="H74"/>
  <c r="O164" i="35"/>
  <c r="O163"/>
  <c r="O160"/>
  <c r="O161"/>
  <c r="N161"/>
  <c r="N172" s="1"/>
  <c r="N163"/>
  <c r="N174" s="1"/>
  <c r="N160"/>
  <c r="N164"/>
  <c r="N175" s="1"/>
  <c r="N173"/>
  <c r="D132"/>
  <c r="C132" s="1"/>
  <c r="F83"/>
  <c r="F71" i="36"/>
  <c r="E71" s="1"/>
  <c r="C174" i="22"/>
  <c r="D24" i="7"/>
  <c r="E24" s="1"/>
  <c r="F171" i="22"/>
  <c r="F27" i="7" s="1"/>
  <c r="G27" s="1"/>
  <c r="D27"/>
  <c r="C171" i="22"/>
  <c r="F72" i="36"/>
  <c r="E72" s="1"/>
  <c r="D134"/>
  <c r="C134" s="1"/>
  <c r="F85"/>
  <c r="E85" s="1"/>
  <c r="D131" i="35"/>
  <c r="C131" s="1"/>
  <c r="F82"/>
  <c r="D135" i="36"/>
  <c r="C135" s="1"/>
  <c r="F86"/>
  <c r="E86" s="1"/>
  <c r="C175" i="22"/>
  <c r="D26" i="7"/>
  <c r="E26" s="1"/>
  <c r="F82" i="36"/>
  <c r="E82" s="1"/>
  <c r="D131"/>
  <c r="C131" s="1"/>
  <c r="D28" i="7"/>
  <c r="E28" s="1"/>
  <c r="C176" i="22"/>
  <c r="F84" i="36"/>
  <c r="E84" s="1"/>
  <c r="D133"/>
  <c r="C133" s="1"/>
  <c r="F75"/>
  <c r="E75" s="1"/>
  <c r="D133" i="35"/>
  <c r="C133" s="1"/>
  <c r="F84"/>
  <c r="F130" i="36"/>
  <c r="E130" s="1"/>
  <c r="E171" s="1"/>
  <c r="D171"/>
  <c r="N164"/>
  <c r="N175" s="1"/>
  <c r="N161"/>
  <c r="N172" s="1"/>
  <c r="N163"/>
  <c r="N174" s="1"/>
  <c r="N160"/>
  <c r="N173"/>
  <c r="D134" i="35"/>
  <c r="C134" s="1"/>
  <c r="F85"/>
  <c r="E85" s="1"/>
  <c r="F73" i="36"/>
  <c r="E73" s="1"/>
  <c r="D20" i="7"/>
  <c r="C172" i="22"/>
  <c r="F130" i="35"/>
  <c r="E130" s="1"/>
  <c r="E171" s="1"/>
  <c r="D171"/>
  <c r="O163" i="36"/>
  <c r="O160"/>
  <c r="O161"/>
  <c r="O164"/>
  <c r="C173" i="22"/>
  <c r="D22" i="7"/>
  <c r="E22" s="1"/>
  <c r="F83" i="36"/>
  <c r="E83" s="1"/>
  <c r="D132"/>
  <c r="C132" s="1"/>
  <c r="D135" i="35"/>
  <c r="C135" s="1"/>
  <c r="F86"/>
  <c r="E86" s="1"/>
  <c r="F74" i="36"/>
  <c r="E74" s="1"/>
  <c r="AM36" i="38"/>
  <c r="AM32"/>
  <c r="AM34" i="37"/>
  <c r="AM34" i="17"/>
  <c r="AM33" i="38"/>
  <c r="AM35" i="37"/>
  <c r="AM33" i="17"/>
  <c r="AM34" i="38"/>
  <c r="AM36" i="37"/>
  <c r="AM32"/>
  <c r="AM32" i="17"/>
  <c r="AM36"/>
  <c r="AM35" i="38"/>
  <c r="AM33" i="37"/>
  <c r="AM35" i="17"/>
  <c r="AN35" i="38"/>
  <c r="AN33" i="37"/>
  <c r="AN32" i="17"/>
  <c r="AN36"/>
  <c r="AN36" i="38"/>
  <c r="AN32"/>
  <c r="AN34" i="37"/>
  <c r="AN35" i="17"/>
  <c r="AN33" i="38"/>
  <c r="AN35" i="37"/>
  <c r="AN34" i="17"/>
  <c r="AN34" i="38"/>
  <c r="AN36" i="37"/>
  <c r="AN32"/>
  <c r="AN33" i="17"/>
  <c r="W34"/>
  <c r="W36" i="38"/>
  <c r="W35"/>
  <c r="W34"/>
  <c r="W33"/>
  <c r="W32"/>
  <c r="W33" i="17"/>
  <c r="W36" i="37"/>
  <c r="W35"/>
  <c r="W34"/>
  <c r="W33"/>
  <c r="W32"/>
  <c r="W32" i="17"/>
  <c r="W36"/>
  <c r="W35"/>
  <c r="X32"/>
  <c r="X36"/>
  <c r="X35"/>
  <c r="X36" i="38"/>
  <c r="X35"/>
  <c r="X34"/>
  <c r="X33"/>
  <c r="X32"/>
  <c r="X34" i="17"/>
  <c r="X36" i="37"/>
  <c r="X35"/>
  <c r="X34"/>
  <c r="X33"/>
  <c r="X32"/>
  <c r="X33" i="17"/>
  <c r="E27" i="7" l="1"/>
  <c r="I23" i="32" s="1"/>
  <c r="D6" i="39"/>
  <c r="E20" i="7"/>
  <c r="D8" i="39"/>
  <c r="K133" i="36"/>
  <c r="H133"/>
  <c r="K132"/>
  <c r="H132"/>
  <c r="K155"/>
  <c r="K148"/>
  <c r="K134"/>
  <c r="H134"/>
  <c r="H134" i="35"/>
  <c r="K134"/>
  <c r="H132"/>
  <c r="K132"/>
  <c r="K155"/>
  <c r="K148"/>
  <c r="K133"/>
  <c r="H133"/>
  <c r="F133"/>
  <c r="E133" s="1"/>
  <c r="F132"/>
  <c r="E132" s="1"/>
  <c r="P175" i="22"/>
  <c r="M175"/>
  <c r="P172"/>
  <c r="M172"/>
  <c r="P173"/>
  <c r="M173"/>
  <c r="P174"/>
  <c r="M174"/>
  <c r="K133"/>
  <c r="H133"/>
  <c r="K134"/>
  <c r="H134"/>
  <c r="K132"/>
  <c r="H132"/>
  <c r="K148"/>
  <c r="K155"/>
  <c r="P173" i="35"/>
  <c r="M173"/>
  <c r="P172"/>
  <c r="M172"/>
  <c r="P174"/>
  <c r="M174"/>
  <c r="P175"/>
  <c r="M175"/>
  <c r="C171"/>
  <c r="F171"/>
  <c r="F41" i="7" s="1"/>
  <c r="G41" s="1"/>
  <c r="D41"/>
  <c r="D175" i="35"/>
  <c r="P172" i="36"/>
  <c r="M172"/>
  <c r="D172"/>
  <c r="F131"/>
  <c r="E131" s="1"/>
  <c r="D175"/>
  <c r="F134"/>
  <c r="E134" s="1"/>
  <c r="D173" i="35"/>
  <c r="F135"/>
  <c r="E135" s="1"/>
  <c r="F131"/>
  <c r="E131" s="1"/>
  <c r="D173" i="36"/>
  <c r="F132"/>
  <c r="E132" s="1"/>
  <c r="P174"/>
  <c r="M174"/>
  <c r="C171"/>
  <c r="F171"/>
  <c r="F55" i="7" s="1"/>
  <c r="G55" s="1"/>
  <c r="D55"/>
  <c r="D174" i="35"/>
  <c r="D174" i="36"/>
  <c r="F133"/>
  <c r="E133" s="1"/>
  <c r="F175" i="22"/>
  <c r="F26" i="7" s="1"/>
  <c r="G26" s="1"/>
  <c r="F174" i="22"/>
  <c r="F24" i="7" s="1"/>
  <c r="G24" s="1"/>
  <c r="F134" i="35"/>
  <c r="E134" s="1"/>
  <c r="E82"/>
  <c r="F173" i="22"/>
  <c r="F22" i="7" s="1"/>
  <c r="F172" i="22"/>
  <c r="F20" i="7" s="1"/>
  <c r="G20" s="1"/>
  <c r="D176" i="36"/>
  <c r="F135"/>
  <c r="E135" s="1"/>
  <c r="E83" i="35"/>
  <c r="D176"/>
  <c r="P173" i="36"/>
  <c r="M173"/>
  <c r="P175"/>
  <c r="M175"/>
  <c r="F176" i="22"/>
  <c r="F28" i="7" s="1"/>
  <c r="G28" s="1"/>
  <c r="D172" i="35"/>
  <c r="D16" i="27"/>
  <c r="D15"/>
  <c r="E84" i="35"/>
  <c r="AW36" i="38"/>
  <c r="AW32"/>
  <c r="AW34" i="37"/>
  <c r="AW34" i="17"/>
  <c r="AW33" i="38"/>
  <c r="AW35" i="37"/>
  <c r="AW33" i="17"/>
  <c r="AW34" i="38"/>
  <c r="AW36" i="37"/>
  <c r="AW32"/>
  <c r="AW32" i="17"/>
  <c r="AW36"/>
  <c r="AW35" i="38"/>
  <c r="AW33" i="37"/>
  <c r="AW35" i="17"/>
  <c r="AG34"/>
  <c r="AG36" i="38"/>
  <c r="AG35"/>
  <c r="AG34"/>
  <c r="AG33"/>
  <c r="AG32"/>
  <c r="AG33" i="17"/>
  <c r="AG36" i="37"/>
  <c r="AG35"/>
  <c r="AG34"/>
  <c r="AG33"/>
  <c r="AG32"/>
  <c r="AG32" i="17"/>
  <c r="AG36"/>
  <c r="AG35"/>
  <c r="H35" i="38"/>
  <c r="H33"/>
  <c r="H34" i="17"/>
  <c r="H35" i="37"/>
  <c r="H33"/>
  <c r="H33" i="17"/>
  <c r="H36" i="38"/>
  <c r="H34"/>
  <c r="H32"/>
  <c r="H32" i="17"/>
  <c r="H36"/>
  <c r="H36" i="37"/>
  <c r="H34"/>
  <c r="H32"/>
  <c r="H35" i="17"/>
  <c r="E41" i="7" l="1"/>
  <c r="M23" i="32" s="1"/>
  <c r="E6" i="39"/>
  <c r="E55" i="7"/>
  <c r="Q23" i="32" s="1"/>
  <c r="F6" i="39"/>
  <c r="D14"/>
  <c r="D20" s="1"/>
  <c r="D26"/>
  <c r="D32" s="1"/>
  <c r="D12"/>
  <c r="D18" s="1"/>
  <c r="D24"/>
  <c r="D30" s="1"/>
  <c r="K152" i="36"/>
  <c r="M152" s="1"/>
  <c r="K150"/>
  <c r="M150" s="1"/>
  <c r="K151"/>
  <c r="M151" s="1"/>
  <c r="K153"/>
  <c r="M153" s="1"/>
  <c r="K149"/>
  <c r="M149" s="1"/>
  <c r="K146"/>
  <c r="M146" s="1"/>
  <c r="K144"/>
  <c r="M144" s="1"/>
  <c r="L156"/>
  <c r="K143"/>
  <c r="M143" s="1"/>
  <c r="K145"/>
  <c r="M145" s="1"/>
  <c r="K142"/>
  <c r="M142" s="1"/>
  <c r="K153" i="35"/>
  <c r="M153" s="1"/>
  <c r="K152"/>
  <c r="M152" s="1"/>
  <c r="K150"/>
  <c r="M150" s="1"/>
  <c r="K149"/>
  <c r="M149" s="1"/>
  <c r="K151"/>
  <c r="M151" s="1"/>
  <c r="K145"/>
  <c r="M145" s="1"/>
  <c r="K143"/>
  <c r="M143" s="1"/>
  <c r="K146"/>
  <c r="M146" s="1"/>
  <c r="K142"/>
  <c r="M142" s="1"/>
  <c r="K144"/>
  <c r="M144" s="1"/>
  <c r="L156"/>
  <c r="E174" i="22"/>
  <c r="K149"/>
  <c r="M149" s="1"/>
  <c r="K152"/>
  <c r="M152" s="1"/>
  <c r="K150"/>
  <c r="M150" s="1"/>
  <c r="K151"/>
  <c r="M151" s="1"/>
  <c r="K153"/>
  <c r="M153" s="1"/>
  <c r="K142"/>
  <c r="M142" s="1"/>
  <c r="L156"/>
  <c r="K146"/>
  <c r="M146" s="1"/>
  <c r="K144"/>
  <c r="M144" s="1"/>
  <c r="K143"/>
  <c r="M143" s="1"/>
  <c r="K145"/>
  <c r="M145" s="1"/>
  <c r="E173"/>
  <c r="C172" i="35"/>
  <c r="D34" i="7"/>
  <c r="C176" i="35"/>
  <c r="D42" i="7"/>
  <c r="E42" s="1"/>
  <c r="D56"/>
  <c r="E56" s="1"/>
  <c r="C176" i="36"/>
  <c r="G22" i="7"/>
  <c r="C174" i="35"/>
  <c r="D38" i="7"/>
  <c r="E38" s="1"/>
  <c r="C173" i="36"/>
  <c r="D50" i="7"/>
  <c r="E50" s="1"/>
  <c r="C173" i="35"/>
  <c r="D36" i="7"/>
  <c r="E36" s="1"/>
  <c r="E15" i="27"/>
  <c r="E16"/>
  <c r="D54" i="7"/>
  <c r="E54" s="1"/>
  <c r="C175" i="36"/>
  <c r="D52" i="7"/>
  <c r="E52" s="1"/>
  <c r="C174" i="36"/>
  <c r="F15" i="27"/>
  <c r="F16"/>
  <c r="D48" i="7"/>
  <c r="C172" i="36"/>
  <c r="D40" i="7"/>
  <c r="E40" s="1"/>
  <c r="C175" i="35"/>
  <c r="E176" i="22"/>
  <c r="E172"/>
  <c r="E175"/>
  <c r="AX35" i="38"/>
  <c r="AX33" i="37"/>
  <c r="AX32" i="17"/>
  <c r="AX36"/>
  <c r="AX36" i="38"/>
  <c r="AX32"/>
  <c r="AX34" i="37"/>
  <c r="AX35" i="17"/>
  <c r="AX33" i="38"/>
  <c r="AX35" i="37"/>
  <c r="AX34" i="17"/>
  <c r="AX34" i="38"/>
  <c r="AX36" i="37"/>
  <c r="AX32"/>
  <c r="AX33" i="17"/>
  <c r="AV33" i="38"/>
  <c r="AV35" i="37"/>
  <c r="AV32" i="17"/>
  <c r="AV36"/>
  <c r="AV34" i="38"/>
  <c r="AV36" i="37"/>
  <c r="AV32"/>
  <c r="AV35" i="17"/>
  <c r="AV35" i="38"/>
  <c r="AV33" i="37"/>
  <c r="AV34" i="17"/>
  <c r="AV36" i="38"/>
  <c r="AV32"/>
  <c r="AV34" i="37"/>
  <c r="AV33" i="17"/>
  <c r="AF36" i="38"/>
  <c r="AF35"/>
  <c r="AF34"/>
  <c r="AF33"/>
  <c r="AF32"/>
  <c r="AF32" i="17"/>
  <c r="AF36"/>
  <c r="AF36" i="37"/>
  <c r="AF35"/>
  <c r="AF34"/>
  <c r="AF33"/>
  <c r="AF32"/>
  <c r="AF35" i="17"/>
  <c r="AF34"/>
  <c r="AF33"/>
  <c r="AH32"/>
  <c r="AH36"/>
  <c r="AH35"/>
  <c r="AH36" i="38"/>
  <c r="AH35"/>
  <c r="AH34"/>
  <c r="AH33"/>
  <c r="AH32"/>
  <c r="AH34" i="17"/>
  <c r="AH36" i="37"/>
  <c r="AH35"/>
  <c r="AH34"/>
  <c r="AH33"/>
  <c r="AH32"/>
  <c r="AH33" i="17"/>
  <c r="G35" i="37"/>
  <c r="G33"/>
  <c r="G32" i="17"/>
  <c r="G36"/>
  <c r="G36" i="38"/>
  <c r="G34"/>
  <c r="G32"/>
  <c r="G35" i="17"/>
  <c r="G36" i="37"/>
  <c r="G34"/>
  <c r="G32"/>
  <c r="G34" i="17"/>
  <c r="G35" i="38"/>
  <c r="G33"/>
  <c r="G33" i="17"/>
  <c r="D36" i="39" l="1"/>
  <c r="E34" i="7"/>
  <c r="E8" i="39"/>
  <c r="E12"/>
  <c r="E18" s="1"/>
  <c r="E24"/>
  <c r="E30" s="1"/>
  <c r="E48" i="7"/>
  <c r="F8" i="39"/>
  <c r="F12"/>
  <c r="F18" s="1"/>
  <c r="F24"/>
  <c r="F30" s="1"/>
  <c r="M155" i="35"/>
  <c r="M148" i="36"/>
  <c r="M155"/>
  <c r="M148" i="35"/>
  <c r="M155" i="22"/>
  <c r="M148"/>
  <c r="F173" i="35"/>
  <c r="F36" i="7" s="1"/>
  <c r="F174" i="35"/>
  <c r="F38" i="7" s="1"/>
  <c r="F172" i="35"/>
  <c r="F34" i="7" s="1"/>
  <c r="F175" i="35"/>
  <c r="F40" i="7" s="1"/>
  <c r="F175" i="36"/>
  <c r="F54" i="7" s="1"/>
  <c r="F176" i="36"/>
  <c r="F56" i="7" s="1"/>
  <c r="G56" s="1"/>
  <c r="F173" i="36"/>
  <c r="F50" i="7" s="1"/>
  <c r="F176" i="35"/>
  <c r="F42" i="7" s="1"/>
  <c r="G42" s="1"/>
  <c r="F172" i="36"/>
  <c r="F48" i="7" s="1"/>
  <c r="F174" i="36"/>
  <c r="F52" i="7" s="1"/>
  <c r="Q35" i="37"/>
  <c r="Q33"/>
  <c r="Q32" i="17"/>
  <c r="Q36"/>
  <c r="Q36" i="38"/>
  <c r="Q34"/>
  <c r="Q32"/>
  <c r="Q35" i="17"/>
  <c r="Q36" i="37"/>
  <c r="Q34"/>
  <c r="Q32"/>
  <c r="Q34" i="17"/>
  <c r="Q35" i="38"/>
  <c r="Q33"/>
  <c r="Q33" i="17"/>
  <c r="R35" i="38"/>
  <c r="R33"/>
  <c r="R34" i="17"/>
  <c r="R35" i="37"/>
  <c r="R33"/>
  <c r="R33" i="17"/>
  <c r="R36" i="38"/>
  <c r="R34"/>
  <c r="R32"/>
  <c r="R32" i="17"/>
  <c r="R36"/>
  <c r="R36" i="37"/>
  <c r="R34"/>
  <c r="R32"/>
  <c r="R35" i="17"/>
  <c r="M156" i="35" l="1"/>
  <c r="I162" s="1"/>
  <c r="E36" i="39"/>
  <c r="F36"/>
  <c r="E14"/>
  <c r="E20" s="1"/>
  <c r="E26"/>
  <c r="E32" s="1"/>
  <c r="F14"/>
  <c r="F20" s="1"/>
  <c r="F26"/>
  <c r="F32" s="1"/>
  <c r="M156" i="36"/>
  <c r="J162" s="1"/>
  <c r="M156" i="22"/>
  <c r="J162" s="1"/>
  <c r="E173" i="35"/>
  <c r="G48" i="7"/>
  <c r="G50"/>
  <c r="G54"/>
  <c r="G34"/>
  <c r="G36"/>
  <c r="E172" i="36"/>
  <c r="E173"/>
  <c r="E175"/>
  <c r="E172" i="35"/>
  <c r="G52" i="7"/>
  <c r="G40"/>
  <c r="G38"/>
  <c r="E174" i="36"/>
  <c r="E176" i="35"/>
  <c r="E176" i="36"/>
  <c r="E175" i="35"/>
  <c r="E174"/>
  <c r="P36" i="38"/>
  <c r="P34"/>
  <c r="P32"/>
  <c r="P34" i="17"/>
  <c r="P36" i="37"/>
  <c r="P34"/>
  <c r="P32"/>
  <c r="P33" i="17"/>
  <c r="P35" i="38"/>
  <c r="P33"/>
  <c r="P32" i="17"/>
  <c r="P36"/>
  <c r="P35" i="37"/>
  <c r="P33"/>
  <c r="P35" i="17"/>
  <c r="J162" i="35" l="1"/>
  <c r="J163" s="1"/>
  <c r="I162" i="36"/>
  <c r="I164" s="1"/>
  <c r="I175" s="1"/>
  <c r="I162" i="22"/>
  <c r="I161" s="1"/>
  <c r="I172" s="1"/>
  <c r="J163" i="36"/>
  <c r="J161"/>
  <c r="J160"/>
  <c r="J164"/>
  <c r="J161" i="35"/>
  <c r="J160"/>
  <c r="I163"/>
  <c r="I174" s="1"/>
  <c r="I161"/>
  <c r="I172" s="1"/>
  <c r="I164"/>
  <c r="I175" s="1"/>
  <c r="I160"/>
  <c r="I173"/>
  <c r="I160" i="22"/>
  <c r="J161"/>
  <c r="J160"/>
  <c r="J163"/>
  <c r="J164"/>
  <c r="J164" i="35" l="1"/>
  <c r="I161" i="36"/>
  <c r="I172" s="1"/>
  <c r="D47" i="7" s="1"/>
  <c r="I163" i="36"/>
  <c r="I174" s="1"/>
  <c r="H174" s="1"/>
  <c r="I173"/>
  <c r="D49" i="7" s="1"/>
  <c r="E49" s="1"/>
  <c r="I160" i="36"/>
  <c r="I163" i="22"/>
  <c r="I174" s="1"/>
  <c r="H174" s="1"/>
  <c r="I173"/>
  <c r="K173" s="1"/>
  <c r="I164"/>
  <c r="I175" s="1"/>
  <c r="H175" s="1"/>
  <c r="K175" i="36"/>
  <c r="F53" i="7" s="1"/>
  <c r="D53"/>
  <c r="H175" i="36"/>
  <c r="D35" i="7"/>
  <c r="E35" s="1"/>
  <c r="K173" i="35"/>
  <c r="H173"/>
  <c r="D37" i="7"/>
  <c r="H174" i="35"/>
  <c r="K174"/>
  <c r="F37" i="7" s="1"/>
  <c r="D33"/>
  <c r="E9" i="32"/>
  <c r="H172" i="35"/>
  <c r="K172"/>
  <c r="F33" i="7" s="1"/>
  <c r="D39"/>
  <c r="H175" i="35"/>
  <c r="K175"/>
  <c r="F39" i="7" s="1"/>
  <c r="D19"/>
  <c r="D9" i="32"/>
  <c r="K172" i="22"/>
  <c r="F19" i="7" s="1"/>
  <c r="H172" i="22"/>
  <c r="D21" i="7" l="1"/>
  <c r="E21" s="1"/>
  <c r="H172" i="36"/>
  <c r="K172"/>
  <c r="F47" i="7" s="1"/>
  <c r="F6" i="19" s="1"/>
  <c r="F11" s="1"/>
  <c r="F16" s="1"/>
  <c r="F21" s="1"/>
  <c r="K174" i="36"/>
  <c r="F51" i="7" s="1"/>
  <c r="F6" i="24" s="1"/>
  <c r="F11" s="1"/>
  <c r="H173" i="22"/>
  <c r="D51" i="7"/>
  <c r="E51" s="1"/>
  <c r="K175" i="22"/>
  <c r="F25" i="7" s="1"/>
  <c r="G25" s="1"/>
  <c r="H173" i="36"/>
  <c r="K174" i="22"/>
  <c r="F23" i="7" s="1"/>
  <c r="D6" i="24" s="1"/>
  <c r="D11" s="1"/>
  <c r="D23" i="7"/>
  <c r="E23" s="1"/>
  <c r="E33"/>
  <c r="E7" i="39"/>
  <c r="E47" i="7"/>
  <c r="F7" i="39"/>
  <c r="E19" i="7"/>
  <c r="D7" i="39"/>
  <c r="E53" i="7"/>
  <c r="F26" i="24"/>
  <c r="F31" s="1"/>
  <c r="F37" s="1"/>
  <c r="E37" i="7"/>
  <c r="E25" i="24"/>
  <c r="E30" s="1"/>
  <c r="E39" i="7"/>
  <c r="E26" i="24"/>
  <c r="E31" s="1"/>
  <c r="E37" s="1"/>
  <c r="D25" i="7"/>
  <c r="F9" i="32"/>
  <c r="K173" i="36"/>
  <c r="F49" i="7" s="1"/>
  <c r="F7" i="19" s="1"/>
  <c r="F12" s="1"/>
  <c r="F17" s="1"/>
  <c r="F22" s="1"/>
  <c r="G53" i="7"/>
  <c r="F7" i="24"/>
  <c r="F12" s="1"/>
  <c r="F19" s="1"/>
  <c r="G39" i="7"/>
  <c r="E7" i="24"/>
  <c r="E12" s="1"/>
  <c r="E19" s="1"/>
  <c r="G33" i="7"/>
  <c r="E6" i="19"/>
  <c r="E11" s="1"/>
  <c r="E16" s="1"/>
  <c r="E21" s="1"/>
  <c r="G37" i="7"/>
  <c r="E6" i="24"/>
  <c r="E11" s="1"/>
  <c r="F35" i="7"/>
  <c r="E7" i="19" s="1"/>
  <c r="E12" s="1"/>
  <c r="E17" s="1"/>
  <c r="E22" s="1"/>
  <c r="D6"/>
  <c r="D11" s="1"/>
  <c r="D16" s="1"/>
  <c r="D21" s="1"/>
  <c r="G19" i="7"/>
  <c r="F21"/>
  <c r="D7" i="19" s="1"/>
  <c r="D12" s="1"/>
  <c r="D17" s="1"/>
  <c r="D22" s="1"/>
  <c r="G47" i="7" l="1"/>
  <c r="G51"/>
  <c r="F25" i="24"/>
  <c r="F30" s="1"/>
  <c r="F36" s="1"/>
  <c r="D7"/>
  <c r="D12" s="1"/>
  <c r="D19" s="1"/>
  <c r="G23" i="7"/>
  <c r="D25" i="24"/>
  <c r="D30" s="1"/>
  <c r="D36" s="1"/>
  <c r="E13" i="39"/>
  <c r="E19" s="1"/>
  <c r="E25"/>
  <c r="E31" s="1"/>
  <c r="D13"/>
  <c r="D19" s="1"/>
  <c r="D25"/>
  <c r="D31" s="1"/>
  <c r="F13"/>
  <c r="F19" s="1"/>
  <c r="F25"/>
  <c r="F31" s="1"/>
  <c r="E36" i="24"/>
  <c r="E32"/>
  <c r="E38" s="1"/>
  <c r="E48" s="1"/>
  <c r="E25" i="7"/>
  <c r="D26" i="24"/>
  <c r="D31" s="1"/>
  <c r="D37" s="1"/>
  <c r="F13"/>
  <c r="F20" s="1"/>
  <c r="F18"/>
  <c r="F47" s="1"/>
  <c r="F14"/>
  <c r="F21" s="1"/>
  <c r="G49" i="7"/>
  <c r="AN27" i="38"/>
  <c r="AN22" i="37"/>
  <c r="AN21"/>
  <c r="AN29"/>
  <c r="AN27"/>
  <c r="AN29" i="38"/>
  <c r="AN24" i="37"/>
  <c r="AN22" i="38"/>
  <c r="AN31"/>
  <c r="AN26"/>
  <c r="AN25" i="17"/>
  <c r="AN17" i="38"/>
  <c r="AN23"/>
  <c r="AN22" i="17"/>
  <c r="AN24" i="38"/>
  <c r="AN28" i="37"/>
  <c r="AN19" i="17"/>
  <c r="AN17"/>
  <c r="AN28"/>
  <c r="AN30" i="38"/>
  <c r="AN28"/>
  <c r="AN29" i="17"/>
  <c r="AN26"/>
  <c r="AN21" i="38"/>
  <c r="AN30" i="17"/>
  <c r="AN30" i="37"/>
  <c r="AN19"/>
  <c r="AN25"/>
  <c r="AN18"/>
  <c r="AN20"/>
  <c r="AN24" i="17"/>
  <c r="AN19" i="38"/>
  <c r="AN23" i="37"/>
  <c r="AN20" i="38"/>
  <c r="AN18"/>
  <c r="AN26" i="37"/>
  <c r="AN31"/>
  <c r="AN17"/>
  <c r="AN18" i="17"/>
  <c r="AN31"/>
  <c r="AN27"/>
  <c r="AN21"/>
  <c r="AN20"/>
  <c r="AN25" i="38"/>
  <c r="AN23" i="17"/>
  <c r="AM24" i="38"/>
  <c r="AM21" i="17"/>
  <c r="AM21" i="37"/>
  <c r="AM17" i="38"/>
  <c r="AM30"/>
  <c r="AM29" i="37"/>
  <c r="AM30"/>
  <c r="AM22" i="38"/>
  <c r="AM23" i="17"/>
  <c r="AM27" i="37"/>
  <c r="AM19" i="38"/>
  <c r="AM22" i="17"/>
  <c r="AM24" i="37"/>
  <c r="AM20" i="38"/>
  <c r="AM25" i="17"/>
  <c r="AM17" i="37"/>
  <c r="AM29" i="38"/>
  <c r="AM27"/>
  <c r="AM30" i="17"/>
  <c r="AM26" i="38"/>
  <c r="AM28"/>
  <c r="AM17" i="17"/>
  <c r="AM25" i="37"/>
  <c r="AM21" i="38"/>
  <c r="AM24" i="17"/>
  <c r="AM26" i="37"/>
  <c r="AM18" i="38"/>
  <c r="AM27" i="17"/>
  <c r="AM22" i="37"/>
  <c r="AM19"/>
  <c r="AM20" i="17"/>
  <c r="AM23" i="37"/>
  <c r="AM31" i="38"/>
  <c r="AM26" i="17"/>
  <c r="AM20" i="37"/>
  <c r="AM18"/>
  <c r="AM29" i="17"/>
  <c r="AM19"/>
  <c r="AM31" i="37"/>
  <c r="AM23" i="38"/>
  <c r="AM18" i="17"/>
  <c r="AM28" i="37"/>
  <c r="AM28" i="17"/>
  <c r="AM31"/>
  <c r="AM25" i="38"/>
  <c r="E18" i="24"/>
  <c r="E47" s="1"/>
  <c r="E14"/>
  <c r="E21" s="1"/>
  <c r="E13"/>
  <c r="E20" s="1"/>
  <c r="G35" i="7"/>
  <c r="X30" i="37"/>
  <c r="X20" i="38"/>
  <c r="X19" i="37"/>
  <c r="X29" i="38"/>
  <c r="X23" i="17"/>
  <c r="X31" i="37"/>
  <c r="X19" i="17"/>
  <c r="X20" i="37"/>
  <c r="X22" i="38"/>
  <c r="X25" i="37"/>
  <c r="X31" i="38"/>
  <c r="X20" i="17"/>
  <c r="X21" i="37"/>
  <c r="X27" i="38"/>
  <c r="X17"/>
  <c r="X18" i="17"/>
  <c r="X21"/>
  <c r="X30"/>
  <c r="X28" i="38"/>
  <c r="X27" i="37"/>
  <c r="X24" i="17"/>
  <c r="X22"/>
  <c r="X31"/>
  <c r="X21" i="38"/>
  <c r="X28" i="37"/>
  <c r="X30" i="38"/>
  <c r="X17" i="37"/>
  <c r="X23" i="38"/>
  <c r="X25" i="17"/>
  <c r="X29" i="37"/>
  <c r="X27" i="17"/>
  <c r="X25" i="38"/>
  <c r="X17" i="17"/>
  <c r="X18" i="38"/>
  <c r="X22" i="37"/>
  <c r="X28" i="17"/>
  <c r="X26"/>
  <c r="X18" i="37"/>
  <c r="X24"/>
  <c r="X26" i="38"/>
  <c r="X29" i="17"/>
  <c r="X19" i="38"/>
  <c r="X26" i="37"/>
  <c r="X24" i="38"/>
  <c r="X23" i="37"/>
  <c r="W26"/>
  <c r="W19" i="17"/>
  <c r="W17"/>
  <c r="W28"/>
  <c r="W27" i="38"/>
  <c r="W21" i="37"/>
  <c r="W30" i="38"/>
  <c r="W21" i="17"/>
  <c r="W18"/>
  <c r="W18" i="38"/>
  <c r="W20" i="37"/>
  <c r="W21" i="38"/>
  <c r="W27" i="37"/>
  <c r="W22" i="17"/>
  <c r="W30" i="37"/>
  <c r="W24" i="17"/>
  <c r="W20" i="38"/>
  <c r="W18" i="37"/>
  <c r="W31" i="38"/>
  <c r="W25" i="37"/>
  <c r="W30" i="17"/>
  <c r="W19" i="38"/>
  <c r="W22"/>
  <c r="W24" i="37"/>
  <c r="W25" i="38"/>
  <c r="W31" i="37"/>
  <c r="W31" i="17"/>
  <c r="W29"/>
  <c r="W19" i="37"/>
  <c r="W24" i="38"/>
  <c r="W22" i="37"/>
  <c r="W26" i="17"/>
  <c r="W29" i="37"/>
  <c r="W23" i="17"/>
  <c r="W23" i="38"/>
  <c r="W17" i="37"/>
  <c r="W26" i="38"/>
  <c r="W28" i="37"/>
  <c r="W29" i="38"/>
  <c r="W25" i="17"/>
  <c r="W20"/>
  <c r="W17" i="38"/>
  <c r="W23" i="37"/>
  <c r="W28" i="38"/>
  <c r="W27" i="17"/>
  <c r="G29" i="37"/>
  <c r="G30"/>
  <c r="G25" i="38"/>
  <c r="G21"/>
  <c r="G17"/>
  <c r="G25" i="37"/>
  <c r="G21"/>
  <c r="G17"/>
  <c r="G21" i="17"/>
  <c r="G28"/>
  <c r="G17"/>
  <c r="G31" i="37"/>
  <c r="G31" i="17"/>
  <c r="G29"/>
  <c r="G26" i="38"/>
  <c r="G22"/>
  <c r="G18"/>
  <c r="G26" i="37"/>
  <c r="G22"/>
  <c r="G18"/>
  <c r="G26" i="17"/>
  <c r="G24"/>
  <c r="G27"/>
  <c r="G30" i="38"/>
  <c r="G29"/>
  <c r="G27"/>
  <c r="G23"/>
  <c r="G19"/>
  <c r="G27" i="37"/>
  <c r="G23"/>
  <c r="G19"/>
  <c r="G22" i="17"/>
  <c r="G20"/>
  <c r="G23"/>
  <c r="G30"/>
  <c r="G31" i="38"/>
  <c r="G28"/>
  <c r="G24"/>
  <c r="G20"/>
  <c r="G28" i="37"/>
  <c r="G24"/>
  <c r="G20"/>
  <c r="G18" i="17"/>
  <c r="G25"/>
  <c r="G19"/>
  <c r="D18" i="24"/>
  <c r="D47" s="1"/>
  <c r="D14"/>
  <c r="D21" s="1"/>
  <c r="D13"/>
  <c r="D20" s="1"/>
  <c r="G21" i="7"/>
  <c r="H27" i="38"/>
  <c r="H23" i="37"/>
  <c r="H26" i="17"/>
  <c r="H28" i="38"/>
  <c r="H24" i="37"/>
  <c r="H30" i="38"/>
  <c r="H25" i="37"/>
  <c r="H18" i="17"/>
  <c r="H31"/>
  <c r="H26" i="37"/>
  <c r="H17" i="17"/>
  <c r="H30" i="37"/>
  <c r="H27"/>
  <c r="H27" i="17"/>
  <c r="H31" i="37"/>
  <c r="H28"/>
  <c r="H29" i="38"/>
  <c r="H17"/>
  <c r="H19" i="17"/>
  <c r="H29"/>
  <c r="H18" i="38"/>
  <c r="H28" i="17"/>
  <c r="H29" i="37"/>
  <c r="H19" i="38"/>
  <c r="H24" i="17"/>
  <c r="H30"/>
  <c r="H20" i="38"/>
  <c r="H23" i="17"/>
  <c r="H21" i="38"/>
  <c r="H17" i="37"/>
  <c r="H31" i="38"/>
  <c r="H22"/>
  <c r="H18" i="37"/>
  <c r="H20" i="17"/>
  <c r="H23" i="38"/>
  <c r="H19" i="37"/>
  <c r="H22" i="17"/>
  <c r="H24" i="38"/>
  <c r="H20" i="37"/>
  <c r="H25" i="38"/>
  <c r="H21" i="37"/>
  <c r="H25" i="17"/>
  <c r="H26" i="38"/>
  <c r="H22" i="37"/>
  <c r="H21" i="17"/>
  <c r="F32" i="24" l="1"/>
  <c r="F38" s="1"/>
  <c r="F48" s="1"/>
  <c r="E37" i="39"/>
  <c r="F37"/>
  <c r="D37"/>
  <c r="D32" i="24"/>
  <c r="D38" s="1"/>
  <c r="D48" s="1"/>
  <c r="F46"/>
  <c r="AW20" i="38"/>
  <c r="AW25" i="17"/>
  <c r="AW17" i="37"/>
  <c r="AW29" i="38"/>
  <c r="AW27"/>
  <c r="AW30" i="17"/>
  <c r="AW26" i="38"/>
  <c r="AW28"/>
  <c r="AW17" i="17"/>
  <c r="AW25" i="37"/>
  <c r="AW26"/>
  <c r="AW18" i="38"/>
  <c r="AW27" i="17"/>
  <c r="AW23" i="37"/>
  <c r="AW31" i="38"/>
  <c r="AW26" i="17"/>
  <c r="AW20" i="37"/>
  <c r="AW18"/>
  <c r="AW29" i="17"/>
  <c r="AW19"/>
  <c r="AW31" i="37"/>
  <c r="AW23" i="38"/>
  <c r="AW18" i="17"/>
  <c r="AW28" i="37"/>
  <c r="AW24" i="38"/>
  <c r="AW21" i="17"/>
  <c r="AW21" i="37"/>
  <c r="AW17" i="38"/>
  <c r="AW28" i="17"/>
  <c r="AW22" i="37"/>
  <c r="AW30" i="38"/>
  <c r="AW31" i="17"/>
  <c r="AW24"/>
  <c r="AW19" i="37"/>
  <c r="AW29"/>
  <c r="AW25" i="38"/>
  <c r="AW20" i="17"/>
  <c r="AW30" i="37"/>
  <c r="AW22" i="38"/>
  <c r="AW23" i="17"/>
  <c r="AW27" i="37"/>
  <c r="AW19" i="38"/>
  <c r="AW22" i="17"/>
  <c r="AW24" i="37"/>
  <c r="AW21" i="38"/>
  <c r="I10" i="8"/>
  <c r="F10" i="27"/>
  <c r="F9"/>
  <c r="I9" i="8"/>
  <c r="AG27" i="38"/>
  <c r="AG21" i="37"/>
  <c r="AG30" i="38"/>
  <c r="AG21" i="17"/>
  <c r="AG18"/>
  <c r="AG18" i="38"/>
  <c r="AG20" i="37"/>
  <c r="AG27"/>
  <c r="AG22" i="17"/>
  <c r="AG24"/>
  <c r="AG20" i="38"/>
  <c r="AG18" i="37"/>
  <c r="AG31" i="38"/>
  <c r="AG25" i="37"/>
  <c r="AG30" i="17"/>
  <c r="AG19" i="38"/>
  <c r="AG27" i="17"/>
  <c r="AG22" i="38"/>
  <c r="AG24" i="37"/>
  <c r="AG25" i="38"/>
  <c r="AG31" i="37"/>
  <c r="AG29"/>
  <c r="AG23" i="38"/>
  <c r="AG26"/>
  <c r="AG31" i="17"/>
  <c r="AG29"/>
  <c r="AG19" i="37"/>
  <c r="AG24" i="38"/>
  <c r="AG22" i="37"/>
  <c r="AG26" i="17"/>
  <c r="AG23"/>
  <c r="AG17" i="37"/>
  <c r="AG28"/>
  <c r="AG29" i="38"/>
  <c r="AG25" i="17"/>
  <c r="AG20"/>
  <c r="AG17" i="38"/>
  <c r="AG23" i="37"/>
  <c r="AG28" i="38"/>
  <c r="AG26" i="37"/>
  <c r="AG19" i="17"/>
  <c r="AG17"/>
  <c r="AG28"/>
  <c r="AG21" i="38"/>
  <c r="AG30" i="37"/>
  <c r="F10" i="8"/>
  <c r="E10" i="27"/>
  <c r="E9"/>
  <c r="E46" i="24"/>
  <c r="F9" i="8"/>
  <c r="Q29" i="37"/>
  <c r="Q30"/>
  <c r="Q27" i="38"/>
  <c r="Q23"/>
  <c r="Q19"/>
  <c r="Q27" i="37"/>
  <c r="Q23"/>
  <c r="Q19"/>
  <c r="Q18" i="17"/>
  <c r="Q22"/>
  <c r="Q31" i="37"/>
  <c r="Q31" i="17"/>
  <c r="Q29"/>
  <c r="Q28" i="38"/>
  <c r="Q24"/>
  <c r="Q20"/>
  <c r="Q28" i="37"/>
  <c r="Q24"/>
  <c r="Q20"/>
  <c r="Q17" i="17"/>
  <c r="Q21"/>
  <c r="Q25"/>
  <c r="Q20"/>
  <c r="Q28"/>
  <c r="Q30" i="38"/>
  <c r="Q29"/>
  <c r="Q25"/>
  <c r="Q21"/>
  <c r="Q17"/>
  <c r="Q25" i="37"/>
  <c r="Q21"/>
  <c r="Q17"/>
  <c r="Q24" i="17"/>
  <c r="Q30"/>
  <c r="Q31" i="38"/>
  <c r="Q26"/>
  <c r="Q22"/>
  <c r="Q18"/>
  <c r="Q26" i="37"/>
  <c r="Q22"/>
  <c r="Q18"/>
  <c r="Q19" i="17"/>
  <c r="Q23"/>
  <c r="Q27"/>
  <c r="Q26"/>
  <c r="D9" i="27"/>
  <c r="D10"/>
  <c r="C9" i="8"/>
  <c r="D46" i="24"/>
  <c r="C10" i="8"/>
  <c r="F20" i="27" l="1"/>
  <c r="F22" s="1"/>
  <c r="AU31" i="17" s="1"/>
  <c r="AX27" i="37"/>
  <c r="AX23" i="38"/>
  <c r="AX23" i="17"/>
  <c r="AX24" i="37"/>
  <c r="AX20" i="38"/>
  <c r="AX26" i="17"/>
  <c r="AX21" i="37"/>
  <c r="AX29" i="38"/>
  <c r="AX29" i="17"/>
  <c r="AX31"/>
  <c r="AX26" i="38"/>
  <c r="AX28"/>
  <c r="AX18" i="17"/>
  <c r="AX29" i="37"/>
  <c r="AX21" i="38"/>
  <c r="AX21" i="17"/>
  <c r="AX26" i="37"/>
  <c r="AX18" i="38"/>
  <c r="AX24" i="17"/>
  <c r="AX23" i="37"/>
  <c r="AX19" i="38"/>
  <c r="AX27" i="17"/>
  <c r="AX20" i="37"/>
  <c r="AX18"/>
  <c r="AX30" i="17"/>
  <c r="AX17" i="37"/>
  <c r="AX31"/>
  <c r="AX27" i="38"/>
  <c r="AX19" i="17"/>
  <c r="AX28" i="37"/>
  <c r="AX24" i="38"/>
  <c r="AX22" i="17"/>
  <c r="AX25" i="37"/>
  <c r="AX17" i="38"/>
  <c r="AX25" i="17"/>
  <c r="AX22" i="37"/>
  <c r="AX30" i="38"/>
  <c r="AX28" i="17"/>
  <c r="AX19" i="37"/>
  <c r="AX31" i="38"/>
  <c r="AX25"/>
  <c r="AX17" i="17"/>
  <c r="AX30" i="37"/>
  <c r="AX22" i="38"/>
  <c r="AX20" i="17"/>
  <c r="AU29" i="38"/>
  <c r="AU27" i="17"/>
  <c r="AU24" i="37"/>
  <c r="AU23"/>
  <c r="AU30"/>
  <c r="AU23" i="17"/>
  <c r="AU20" i="38"/>
  <c r="AU26"/>
  <c r="AU29" i="37"/>
  <c r="AU19" i="38"/>
  <c r="AU31" i="37"/>
  <c r="AV22"/>
  <c r="AV24" i="17"/>
  <c r="AV19" i="38"/>
  <c r="AV23" i="37"/>
  <c r="AV27" i="17"/>
  <c r="AV18" i="37"/>
  <c r="AV20"/>
  <c r="AV29"/>
  <c r="AV23" i="38"/>
  <c r="AV26" i="37"/>
  <c r="AV20" i="17"/>
  <c r="AV20" i="38"/>
  <c r="AV27" i="37"/>
  <c r="AV23" i="17"/>
  <c r="AV17" i="38"/>
  <c r="AV24" i="37"/>
  <c r="AV26" i="17"/>
  <c r="AV30" i="38"/>
  <c r="AV17" i="37"/>
  <c r="AV30" i="17"/>
  <c r="AV29" i="38"/>
  <c r="AV27"/>
  <c r="AV30" i="37"/>
  <c r="AV19" i="17"/>
  <c r="AV24" i="38"/>
  <c r="AV31" i="37"/>
  <c r="AV22" i="17"/>
  <c r="AV21" i="38"/>
  <c r="AV28" i="37"/>
  <c r="AV25" i="17"/>
  <c r="AV18" i="38"/>
  <c r="AV21" i="37"/>
  <c r="AV17" i="17"/>
  <c r="AV28"/>
  <c r="AV31" i="38"/>
  <c r="AV29" i="17"/>
  <c r="AV31"/>
  <c r="AV28" i="38"/>
  <c r="AV26"/>
  <c r="AV18" i="17"/>
  <c r="AV25" i="38"/>
  <c r="AV25" i="37"/>
  <c r="AV21" i="17"/>
  <c r="AV22" i="38"/>
  <c r="AV19" i="37"/>
  <c r="I19" i="8"/>
  <c r="F19"/>
  <c r="E20" i="27"/>
  <c r="E22" s="1"/>
  <c r="AF17" i="37"/>
  <c r="AF26" i="38"/>
  <c r="AF28" i="37"/>
  <c r="AF21" i="17"/>
  <c r="AF28"/>
  <c r="AF19"/>
  <c r="AF21" i="38"/>
  <c r="AF23" i="37"/>
  <c r="AF28" i="38"/>
  <c r="AF26" i="37"/>
  <c r="AF18" i="17"/>
  <c r="AF20"/>
  <c r="AF27"/>
  <c r="AF27" i="38"/>
  <c r="AF21" i="37"/>
  <c r="AF30" i="38"/>
  <c r="AF24" i="17"/>
  <c r="AF26"/>
  <c r="AF18" i="38"/>
  <c r="AF20" i="37"/>
  <c r="AF25" i="38"/>
  <c r="AF27" i="37"/>
  <c r="AF25" i="17"/>
  <c r="AF30" i="37"/>
  <c r="AF23" i="17"/>
  <c r="AF20" i="38"/>
  <c r="AF18" i="37"/>
  <c r="AF31" i="38"/>
  <c r="AF25" i="37"/>
  <c r="AF17" i="17"/>
  <c r="AF19" i="38"/>
  <c r="AF31" i="17"/>
  <c r="AF22" i="38"/>
  <c r="AF24" i="37"/>
  <c r="AF29" i="38"/>
  <c r="AF31" i="37"/>
  <c r="AF30" i="17"/>
  <c r="AF17" i="38"/>
  <c r="AF19" i="37"/>
  <c r="AF24" i="38"/>
  <c r="AF22" i="37"/>
  <c r="AF29" i="17"/>
  <c r="AF29" i="37"/>
  <c r="AF22" i="17"/>
  <c r="AF23" i="38"/>
  <c r="AH28" i="37"/>
  <c r="AH18" i="38"/>
  <c r="AH21"/>
  <c r="AH21" i="17"/>
  <c r="AH27" i="38"/>
  <c r="AH21" i="37"/>
  <c r="AH31" i="17"/>
  <c r="AH22"/>
  <c r="AH24"/>
  <c r="AH22" i="38"/>
  <c r="AH20" i="37"/>
  <c r="AH25" i="38"/>
  <c r="AH31" i="37"/>
  <c r="AH23" i="17"/>
  <c r="AH30"/>
  <c r="AH19" i="37"/>
  <c r="AH20" i="38"/>
  <c r="AH31"/>
  <c r="AH20" i="17"/>
  <c r="AH29"/>
  <c r="AH24" i="37"/>
  <c r="AH26" i="17"/>
  <c r="AH28" i="38"/>
  <c r="AH18" i="37"/>
  <c r="AH22"/>
  <c r="AH25"/>
  <c r="AH19" i="38"/>
  <c r="AH26"/>
  <c r="AH29"/>
  <c r="AH30" i="37"/>
  <c r="AH28" i="17"/>
  <c r="AH17" i="38"/>
  <c r="AH23" i="37"/>
  <c r="AH24" i="38"/>
  <c r="AH26" i="37"/>
  <c r="AH27" i="17"/>
  <c r="AH29" i="37"/>
  <c r="AH25" i="17"/>
  <c r="AH23" i="38"/>
  <c r="AH17" i="37"/>
  <c r="AH30" i="38"/>
  <c r="AH19" i="17"/>
  <c r="AH17"/>
  <c r="AH27" i="37"/>
  <c r="AH18" i="17"/>
  <c r="D20" i="27"/>
  <c r="D22" s="1"/>
  <c r="O21" i="38" s="1"/>
  <c r="C19" i="8"/>
  <c r="R31" i="38"/>
  <c r="R29" i="37"/>
  <c r="R30"/>
  <c r="R27" i="38"/>
  <c r="R23"/>
  <c r="R19"/>
  <c r="R27" i="37"/>
  <c r="R19"/>
  <c r="R22" i="17"/>
  <c r="R30"/>
  <c r="R31" i="37"/>
  <c r="R28" i="38"/>
  <c r="R24"/>
  <c r="R20"/>
  <c r="R28" i="37"/>
  <c r="R24"/>
  <c r="R20"/>
  <c r="R17" i="17"/>
  <c r="R21"/>
  <c r="R25"/>
  <c r="R21" i="37"/>
  <c r="R20" i="17"/>
  <c r="R28"/>
  <c r="R30" i="38"/>
  <c r="R25"/>
  <c r="R21"/>
  <c r="R17"/>
  <c r="R25" i="37"/>
  <c r="R17"/>
  <c r="R24" i="17"/>
  <c r="R29"/>
  <c r="R31"/>
  <c r="R26" i="38"/>
  <c r="R22"/>
  <c r="R18"/>
  <c r="R26" i="37"/>
  <c r="R22"/>
  <c r="R18"/>
  <c r="R19" i="17"/>
  <c r="R23"/>
  <c r="R27"/>
  <c r="R23" i="37"/>
  <c r="R18" i="17"/>
  <c r="R26"/>
  <c r="R29" i="38"/>
  <c r="P29" i="17"/>
  <c r="P31" i="38"/>
  <c r="P31" i="17"/>
  <c r="P26" i="38"/>
  <c r="P22"/>
  <c r="P28" i="37"/>
  <c r="P20"/>
  <c r="P23" i="17"/>
  <c r="P30" i="37"/>
  <c r="P29"/>
  <c r="P27" i="38"/>
  <c r="P23"/>
  <c r="P19"/>
  <c r="P25" i="17"/>
  <c r="P25" i="37"/>
  <c r="P21"/>
  <c r="P17"/>
  <c r="P22" i="17"/>
  <c r="P26"/>
  <c r="P20" i="38"/>
  <c r="P26" i="37"/>
  <c r="P18"/>
  <c r="P28" i="17"/>
  <c r="P30"/>
  <c r="P31" i="37"/>
  <c r="P28" i="38"/>
  <c r="P24"/>
  <c r="P17" i="17"/>
  <c r="P22" i="37"/>
  <c r="P21" i="17"/>
  <c r="P30" i="38"/>
  <c r="P29"/>
  <c r="P25"/>
  <c r="P21"/>
  <c r="P17"/>
  <c r="P27" i="37"/>
  <c r="P23"/>
  <c r="P19"/>
  <c r="P19" i="17"/>
  <c r="P20"/>
  <c r="P24"/>
  <c r="P18" i="38"/>
  <c r="P24" i="37"/>
  <c r="P18" i="17"/>
  <c r="P27"/>
  <c r="F18" i="8" l="1"/>
  <c r="I18"/>
  <c r="C18"/>
  <c r="O27" i="17"/>
  <c r="O24"/>
  <c r="O26" i="38"/>
  <c r="O22" i="17"/>
  <c r="O24" i="38"/>
  <c r="O25"/>
  <c r="O20"/>
  <c r="O25" i="37"/>
  <c r="O20"/>
  <c r="O27"/>
  <c r="O19" i="17"/>
  <c r="O17" i="37"/>
  <c r="O19"/>
  <c r="O23" i="38"/>
  <c r="O18" i="17"/>
  <c r="O21" i="37"/>
  <c r="O22"/>
  <c r="O18" i="38"/>
  <c r="O21" i="17"/>
  <c r="O23"/>
  <c r="O31" i="38"/>
  <c r="O28"/>
  <c r="O28" i="17"/>
  <c r="O31"/>
  <c r="O31" i="37"/>
  <c r="O17" i="38"/>
  <c r="O27"/>
  <c r="O30" i="17"/>
  <c r="O20"/>
  <c r="O30" i="38"/>
  <c r="O18" i="37"/>
  <c r="O17" i="17"/>
  <c r="O29"/>
  <c r="O28" i="37"/>
  <c r="O26"/>
  <c r="O22" i="38"/>
  <c r="O25" i="17"/>
  <c r="O23" i="37"/>
  <c r="O29"/>
  <c r="O29" i="38"/>
  <c r="O19"/>
  <c r="O26" i="17"/>
  <c r="O30" i="37"/>
  <c r="O24"/>
  <c r="AU27" i="38"/>
  <c r="AU21"/>
  <c r="AU28" i="17"/>
  <c r="AU18" i="37"/>
  <c r="AU19" i="17"/>
  <c r="AU31" i="38"/>
  <c r="AU23"/>
  <c r="AU18" i="17"/>
  <c r="AU22" i="37"/>
  <c r="AU17" i="38"/>
  <c r="AU30" i="17"/>
  <c r="AU17" i="37"/>
  <c r="AU27"/>
  <c r="AU28" i="38"/>
  <c r="AU25"/>
  <c r="AU24" i="17"/>
  <c r="AU21" i="37"/>
  <c r="AU26" i="17"/>
  <c r="AU18" i="38"/>
  <c r="AU29" i="17"/>
  <c r="AU25" i="37"/>
  <c r="AU30" i="38"/>
  <c r="AU25" i="17"/>
  <c r="AU22"/>
  <c r="AU26" i="37"/>
  <c r="AU24" i="38"/>
  <c r="AU19" i="37"/>
  <c r="AU20" i="17"/>
  <c r="AU28" i="37"/>
  <c r="AU20"/>
  <c r="AU17" i="17"/>
  <c r="AU22" i="38"/>
  <c r="AU21" i="17"/>
  <c r="I20" i="8"/>
  <c r="AE18" i="38"/>
  <c r="AE21" i="37"/>
  <c r="AE31"/>
  <c r="AE23" i="38"/>
  <c r="AE19" i="17"/>
  <c r="AE26" i="38"/>
  <c r="AE18" i="17"/>
  <c r="AE18" i="37"/>
  <c r="AE27" i="17"/>
  <c r="AE20" i="38"/>
  <c r="AE19" i="37"/>
  <c r="AE24" i="17"/>
  <c r="AE26"/>
  <c r="AE20" i="37"/>
  <c r="AE26"/>
  <c r="AE17" i="17"/>
  <c r="AE28" i="38"/>
  <c r="AE27" i="37"/>
  <c r="AE19" i="38"/>
  <c r="AE21"/>
  <c r="AE28" i="37"/>
  <c r="AE21" i="17"/>
  <c r="AE22" i="38"/>
  <c r="AE25" i="37"/>
  <c r="AE17"/>
  <c r="AE27" i="38"/>
  <c r="AE29"/>
  <c r="AE23" i="17"/>
  <c r="AE29"/>
  <c r="AE30" i="38"/>
  <c r="AE20" i="17"/>
  <c r="AE22"/>
  <c r="AE17" i="38"/>
  <c r="AE22" i="37"/>
  <c r="AE31" i="17"/>
  <c r="AE24" i="38"/>
  <c r="AE23" i="37"/>
  <c r="AE28" i="17"/>
  <c r="AE30"/>
  <c r="AE24" i="37"/>
  <c r="AE30"/>
  <c r="AE25" i="38"/>
  <c r="AE25" i="17"/>
  <c r="AE29" i="37"/>
  <c r="AE31" i="38"/>
  <c r="F20" i="8"/>
  <c r="C20"/>
  <c r="C29" l="1"/>
  <c r="C17"/>
  <c r="C21" s="1"/>
  <c r="C23" s="1"/>
  <c r="F17"/>
  <c r="F21" s="1"/>
  <c r="F23" s="1"/>
  <c r="I17"/>
  <c r="I21" s="1"/>
  <c r="I23" s="1"/>
  <c r="I29"/>
  <c r="C27"/>
  <c r="I27"/>
  <c r="F29"/>
  <c r="F27"/>
</calcChain>
</file>

<file path=xl/comments1.xml><?xml version="1.0" encoding="utf-8"?>
<comments xmlns="http://schemas.openxmlformats.org/spreadsheetml/2006/main">
  <authors>
    <author>MWedderburn</author>
  </authors>
  <commentList>
    <comment ref="H60" authorId="0">
      <text>
        <r>
          <rPr>
            <b/>
            <sz val="8"/>
            <color indexed="81"/>
            <rFont val="Tahoma"/>
            <family val="2"/>
          </rPr>
          <t>MWedderburn:</t>
        </r>
        <r>
          <rPr>
            <sz val="8"/>
            <color indexed="81"/>
            <rFont val="Tahoma"/>
            <family val="2"/>
          </rPr>
          <t xml:space="preserve">
confirm which variables still required</t>
        </r>
      </text>
    </comment>
  </commentList>
</comments>
</file>

<file path=xl/sharedStrings.xml><?xml version="1.0" encoding="utf-8"?>
<sst xmlns="http://schemas.openxmlformats.org/spreadsheetml/2006/main" count="3402" uniqueCount="693">
  <si>
    <t>Factors</t>
  </si>
  <si>
    <t>Density</t>
  </si>
  <si>
    <t>Weather</t>
  </si>
  <si>
    <t>Cycling</t>
  </si>
  <si>
    <t>Walking</t>
  </si>
  <si>
    <t>Health benefits</t>
  </si>
  <si>
    <t>Road safety</t>
  </si>
  <si>
    <t>Congestion relief</t>
  </si>
  <si>
    <t>Parking user cost savings</t>
  </si>
  <si>
    <t>Active Transport Appraisal Tool</t>
  </si>
  <si>
    <t>Value of time</t>
  </si>
  <si>
    <t>Total</t>
  </si>
  <si>
    <t>Costs</t>
  </si>
  <si>
    <t>standing</t>
  </si>
  <si>
    <t>Pedestrian</t>
  </si>
  <si>
    <t>Cyclist</t>
  </si>
  <si>
    <t>Car or motorcycle driver</t>
  </si>
  <si>
    <t>Public transport passenger</t>
  </si>
  <si>
    <t>In-work travel purpose</t>
  </si>
  <si>
    <t>Other non-work travel purposes</t>
  </si>
  <si>
    <t>Commuting to-from work</t>
  </si>
  <si>
    <t>ECONOMIC PARAMETERS</t>
  </si>
  <si>
    <t>ELASTICITIES</t>
  </si>
  <si>
    <t>seated</t>
  </si>
  <si>
    <t>Car ownership (%)</t>
  </si>
  <si>
    <t>Other</t>
  </si>
  <si>
    <t>ECONOMIC VALUATION</t>
  </si>
  <si>
    <t>Distance</t>
  </si>
  <si>
    <t>Duration</t>
  </si>
  <si>
    <t>Land use mix</t>
  </si>
  <si>
    <t>Peak</t>
  </si>
  <si>
    <t>Region</t>
  </si>
  <si>
    <t>Benefit</t>
  </si>
  <si>
    <t>Time period</t>
  </si>
  <si>
    <t>Auckland</t>
  </si>
  <si>
    <t>Wellington</t>
  </si>
  <si>
    <t>All regions</t>
  </si>
  <si>
    <t>Off-peak</t>
  </si>
  <si>
    <t>Improved Infrastructure to access the station</t>
  </si>
  <si>
    <t>%</t>
  </si>
  <si>
    <t>Cycle</t>
  </si>
  <si>
    <t>Car</t>
  </si>
  <si>
    <t>Walk</t>
  </si>
  <si>
    <t>Purpose of trip</t>
  </si>
  <si>
    <t>Daily trips</t>
  </si>
  <si>
    <t>Yes</t>
  </si>
  <si>
    <t>No</t>
  </si>
  <si>
    <t>Main mode</t>
  </si>
  <si>
    <t>Project Name</t>
  </si>
  <si>
    <t>Project Location</t>
  </si>
  <si>
    <t>Completed by</t>
  </si>
  <si>
    <t>Appraisal period</t>
  </si>
  <si>
    <t>Socio-economic and demographic factors (catchment)</t>
  </si>
  <si>
    <t>Bus</t>
  </si>
  <si>
    <t xml:space="preserve">Factors relating to the surrounding environment </t>
  </si>
  <si>
    <t>Access/Egress Mode shares</t>
  </si>
  <si>
    <t>Trip characteristics</t>
  </si>
  <si>
    <t>Other PT</t>
  </si>
  <si>
    <t>PT</t>
  </si>
  <si>
    <t>Bike on Board</t>
  </si>
  <si>
    <t>years</t>
  </si>
  <si>
    <t>Implementation year</t>
  </si>
  <si>
    <t>Boarders</t>
  </si>
  <si>
    <t>Alighters</t>
  </si>
  <si>
    <t>Location</t>
  </si>
  <si>
    <t>STATION/STOP DESCRIPTION</t>
  </si>
  <si>
    <t>WALKING CATCHMENT DESCRIPTION</t>
  </si>
  <si>
    <t>user input or default to national/regional averages</t>
  </si>
  <si>
    <t>Trip rates by mode</t>
  </si>
  <si>
    <t>user input or more likely calculated based on location and local population profile</t>
  </si>
  <si>
    <t>Age categories</t>
  </si>
  <si>
    <t>Gender</t>
  </si>
  <si>
    <t>Topography</t>
  </si>
  <si>
    <t>Urban layout variables</t>
  </si>
  <si>
    <t>possibly calculated from population and employment</t>
  </si>
  <si>
    <t>Capital cost</t>
  </si>
  <si>
    <t>Annual operation and maintenance cost</t>
  </si>
  <si>
    <t>(yyyy)</t>
  </si>
  <si>
    <t>Basic access route characteristics can be input for each access corridor to calculate an average GJT before and after the intervention</t>
  </si>
  <si>
    <t>name</t>
  </si>
  <si>
    <t>Note: improvements that benefit both cyclists and pedestrians (e.g. Shared path) need to be input separately for each mode</t>
  </si>
  <si>
    <t>Year</t>
  </si>
  <si>
    <t>Time series parameters</t>
  </si>
  <si>
    <t>Discount factor</t>
  </si>
  <si>
    <t>COSTS AND REVENUE</t>
  </si>
  <si>
    <t>Capital costs</t>
  </si>
  <si>
    <t>Maintenance costs</t>
  </si>
  <si>
    <t>Other costs</t>
  </si>
  <si>
    <t>MONETISED BENEFITS</t>
  </si>
  <si>
    <t>No dedicated cycle parking</t>
  </si>
  <si>
    <t>Number of trips</t>
  </si>
  <si>
    <t xml:space="preserve">Daily </t>
  </si>
  <si>
    <t>Change</t>
  </si>
  <si>
    <t>Access mode</t>
  </si>
  <si>
    <t>Ferry</t>
  </si>
  <si>
    <t>Total capital cost</t>
  </si>
  <si>
    <t>Total operating and maintenance cost</t>
  </si>
  <si>
    <t>Total cost</t>
  </si>
  <si>
    <t>Total benefit</t>
  </si>
  <si>
    <t>TIME SERIES WORKSHEET</t>
  </si>
  <si>
    <t>HEALTH BENEFITS CALCULATIONS</t>
  </si>
  <si>
    <t>Total benefit per km</t>
  </si>
  <si>
    <t>Resource cost correction per km</t>
  </si>
  <si>
    <t>Change in distance travelled by car</t>
  </si>
  <si>
    <t>Without TBhC activity</t>
  </si>
  <si>
    <t>With TBhC activity</t>
  </si>
  <si>
    <t>Peak period commuting trips to</t>
  </si>
  <si>
    <t>Auckland CBD</t>
  </si>
  <si>
    <t>Wellington CBD</t>
  </si>
  <si>
    <t>Other destinations</t>
  </si>
  <si>
    <t>Off-peak trips</t>
  </si>
  <si>
    <t>All destinations</t>
  </si>
  <si>
    <t>Private vehicle as driver</t>
  </si>
  <si>
    <t>Private vehicle as passenger</t>
  </si>
  <si>
    <t>Private vehicle</t>
  </si>
  <si>
    <t>Motorcycle</t>
  </si>
  <si>
    <t>Rural</t>
  </si>
  <si>
    <t>Urban off-peak</t>
  </si>
  <si>
    <t>Urban peak</t>
  </si>
  <si>
    <t>Other project costs (e.g. Fees of investigation, design, monitoring etc)</t>
  </si>
  <si>
    <t>PROJECT DETAILS</t>
  </si>
  <si>
    <t>OPTION 1</t>
  </si>
  <si>
    <t>OPTION 2</t>
  </si>
  <si>
    <t>OPTION 3</t>
  </si>
  <si>
    <t>Option 1</t>
  </si>
  <si>
    <t>Option 2</t>
  </si>
  <si>
    <t>Option 3</t>
  </si>
  <si>
    <t>May 2012</t>
  </si>
  <si>
    <t>Name</t>
  </si>
  <si>
    <t>Year that costs are estimated in</t>
  </si>
  <si>
    <t>Do-min</t>
  </si>
  <si>
    <t>Total distance walked (km)</t>
  </si>
  <si>
    <t>Total distance cycled (km)</t>
  </si>
  <si>
    <t>Source:</t>
  </si>
  <si>
    <t>Prices quoted in values:</t>
  </si>
  <si>
    <t>Health</t>
  </si>
  <si>
    <t>Travel time</t>
  </si>
  <si>
    <t>Health benefit (walking)</t>
  </si>
  <si>
    <t>Health benefit (cycling)</t>
  </si>
  <si>
    <t>Outdoor cycle stands</t>
  </si>
  <si>
    <t>Cycle parking</t>
  </si>
  <si>
    <t>Covered secure cycle parking (e.g. lockers)</t>
  </si>
  <si>
    <t>Do-minimum</t>
  </si>
  <si>
    <t>Type of cycle parking at station/stop</t>
  </si>
  <si>
    <t>DO-MINIMUM</t>
  </si>
  <si>
    <t>Provision type</t>
  </si>
  <si>
    <t>Total cycle parking capacity</t>
  </si>
  <si>
    <t>Under a do-minimum scenario, there may be costs associated with the operation and maintenance of existing facilities. Conversely, it is unlikely that capital costs would be incurred unless facilities are due for planned maintenance in the near future.</t>
  </si>
  <si>
    <t>DO-MINIMUM: The do-minimum scenario represents the best guess of what measures would be required if the evaluated options are not pursued.</t>
  </si>
  <si>
    <t>Destination access / egress</t>
  </si>
  <si>
    <t>Change in demand for cycle-PT due to improved cycle parking</t>
  </si>
  <si>
    <t>Mode share</t>
  </si>
  <si>
    <t>Trip rate</t>
  </si>
  <si>
    <t>Destination access/egress</t>
  </si>
  <si>
    <t>Do-minimum travel behaviour</t>
  </si>
  <si>
    <t>Home</t>
  </si>
  <si>
    <t>Destination</t>
  </si>
  <si>
    <t>Car driver</t>
  </si>
  <si>
    <t>Car passenger</t>
  </si>
  <si>
    <t>Person daily trip rate</t>
  </si>
  <si>
    <t>Remaining times of the day</t>
  </si>
  <si>
    <t>Peak trip legs</t>
  </si>
  <si>
    <t>Off-peak trip legs</t>
  </si>
  <si>
    <t>Daily distance walked/cycled (total includes as single mode and PT access/egress)</t>
  </si>
  <si>
    <t>Annual distance walked/cycled</t>
  </si>
  <si>
    <t xml:space="preserve">Walking catchment </t>
  </si>
  <si>
    <t xml:space="preserve">Cycling catchment </t>
  </si>
  <si>
    <t>Size</t>
  </si>
  <si>
    <t>m</t>
  </si>
  <si>
    <t>Residents</t>
  </si>
  <si>
    <t>Employees</t>
  </si>
  <si>
    <t>Change in distance walked/cycled</t>
  </si>
  <si>
    <t>Change in demand for cycle-PT due to Bike on Board</t>
  </si>
  <si>
    <t>Rail</t>
  </si>
  <si>
    <t>Change in demand for cycle-PT due to cycle hire</t>
  </si>
  <si>
    <t>-</t>
  </si>
  <si>
    <t>Auckland MUA</t>
  </si>
  <si>
    <t>Wellington MUA</t>
  </si>
  <si>
    <t>Canterbury MUA</t>
  </si>
  <si>
    <t>Other Metropolitan Urban Area</t>
  </si>
  <si>
    <t>Small Urban Area</t>
  </si>
  <si>
    <t>General information</t>
  </si>
  <si>
    <t>Type of station / stop</t>
  </si>
  <si>
    <t>Rail service(s)</t>
  </si>
  <si>
    <t>Ferry service(s)</t>
  </si>
  <si>
    <t>Bus service(s)</t>
  </si>
  <si>
    <t>Auckland_Rail</t>
  </si>
  <si>
    <t>Auckland_Bus</t>
  </si>
  <si>
    <t xml:space="preserve">Catchment area </t>
  </si>
  <si>
    <t xml:space="preserve">metres </t>
  </si>
  <si>
    <t>minutes</t>
  </si>
  <si>
    <t>Population and employment estimates</t>
  </si>
  <si>
    <t>Change in demand for walk-PT due to walking access improvements</t>
  </si>
  <si>
    <t>GENERAL INFORMATION</t>
  </si>
  <si>
    <t xml:space="preserve">Describe the proposed project (or options proposed) and how it/these address the issues described above
</t>
  </si>
  <si>
    <t>BRT / LRT service(s)</t>
  </si>
  <si>
    <t>Option</t>
  </si>
  <si>
    <t>Interchange from other transit mode</t>
  </si>
  <si>
    <t>Price base year (time zero)</t>
  </si>
  <si>
    <t>Public transport (all modes)</t>
  </si>
  <si>
    <t>Daily number of trips</t>
  </si>
  <si>
    <t>Distance (main mode)</t>
  </si>
  <si>
    <t>Distance (access mode)</t>
  </si>
  <si>
    <t>Distance (egress mode)</t>
  </si>
  <si>
    <t>EEM Volume 2 Table 3.2</t>
  </si>
  <si>
    <t>Trips</t>
  </si>
  <si>
    <t>All PT combinations</t>
  </si>
  <si>
    <t>Daily distance travelled by car (total includes as single mode and PT access/egress)</t>
  </si>
  <si>
    <t>Annual distance travelled by car</t>
  </si>
  <si>
    <t>Proportion of change in travel during peak time</t>
  </si>
  <si>
    <t>Annual health benefit (walking)</t>
  </si>
  <si>
    <t>Annual health benefit (cycling)</t>
  </si>
  <si>
    <t>Impacts of congestion relief on other road users</t>
  </si>
  <si>
    <t>EEM Volume 2 Table 3.6</t>
  </si>
  <si>
    <t>Average benefits to other road users for travel time, VOC and CO2 emmission (NZD/km)</t>
  </si>
  <si>
    <t>Marginal environmental costs (aggregated) (NZD/km)</t>
  </si>
  <si>
    <t>Aggregated marginal environmental benefits</t>
  </si>
  <si>
    <t>Marginal environmental benefits</t>
  </si>
  <si>
    <t>EEM Volume 2 Table 3.5</t>
  </si>
  <si>
    <t>Resource cost correction - impact of reduced car kilometres on other road users (NZD/one-way trip)</t>
  </si>
  <si>
    <t>Parking user benefits</t>
  </si>
  <si>
    <t>Proportion of change in travel peak direction during peak time</t>
  </si>
  <si>
    <t>Availability of cycle hire at station/stop</t>
  </si>
  <si>
    <t>Capacity (cycles per peak vehicle)</t>
  </si>
  <si>
    <t>Carriage possible?</t>
  </si>
  <si>
    <t>BRT / LRT</t>
  </si>
  <si>
    <t>Combined cost of these measures:</t>
  </si>
  <si>
    <t>If the cost has been calculated on fleet or network-wide basis, please split the total cost by the stations served</t>
  </si>
  <si>
    <t>Health benefits (walking)</t>
  </si>
  <si>
    <t>Health benefits (cycling)</t>
  </si>
  <si>
    <t>Time savings (pedestrian)</t>
  </si>
  <si>
    <t>Time savings (cyclist)</t>
  </si>
  <si>
    <t>Environmental benefit</t>
  </si>
  <si>
    <t>Parking user benefit</t>
  </si>
  <si>
    <t>Marginal environmental benefit</t>
  </si>
  <si>
    <t>:1</t>
  </si>
  <si>
    <t>EEM Volume 2 Section 3.8</t>
  </si>
  <si>
    <t>EEM Volume 2 Table 3.3</t>
  </si>
  <si>
    <t>Marginal road safety resource cost corrections</t>
  </si>
  <si>
    <t>Marginal accident reduction cost (NZD/km)</t>
  </si>
  <si>
    <t>Resource cost correction to motor vehicle accident cost savings</t>
  </si>
  <si>
    <t>ROAD SAFETY BENEFITS</t>
  </si>
  <si>
    <t>Journey ambience (walking)</t>
  </si>
  <si>
    <t>Journey ambience (cycling)</t>
  </si>
  <si>
    <t>Bike path (off-street)</t>
  </si>
  <si>
    <t>Bike lane (on-street with parking)</t>
  </si>
  <si>
    <t>Bike lane (on-street without parking)</t>
  </si>
  <si>
    <t>Mixed traffic (10-20,000 vpd)</t>
  </si>
  <si>
    <t>Mixed traffic (20-30,000 vpd)</t>
  </si>
  <si>
    <t>Mixed traffic (30,000+ vpd)</t>
  </si>
  <si>
    <t>Mixed traffic (less than 10,000 vpd)</t>
  </si>
  <si>
    <t>Proportion using access route 1 (%)</t>
  </si>
  <si>
    <t>Total cyclists using access route 1</t>
  </si>
  <si>
    <t>Trips to/from station by bike</t>
  </si>
  <si>
    <t>Additional cyclists using route 1</t>
  </si>
  <si>
    <t>Route characteristics (type of cycle links)</t>
  </si>
  <si>
    <t>Describe the route in terms of metres cycled on each type of cycle infrastructure</t>
  </si>
  <si>
    <t>Traffic signals (excluding left-turn)</t>
  </si>
  <si>
    <t>Estimated costs</t>
  </si>
  <si>
    <t>Average generalised journey time (peak)</t>
  </si>
  <si>
    <t>Average generalised journey time (off-peak)</t>
  </si>
  <si>
    <t>Cycle access route 1:</t>
  </si>
  <si>
    <t>Stop sign</t>
  </si>
  <si>
    <t>No signal, Right turn; 10,000-20,000 vpd</t>
  </si>
  <si>
    <t>No signal, Right turn; 20,000+ vpd</t>
  </si>
  <si>
    <t>No signal, Left turn; 10,000+ vpd</t>
  </si>
  <si>
    <t>No signal, crossing*; 5,000-10,000 vpd</t>
  </si>
  <si>
    <t>No signal, crossing*; 10,000-20,000 vpd</t>
  </si>
  <si>
    <t>No signal, crossing*; 20,000+ vpd</t>
  </si>
  <si>
    <t>Describe the route in terms of the number of each type of junction incurred cycling towards the station</t>
  </si>
  <si>
    <t>Route characteristics (type of junctions)</t>
  </si>
  <si>
    <t>Total distance (m)</t>
  </si>
  <si>
    <t>Estimated average journey time (seconds)</t>
  </si>
  <si>
    <t>TRAVEL TIME BENEFITS</t>
  </si>
  <si>
    <t>Total change in journey time (existing cyclists)</t>
  </si>
  <si>
    <t>Total change in journey time (existing pedestrians)</t>
  </si>
  <si>
    <t>Daily total change in journey time (seconds)</t>
  </si>
  <si>
    <t>Annual total change in journey time (hours)</t>
  </si>
  <si>
    <t>Regional average</t>
  </si>
  <si>
    <t>Local data (manual entry)</t>
  </si>
  <si>
    <t>Access/egress at destination trip end (%)</t>
  </si>
  <si>
    <t>Access/egress mode (local data)</t>
  </si>
  <si>
    <t>Access/egress mode (regional average)</t>
  </si>
  <si>
    <t>Canterbury</t>
  </si>
  <si>
    <t>MUA</t>
  </si>
  <si>
    <t>SUA</t>
  </si>
  <si>
    <t>Wellington_Rail</t>
  </si>
  <si>
    <t>Canterbury_Rail</t>
  </si>
  <si>
    <t>MUA_Rail</t>
  </si>
  <si>
    <t>SUA_Rail</t>
  </si>
  <si>
    <t>Rural_Rail</t>
  </si>
  <si>
    <t>75th percentile catchment area (m)</t>
  </si>
  <si>
    <t>Region / mode</t>
  </si>
  <si>
    <t>Wellington_Bus</t>
  </si>
  <si>
    <t>Canterbury_Bus</t>
  </si>
  <si>
    <t>MUA_Bus</t>
  </si>
  <si>
    <t>SUA_Bus</t>
  </si>
  <si>
    <t>Rural_Bus</t>
  </si>
  <si>
    <t>BRT_LRT</t>
  </si>
  <si>
    <t>Walk to transit factor</t>
  </si>
  <si>
    <t>Destination mode shares</t>
  </si>
  <si>
    <t xml:space="preserve">If local data on mode shares is available for the station/stop is available please, enter it below. </t>
  </si>
  <si>
    <t>Do-minimum - access/egress modes</t>
  </si>
  <si>
    <t>Estimated number of total boarding and alighting movements that arelate to interchange at the station / stop</t>
  </si>
  <si>
    <t>Route</t>
  </si>
  <si>
    <t>Mode</t>
  </si>
  <si>
    <t>Vehicles in peak hour</t>
  </si>
  <si>
    <t>Arrival / departure</t>
  </si>
  <si>
    <t>Estimated total daily boarding and alighting movements</t>
  </si>
  <si>
    <t>Arr</t>
  </si>
  <si>
    <t>Dep</t>
  </si>
  <si>
    <t>BRT/LRT</t>
  </si>
  <si>
    <t>Walking catchment</t>
  </si>
  <si>
    <t>Cycling catchment</t>
  </si>
  <si>
    <t>equates to X minutes at 1.33 metres per second</t>
  </si>
  <si>
    <t>equates to X minutes at 15 kilometres per hour</t>
  </si>
  <si>
    <t>Residents in walking catchment</t>
  </si>
  <si>
    <t>Employees / students in walking catchment</t>
  </si>
  <si>
    <t>Residents in cycling catchment</t>
  </si>
  <si>
    <t>Employees / students in cycling catchment</t>
  </si>
  <si>
    <t>Walk access route 1:</t>
  </si>
  <si>
    <t>Trips to/from station on foot</t>
  </si>
  <si>
    <t>Additional pedestrians using route 1</t>
  </si>
  <si>
    <t>Other transit</t>
  </si>
  <si>
    <t>Walk access route 1</t>
  </si>
  <si>
    <t>Walk access route 2</t>
  </si>
  <si>
    <t>Walk access route 3</t>
  </si>
  <si>
    <t>Walk access route 4</t>
  </si>
  <si>
    <t>Walk access route 5</t>
  </si>
  <si>
    <t>Demand change</t>
  </si>
  <si>
    <t>Change in walking demand</t>
  </si>
  <si>
    <t>Remaining</t>
  </si>
  <si>
    <t>Diversion factors</t>
  </si>
  <si>
    <t>Change in demand for cycle-PT due to cycling access improvements</t>
  </si>
  <si>
    <t>Cycle access route 1</t>
  </si>
  <si>
    <t>Cycle access route 2</t>
  </si>
  <si>
    <t>Cycle access route 3</t>
  </si>
  <si>
    <t>Cycle access route 4</t>
  </si>
  <si>
    <t>Cycle access route 5</t>
  </si>
  <si>
    <t>Change in cycling demand</t>
  </si>
  <si>
    <t>Please specify the modes of public transport of the station or stop</t>
  </si>
  <si>
    <t xml:space="preserve">Please provide and estimate of the number of residents living and employees/students working within the above catchment. </t>
  </si>
  <si>
    <t>Speed (kph)</t>
  </si>
  <si>
    <t>Time (mins)</t>
  </si>
  <si>
    <t>+wait time</t>
  </si>
  <si>
    <t>GJT (min)</t>
  </si>
  <si>
    <t>Mean GJT (main mode)</t>
  </si>
  <si>
    <t>Speed (m/s)</t>
  </si>
  <si>
    <t>GJT factor</t>
  </si>
  <si>
    <t>Walk-Rail</t>
  </si>
  <si>
    <t>Mean GJT (destination access/egress mode)</t>
  </si>
  <si>
    <t>Total GJT (min)</t>
  </si>
  <si>
    <t>as % of PT trip GJT</t>
  </si>
  <si>
    <t>Long-term walking GJT elasticity</t>
  </si>
  <si>
    <t>Cycle-Rail</t>
  </si>
  <si>
    <t>GJT Change (min)</t>
  </si>
  <si>
    <t>GJT (do-min - sec)</t>
  </si>
  <si>
    <t>GJT (Option 1 - sec)</t>
  </si>
  <si>
    <t>Change in main mode</t>
  </si>
  <si>
    <t>Affected % of trips</t>
  </si>
  <si>
    <t>Trips affected</t>
  </si>
  <si>
    <t>Change in trips</t>
  </si>
  <si>
    <t>Mean daily trip rate</t>
  </si>
  <si>
    <t>Mean distance per trip (km)</t>
  </si>
  <si>
    <t>Destination access mode</t>
  </si>
  <si>
    <t>Proportion of pax</t>
  </si>
  <si>
    <t>Change in demand</t>
  </si>
  <si>
    <t>Total (weighted)</t>
  </si>
  <si>
    <t>Cycle hire</t>
  </si>
  <si>
    <t>Cycle hire at destination</t>
  </si>
  <si>
    <t>Cumulative impact</t>
  </si>
  <si>
    <t>Cumulative change in demand for cycle-PT due to improved cycle facilities</t>
  </si>
  <si>
    <t xml:space="preserve">Cycle hire </t>
  </si>
  <si>
    <t>Adjusted total</t>
  </si>
  <si>
    <t>Period</t>
  </si>
  <si>
    <t>Long-term cycling GJT elasticity</t>
  </si>
  <si>
    <t>Total (peak and off-peak)</t>
  </si>
  <si>
    <t>Total (peak)</t>
  </si>
  <si>
    <t>Total (off-peak)</t>
  </si>
  <si>
    <t>Diversion factors (number of trips)</t>
  </si>
  <si>
    <t>Walk-Ferry</t>
  </si>
  <si>
    <t>Walk-BRT_LRT</t>
  </si>
  <si>
    <t>Walk-Bus</t>
  </si>
  <si>
    <t>All-PT</t>
  </si>
  <si>
    <t>Cycle-Ferry</t>
  </si>
  <si>
    <t>Cycle-BRT_LRT</t>
  </si>
  <si>
    <t>Cycle-Bus</t>
  </si>
  <si>
    <t>Change in destination access mode</t>
  </si>
  <si>
    <t>CYCLING CATCHMENT DESCRIPTION</t>
  </si>
  <si>
    <t>Increase in 1 PT trip as main mode</t>
  </si>
  <si>
    <t>Increase in 1 walking trip leg as access/egress mode</t>
  </si>
  <si>
    <t>Destination end</t>
  </si>
  <si>
    <t>Increase in 1 cycling trip leg as access/egress mode</t>
  </si>
  <si>
    <t>Walking catchments (m)</t>
  </si>
  <si>
    <t>Cycling catchments (m)</t>
  </si>
  <si>
    <t>% of mode within catchment</t>
  </si>
  <si>
    <t>Trips and distance</t>
  </si>
  <si>
    <t>Adjusted</t>
  </si>
  <si>
    <t>Typology</t>
  </si>
  <si>
    <t>Local data / regional average / station typology</t>
  </si>
  <si>
    <t>Station typology</t>
  </si>
  <si>
    <t>adjustment for interchange</t>
  </si>
  <si>
    <t>Y</t>
  </si>
  <si>
    <t>Urban core CBD, tall buildings, mixed land uses (office, retail, civic, entertainment, residential), high quality pedestrian and bicycle connectivity, station has no off-street parking, important PT interchange</t>
  </si>
  <si>
    <t>Urban neighbourhood, tall buildings, land use predominantly residential and neighbourhood retail, high quality pedestrian and bicycle connectivity, station has no off-street parking, important PT interchange</t>
  </si>
  <si>
    <t>Urban commercial CBD</t>
  </si>
  <si>
    <t>High-density urban neighbourhood</t>
  </si>
  <si>
    <t>Medium-density urban neighbourhood</t>
  </si>
  <si>
    <t>Medium density inner suburb, 2-5 storey buildings, land use predominantly residential and neighbourhood retail, high quality pedestrian and bicycle connectivity, station has no off-street parking, local PT interchange</t>
  </si>
  <si>
    <t>Medium-density urban neighbourhood with parking</t>
  </si>
  <si>
    <t>Medium density inner suburb, 2-5 storey buildings, land use predominantly residential and neighbourhood retail, limited pedestrian and bicycle connectivity, station has off-street parking, important PT interchange</t>
  </si>
  <si>
    <t>Suburban retail or employment centre</t>
  </si>
  <si>
    <t>Mall or commercial development in low density suburbs, limited pedestrian and bicycle connectivity, Park&amp;Ride is prioritised, local PT interchange</t>
  </si>
  <si>
    <t>Suburban TOD</t>
  </si>
  <si>
    <t>Historic transit suburb</t>
  </si>
  <si>
    <t>Suburban neighbourhood</t>
  </si>
  <si>
    <t>Suburban neighbourhood and interchange</t>
  </si>
  <si>
    <t>Satellite centre</t>
  </si>
  <si>
    <t>Special events/campus</t>
  </si>
  <si>
    <t>Suburban highway P&amp;R</t>
  </si>
  <si>
    <t>Medium density outer suburb, 2-5 storey buildings, land use predominantly residential and neighbourhood retail, good pedestrian and bicycle connectivity around station, station has some off-street parking, local PT interchange</t>
  </si>
  <si>
    <t>Traditional medium density suburb, 2-5 storey buildings, land use predominantly residential and neighbourhood retail, good pedestrian and bicycle connections to transit, station has some off-street parking, local PT interchange</t>
  </si>
  <si>
    <t>Low-medium density suburb, 1-3 storey buildings, land use predominantly residential and neighbourhood retail, limited pedestrian and bicycle connectivity, station has some off-street parking, local PT interchange</t>
  </si>
  <si>
    <t>Medium density outer suburb, 2-5 storey buildings, land use predominantly residential and neighbourhood retail, good pedestrian and bicycle connectivity around station, station has some off-street parking, important PT interchange</t>
  </si>
  <si>
    <t>Low-medium density sub-regional hub, 1-3 storey buildings, land use includes residential, retail and office, good pedestrian and bicycle connections to transit, Park&amp;Ride is prioritised, important PT interchange</t>
  </si>
  <si>
    <t>Adjacent to entertainment venue, airport, conference centre, campus etc.</t>
  </si>
  <si>
    <t>Park&amp;Ride site in low density suburbia targeting interchange from highway</t>
  </si>
  <si>
    <t>revert to regional</t>
  </si>
  <si>
    <t>Alternatively, select 'regional average' in the drop-down box and estimates of the average values for the type of station and region will be applied</t>
  </si>
  <si>
    <t>Or Alternatively, select 'station typology' in the drop-down box and estimates of the average values for the type of station, type of neighbourhood and region will be applied</t>
  </si>
  <si>
    <t>Please specify the type of station / neighbourhood</t>
  </si>
  <si>
    <t>Off-peak only</t>
  </si>
  <si>
    <t xml:space="preserve">Rendall, S, P Rose and K Janssen (2012) </t>
  </si>
  <si>
    <t>Link parameters (GJT factors)</t>
  </si>
  <si>
    <t>Junction parameters (seconds)</t>
  </si>
  <si>
    <t>Enter the crossing or junction types (and name/identifier for each if required) and the unweighted average waiting time</t>
  </si>
  <si>
    <t>Crossing / junction</t>
  </si>
  <si>
    <t>Type</t>
  </si>
  <si>
    <t>Footbridge</t>
  </si>
  <si>
    <t>Subway</t>
  </si>
  <si>
    <t>Uncontrolled crossing</t>
  </si>
  <si>
    <t>Signalised crossing or junction</t>
  </si>
  <si>
    <t>Describe the route in terms of metres walked on sections rated with each level of service category</t>
  </si>
  <si>
    <t>A</t>
  </si>
  <si>
    <t>B</t>
  </si>
  <si>
    <t>C</t>
  </si>
  <si>
    <t>N</t>
  </si>
  <si>
    <t xml:space="preserve">E </t>
  </si>
  <si>
    <t>D</t>
  </si>
  <si>
    <t>F</t>
  </si>
  <si>
    <t>Description</t>
  </si>
  <si>
    <t>Neutral</t>
  </si>
  <si>
    <t>LeveL of service (CSR)</t>
  </si>
  <si>
    <t>Very good</t>
  </si>
  <si>
    <t>Good</t>
  </si>
  <si>
    <t>Slightly good</t>
  </si>
  <si>
    <t>Slightly bad</t>
  </si>
  <si>
    <t>Bad</t>
  </si>
  <si>
    <t>Very bad</t>
  </si>
  <si>
    <t>Cycle access route 2:</t>
  </si>
  <si>
    <t>Walk access route 2:</t>
  </si>
  <si>
    <t>Proportion using access route 2 (%)</t>
  </si>
  <si>
    <t>Additional cyclists using route 2</t>
  </si>
  <si>
    <t>Total cyclists using access route 2</t>
  </si>
  <si>
    <t>Total pedestrians using access route 1</t>
  </si>
  <si>
    <t>Additional pedestrians using route 2</t>
  </si>
  <si>
    <t>Total pedestrians using access route 2</t>
  </si>
  <si>
    <t>Cycle access route 3:</t>
  </si>
  <si>
    <t>Walk access route 3:</t>
  </si>
  <si>
    <t>Proportion using access route 3 (%)</t>
  </si>
  <si>
    <t>Additional cyclists using route 3</t>
  </si>
  <si>
    <t>Total cyclists using access route 3</t>
  </si>
  <si>
    <t>Additional pedestrians using route 3</t>
  </si>
  <si>
    <t>Cycle access route 4:</t>
  </si>
  <si>
    <t>Walk access route 4:</t>
  </si>
  <si>
    <t>Proportion using access route 4 (%)</t>
  </si>
  <si>
    <t>Additional cyclists using route 4</t>
  </si>
  <si>
    <t>Total cyclists using access route 4</t>
  </si>
  <si>
    <t>Additional pedestrians using route 4</t>
  </si>
  <si>
    <t>Total pedestrians using access route 4</t>
  </si>
  <si>
    <t>Cycle access route 5:</t>
  </si>
  <si>
    <t>Walk access route 5:</t>
  </si>
  <si>
    <t>Proportion using access route 5 (%)</t>
  </si>
  <si>
    <t>Additional cyclists using route 5</t>
  </si>
  <si>
    <t>Total cyclists using access route 5</t>
  </si>
  <si>
    <t>Additional pedestrians using route 5</t>
  </si>
  <si>
    <t>Daily total change in generalised journey time (seconds) excluding actual time</t>
  </si>
  <si>
    <t xml:space="preserve">Demand elasticity (peak) </t>
  </si>
  <si>
    <t>Demand elasticity (off-peak)</t>
  </si>
  <si>
    <t>Mode shares by neighbourhood/station type</t>
  </si>
  <si>
    <t>Source: derived from TRB, 2006</t>
  </si>
  <si>
    <t xml:space="preserve">Modes shares and 75th percentile catchments </t>
  </si>
  <si>
    <t>Source: NZHTS trip chains database</t>
  </si>
  <si>
    <t>Source: derived from NZHTS trip chains database</t>
  </si>
  <si>
    <t>Proportion of access trips by mode within each of the catchment sizes</t>
  </si>
  <si>
    <t>Mean daily trip rates and distance travelled by main mode</t>
  </si>
  <si>
    <t>Mean daily distance travelled</t>
  </si>
  <si>
    <t>Mean distance per trip by access mode</t>
  </si>
  <si>
    <t>Mean daily distance travelled (destination)</t>
  </si>
  <si>
    <t xml:space="preserve">The catchment can be measured using a walk/cycle distance isochrone in GIS, or simply estimated as a proportion of the adjacent census boundary areas </t>
  </si>
  <si>
    <t>Please indicate below if you would like to test up to 3 project options</t>
  </si>
  <si>
    <t>Note that alternative forecasts of future year population and employment should be calculated in separate evalution tool spreadsheets</t>
  </si>
  <si>
    <t>Total cycle hire capacity</t>
  </si>
  <si>
    <t>Carriage of bicycles on public transport vehicles</t>
  </si>
  <si>
    <t>Estimated spare passenger capacity per vehicle</t>
  </si>
  <si>
    <t>Estimated passenger movements in the peak hour</t>
  </si>
  <si>
    <t>Peak hour passenger capacity</t>
  </si>
  <si>
    <t>Peak hour bicycle capacity</t>
  </si>
  <si>
    <t>Peak hour in AM peak / PM peak / remaining</t>
  </si>
  <si>
    <t>Cycle parking use at station</t>
  </si>
  <si>
    <t>Predicted cycle parking use</t>
  </si>
  <si>
    <t>Cycle hire use at station/stop</t>
  </si>
  <si>
    <t xml:space="preserve">Bicycles </t>
  </si>
  <si>
    <t>Bicycles</t>
  </si>
  <si>
    <t>Estimated spare bicycle capacity per vehicle</t>
  </si>
  <si>
    <t>Do-Min</t>
  </si>
  <si>
    <t>Passengers</t>
  </si>
  <si>
    <t>Estimated passenger increase in peak hour</t>
  </si>
  <si>
    <t>Estimated cycle increase in peak hour</t>
  </si>
  <si>
    <t>Estimated spare cycle capacity per vehicle</t>
  </si>
  <si>
    <t>Vehicle capacity check</t>
  </si>
  <si>
    <t>Average generalised journey time</t>
  </si>
  <si>
    <t xml:space="preserve">Describe the baseline conditions within the study area and any walking/cycling access issues that currently exist </t>
  </si>
  <si>
    <t>Average car occupancy</t>
  </si>
  <si>
    <t>Annualisation factor</t>
  </si>
  <si>
    <t>EVALUATION PARAMETERS</t>
  </si>
  <si>
    <t>ADDITIONAL PARAMETERS</t>
  </si>
  <si>
    <t>Please include all public transport passengers boarding and alighting the network at this station/stop, i.e. interchange passengers should be captured twice and their number entered below</t>
  </si>
  <si>
    <t>Table for manual entry if relevant. Totals will be highlighted in red unless equal to 100%</t>
  </si>
  <si>
    <t>Note: It is estimated 75% of passengers walk this distance or less to reach the station / stop</t>
  </si>
  <si>
    <t>Note: It is estimated 75% of passengers cycle this distance or less to reach the station / stop</t>
  </si>
  <si>
    <t>Total distance car (vehicle-km)</t>
  </si>
  <si>
    <t>Total distance car driver (person-km)</t>
  </si>
  <si>
    <t>Total distance car passenger (person-km)</t>
  </si>
  <si>
    <t>Total distance car (person-km)</t>
  </si>
  <si>
    <t>Cycling generalised journey time parameters</t>
  </si>
  <si>
    <t>Time-series parameters</t>
  </si>
  <si>
    <t>Predicted cycle hire use</t>
  </si>
  <si>
    <t>Route characteristics (type of walking links)</t>
  </si>
  <si>
    <t>Safe from traffic</t>
  </si>
  <si>
    <t>Safe from falling</t>
  </si>
  <si>
    <t>Obstacle free</t>
  </si>
  <si>
    <t>Overall walkable</t>
  </si>
  <si>
    <t>Secure</t>
  </si>
  <si>
    <t>Efficient</t>
  </si>
  <si>
    <t>Pleasant</t>
  </si>
  <si>
    <t>Level of Service</t>
  </si>
  <si>
    <t>E</t>
  </si>
  <si>
    <t>Rating</t>
  </si>
  <si>
    <t>The level of service scores for walking links should use the level of service definitions from the NZ Community</t>
  </si>
  <si>
    <t xml:space="preserve">Street Review (CSR) method. Where a CSR has been conducted, please use these results. Otherwise an </t>
  </si>
  <si>
    <t>initial evaluation of the baseline and post-intervention conditions should be estimated. Users</t>
  </si>
  <si>
    <t>should evaluate each of the walking links against the criteria below and assign a score to each walking link</t>
  </si>
  <si>
    <t>before and after the intervention.</t>
  </si>
  <si>
    <t>CAPACITY CHECK WORKSHEET</t>
  </si>
  <si>
    <t>Cost contingency allowance</t>
  </si>
  <si>
    <t>Feasibility report</t>
  </si>
  <si>
    <t>Scheme assessment</t>
  </si>
  <si>
    <t>Design and contract estimate</t>
  </si>
  <si>
    <t>Contract</t>
  </si>
  <si>
    <t>Enter the phase of activity of the proposed interventions</t>
  </si>
  <si>
    <t>In line with EEM Vol 1 section 3.6, contingency allowances shall be included in the activity costs to allow for possible cost increases and the uncertainty of cost estimates.</t>
  </si>
  <si>
    <t>The walking element of a public transport trip is typically weighted by a factor of 2.0 to 2.5 comapred to the value of in-vehicle time (or time walking as a single-mode trip)</t>
  </si>
  <si>
    <t>Vehicle occupancy and travel purpose</t>
  </si>
  <si>
    <t>EEM Volume 1 Table A2.4</t>
  </si>
  <si>
    <t>Urban</t>
  </si>
  <si>
    <t>Weekday all periods</t>
  </si>
  <si>
    <t>Weekday all period assumptions from EEM Vol 1 Table A2.4</t>
  </si>
  <si>
    <t>Discount factor 8%</t>
  </si>
  <si>
    <t>Discount factor 6%</t>
  </si>
  <si>
    <t>Discount factor 4%</t>
  </si>
  <si>
    <t>Discounting factors</t>
  </si>
  <si>
    <t>To</t>
  </si>
  <si>
    <r>
      <rPr>
        <b/>
        <sz val="12"/>
        <color theme="1"/>
        <rFont val="Calibri"/>
        <family val="2"/>
        <scheme val="minor"/>
      </rPr>
      <t xml:space="preserve">AM peak  period </t>
    </r>
    <r>
      <rPr>
        <sz val="12"/>
        <color theme="1"/>
        <rFont val="Calibri"/>
        <family val="2"/>
        <scheme val="minor"/>
      </rPr>
      <t>- from</t>
    </r>
  </si>
  <si>
    <r>
      <rPr>
        <b/>
        <sz val="12"/>
        <color theme="1"/>
        <rFont val="Calibri"/>
        <family val="2"/>
        <scheme val="minor"/>
      </rPr>
      <t>PM peak  period</t>
    </r>
    <r>
      <rPr>
        <sz val="12"/>
        <color theme="1"/>
        <rFont val="Calibri"/>
        <family val="2"/>
        <scheme val="minor"/>
      </rPr>
      <t>- from</t>
    </r>
  </si>
  <si>
    <t>Total peak periods</t>
  </si>
  <si>
    <t>AM peak</t>
  </si>
  <si>
    <t>PM peak</t>
  </si>
  <si>
    <t xml:space="preserve">Number of daily station users (weekday) - Current or future year do-minimum </t>
  </si>
  <si>
    <t>Total (all periods)</t>
  </si>
  <si>
    <t>AM peak hours</t>
  </si>
  <si>
    <t>PM peak hours</t>
  </si>
  <si>
    <t>dep</t>
  </si>
  <si>
    <t>arr</t>
  </si>
  <si>
    <t>Proportion of the above boarders and alighters travelling by each mode</t>
  </si>
  <si>
    <t>ROUTE CAPACITY AT THE STATION</t>
  </si>
  <si>
    <t>This sheet can be used to highlight any potential capacity pinchpoints on public transport routes that serve the station.</t>
  </si>
  <si>
    <t>Please use the table below to highlight any potential capacity pinchpoints on the public transport routes arriving at or departing from the station</t>
  </si>
  <si>
    <t>Size of cycling catchment area (sq km)</t>
  </si>
  <si>
    <t>Size of walking catchment area (sq km)</t>
  </si>
  <si>
    <t>Users can input details for up to five different walking and/or cycling access route schemes</t>
  </si>
  <si>
    <t xml:space="preserve">see cycle demand analysis (EEM Vol 2 </t>
  </si>
  <si>
    <t>section 8.15) if no data available</t>
  </si>
  <si>
    <t>Note: All catchments are to be calculated based on actual walking or cycling distance and not 'as the crow flies'</t>
  </si>
  <si>
    <t>QUALITY BENEFITS</t>
  </si>
  <si>
    <t>Quality (walking)</t>
  </si>
  <si>
    <t>Quality (cycling)</t>
  </si>
  <si>
    <t>Cost update factor (construction and maintenance)</t>
  </si>
  <si>
    <t>Source: EEM Vol 1 Section A12 (2009 version and update to July 2011)</t>
  </si>
  <si>
    <t>Update factor to July 2011:</t>
  </si>
  <si>
    <t>COSTS</t>
  </si>
  <si>
    <t>Benefits (NZD, 2011 values)</t>
  </si>
  <si>
    <t>Total change in generalised journey time (existing cyclists)</t>
  </si>
  <si>
    <t>Total change in generalised journey time (existing pedestrians)</t>
  </si>
  <si>
    <t>Annual total change in generalised journey time (hours) excluding actual time</t>
  </si>
  <si>
    <t>CONGESTION RELIEF, ENVIRONMENTAL AND PARKING USER BENEFITS</t>
  </si>
  <si>
    <t>Net present value (discounted 8%) (NZD)</t>
  </si>
  <si>
    <t>BENEFIT-COST RATIO (BCR)</t>
  </si>
  <si>
    <t>BCR (6% discount rate)</t>
  </si>
  <si>
    <t>BCR (4% discount rate)</t>
  </si>
  <si>
    <t>Distance (km)</t>
  </si>
  <si>
    <t>Typical values are in the range of 220 for commute-only services and 320 for all-day services</t>
  </si>
  <si>
    <t>An appropriate factor to annualise patronage from a weekday to a year can be calculated from station-specific usage data or network-wide patronage data.</t>
  </si>
  <si>
    <t>Central City – high density areas with tall buildings</t>
  </si>
  <si>
    <t>&gt;3,200</t>
  </si>
  <si>
    <t>Inner suburbs – medium density with 2-5 storey buildings</t>
  </si>
  <si>
    <t>1,600 – 3,200</t>
  </si>
  <si>
    <t>Outer suburbs – low-medium density with 1-3 storey buildings</t>
  </si>
  <si>
    <t>1,000 – 1,600</t>
  </si>
  <si>
    <t>Low density suburbs</t>
  </si>
  <si>
    <t>&lt;1,000</t>
  </si>
  <si>
    <t>Central Business District</t>
  </si>
  <si>
    <t>N/A</t>
  </si>
  <si>
    <t>Source: amended from TRB, 2006</t>
  </si>
  <si>
    <t>Location type</t>
  </si>
  <si>
    <t>Residents per sq. km</t>
  </si>
  <si>
    <t>Illustrative range for station typology</t>
  </si>
  <si>
    <t>Calculated based residents in walking catchment</t>
  </si>
  <si>
    <t>The following table provides a list of illustrative residential densities that serves to validate the type of suburb/station typology specifed in the station parameters</t>
  </si>
  <si>
    <t>NB: This validationshould be treated as illustrative only and localised factors may affect the residential density calculated</t>
  </si>
  <si>
    <t>Calculated based residents in cycling catchment</t>
  </si>
  <si>
    <t>Access/egress at origin trip end (%)</t>
  </si>
  <si>
    <t>OriginPax</t>
  </si>
  <si>
    <t>DestinationPax</t>
  </si>
  <si>
    <t>Origin</t>
  </si>
  <si>
    <t>Origin mode shares</t>
  </si>
  <si>
    <t>Mean daily distance travelled (origin)</t>
  </si>
  <si>
    <t>Mean GJT (Origin access/egress mode)</t>
  </si>
  <si>
    <t>Origin end</t>
  </si>
  <si>
    <t>Origin access/egress</t>
  </si>
  <si>
    <t>Change in origin access mode</t>
  </si>
  <si>
    <t>Origin access mode</t>
  </si>
  <si>
    <t>Origin access / egress</t>
  </si>
  <si>
    <t>Complementary Travel Behaviour Change (TBhC) measures</t>
  </si>
  <si>
    <t>Estimated proportion of residents / employees / students</t>
  </si>
  <si>
    <t>Estimate the proportion of the catchment population (residents / employees / students) directly targeted by TBhC measures (workplace, school or community)</t>
  </si>
  <si>
    <t>WalkDiversionFactor</t>
  </si>
  <si>
    <t>CycleDiversionFactor</t>
  </si>
  <si>
    <t>Average cycle speed</t>
  </si>
  <si>
    <t>km/hr</t>
  </si>
  <si>
    <t>m/s</t>
  </si>
  <si>
    <t>Annual change in distance travelled by private vehicle (person-km)</t>
  </si>
  <si>
    <t>Annual change in distance travelled by bus (person-km)</t>
  </si>
  <si>
    <t>Localised collision reduction benefits</t>
  </si>
  <si>
    <t>Strategic marginal road safety benefits</t>
  </si>
  <si>
    <t>Access /egress mode</t>
  </si>
  <si>
    <t>Estimated total arrivals or departures by mode in time period</t>
  </si>
  <si>
    <t>EEM Volume 1 Section A4.2 Table A4.1</t>
  </si>
  <si>
    <t>Daily trips by car (total includes as single mode and PT access/egress)</t>
  </si>
  <si>
    <t>Annual trips travelled by car</t>
  </si>
  <si>
    <t>Total trips as car driver</t>
  </si>
  <si>
    <t>Total trips as car passenger</t>
  </si>
  <si>
    <t>Total trips by car</t>
  </si>
  <si>
    <t>Change in trips by car</t>
  </si>
  <si>
    <t>Mode change benefits (new users)</t>
  </si>
  <si>
    <t>EEM Volume 2 Section 3.8 Table 3.1</t>
  </si>
  <si>
    <t>Existing cyclists</t>
  </si>
  <si>
    <t>Existing pedestrians</t>
  </si>
  <si>
    <t>MODE CHANGE BENEFITS</t>
  </si>
  <si>
    <t>Total trips by public transport (main mode)</t>
  </si>
  <si>
    <t>Daily trips by public transport and walking/cycling</t>
  </si>
  <si>
    <t>Annual trips by public transport and walking/cycling</t>
  </si>
  <si>
    <t>Change in trips by public transport and walking/cycling</t>
  </si>
  <si>
    <t>Total trips by walking/cycling (access/egress mode)</t>
  </si>
  <si>
    <t>Change in trips by public transport (main mode)</t>
  </si>
  <si>
    <t>Change in trips by walking/cycling (access/egress mode)</t>
  </si>
  <si>
    <t>Mode share trips by public transport and walking/cycling</t>
  </si>
  <si>
    <t>Mode share of public transport (mode share)</t>
  </si>
  <si>
    <t>Mode share walking/cycling (access/egress mode)</t>
  </si>
  <si>
    <t>Change in mode share (percentage points)</t>
  </si>
  <si>
    <t>Mode shift typology</t>
  </si>
  <si>
    <t>Vehicle driver to public transport</t>
  </si>
  <si>
    <t>Vehicle driver to cycle/walk</t>
  </si>
  <si>
    <t>Total benefit per trip per % change mode shift</t>
  </si>
  <si>
    <t>Mode change benefits (new public transport users)</t>
  </si>
  <si>
    <t>Total trips by walking/cycling (main mode)</t>
  </si>
  <si>
    <t>Change in trips by walking/cycling (main mode)</t>
  </si>
  <si>
    <t>Mode share walking/cycling (main mode)</t>
  </si>
  <si>
    <t>Mode change benefits (new pedestrians/cyclists)</t>
  </si>
  <si>
    <t>Mode change (new PT users)</t>
  </si>
  <si>
    <t>Mode change (new pedestrians/cyclists)</t>
  </si>
  <si>
    <t>Mode change (PT)</t>
  </si>
  <si>
    <t>Mode change (peds/cyclists)</t>
  </si>
</sst>
</file>

<file path=xl/styles.xml><?xml version="1.0" encoding="utf-8"?>
<styleSheet xmlns="http://schemas.openxmlformats.org/spreadsheetml/2006/main">
  <numFmts count="12">
    <numFmt numFmtId="43" formatCode="_-* #,##0.00_-;\-* #,##0.00_-;_-* &quot;-&quot;??_-;_-@_-"/>
    <numFmt numFmtId="164" formatCode="0.0%"/>
    <numFmt numFmtId="165" formatCode="0.0"/>
    <numFmt numFmtId="167" formatCode="_-[$€-2]* #,##0.00_-;\-[$€-2]* #,##0.00_-;_-[$€-2]* &quot;-&quot;??_-"/>
    <numFmt numFmtId="168" formatCode="0.000"/>
    <numFmt numFmtId="169" formatCode="0.0000"/>
    <numFmt numFmtId="170" formatCode="#,##0.00_ ;\-#,##0.00\ "/>
    <numFmt numFmtId="171" formatCode="#,##0_ ;\-#,##0\ "/>
    <numFmt numFmtId="172" formatCode="0_ ;\-0\ "/>
    <numFmt numFmtId="173" formatCode="0.00_ ;\-0.00\ "/>
    <numFmt numFmtId="174" formatCode="#,##0.0_ ;\-#,##0.0\ "/>
    <numFmt numFmtId="175" formatCode="_-[$€-2]* #,##0_-;\-[$€-2]* #,##0_-;_-[$€-2]* &quot;-&quot;??_-"/>
  </numFmts>
  <fonts count="40">
    <font>
      <sz val="11"/>
      <color theme="1"/>
      <name val="Calibri"/>
      <family val="2"/>
      <scheme val="minor"/>
    </font>
    <font>
      <b/>
      <sz val="11"/>
      <color theme="1"/>
      <name val="Calibri"/>
      <family val="2"/>
      <scheme val="minor"/>
    </font>
    <font>
      <b/>
      <sz val="14"/>
      <color theme="1"/>
      <name val="Arial Narrow"/>
      <family val="2"/>
    </font>
    <font>
      <sz val="11"/>
      <color theme="1"/>
      <name val="Arial Narrow"/>
      <family val="2"/>
    </font>
    <font>
      <sz val="11"/>
      <color theme="1"/>
      <name val="Calibri"/>
      <family val="2"/>
      <scheme val="minor"/>
    </font>
    <font>
      <b/>
      <sz val="11"/>
      <color theme="1"/>
      <name val="Arial Narrow"/>
      <family val="2"/>
    </font>
    <font>
      <i/>
      <sz val="11"/>
      <color theme="1"/>
      <name val="Calibri"/>
      <family val="2"/>
      <scheme val="minor"/>
    </font>
    <font>
      <i/>
      <sz val="11"/>
      <color theme="1"/>
      <name val="Arial Narrow"/>
      <family val="2"/>
    </font>
    <font>
      <sz val="11"/>
      <color rgb="FFFF0000"/>
      <name val="Calibri"/>
      <family val="2"/>
      <scheme val="minor"/>
    </font>
    <font>
      <sz val="11"/>
      <name val="Arial Narrow"/>
      <family val="2"/>
    </font>
    <font>
      <i/>
      <sz val="11"/>
      <color rgb="FFFF0000"/>
      <name val="Arial Narrow"/>
      <family val="2"/>
    </font>
    <font>
      <b/>
      <sz val="11"/>
      <name val="Calibri"/>
      <family val="2"/>
    </font>
    <font>
      <i/>
      <sz val="11"/>
      <color rgb="FFFF0000"/>
      <name val="Calibri"/>
      <family val="2"/>
      <scheme val="minor"/>
    </font>
    <font>
      <sz val="11"/>
      <color theme="3" tint="0.39997558519241921"/>
      <name val="Calibri"/>
      <family val="2"/>
      <scheme val="minor"/>
    </font>
    <font>
      <sz val="12"/>
      <color theme="1"/>
      <name val="Calibri"/>
      <family val="2"/>
      <scheme val="minor"/>
    </font>
    <font>
      <b/>
      <i/>
      <sz val="11"/>
      <color rgb="FFFF0000"/>
      <name val="Calibri"/>
      <family val="2"/>
      <scheme val="minor"/>
    </font>
    <font>
      <b/>
      <sz val="12"/>
      <color indexed="8"/>
      <name val="Arial Narrow"/>
      <family val="2"/>
    </font>
    <font>
      <sz val="12"/>
      <color indexed="8"/>
      <name val="Arial Narrow"/>
      <family val="2"/>
    </font>
    <font>
      <b/>
      <sz val="12"/>
      <name val="Arial Narrow"/>
      <family val="2"/>
    </font>
    <font>
      <b/>
      <sz val="12"/>
      <color theme="1"/>
      <name val="Calibri"/>
      <family val="2"/>
      <scheme val="minor"/>
    </font>
    <font>
      <sz val="8"/>
      <color indexed="81"/>
      <name val="Tahoma"/>
      <family val="2"/>
    </font>
    <font>
      <b/>
      <sz val="8"/>
      <color indexed="81"/>
      <name val="Tahoma"/>
      <family val="2"/>
    </font>
    <font>
      <sz val="10"/>
      <name val="Arial"/>
      <family val="2"/>
    </font>
    <font>
      <b/>
      <sz val="10"/>
      <name val="Arial"/>
      <family val="2"/>
    </font>
    <font>
      <sz val="10"/>
      <color theme="1"/>
      <name val="Arial"/>
      <family val="2"/>
    </font>
    <font>
      <b/>
      <sz val="12"/>
      <name val="Arial"/>
      <family val="2"/>
    </font>
    <font>
      <b/>
      <sz val="11"/>
      <color indexed="8"/>
      <name val="Calibri"/>
      <family val="2"/>
      <scheme val="minor"/>
    </font>
    <font>
      <b/>
      <sz val="14"/>
      <color theme="1"/>
      <name val="Calibri"/>
      <family val="2"/>
      <scheme val="minor"/>
    </font>
    <font>
      <b/>
      <sz val="11"/>
      <name val="Calibri"/>
      <family val="2"/>
      <scheme val="minor"/>
    </font>
    <font>
      <b/>
      <sz val="16"/>
      <color indexed="8"/>
      <name val="Calibri"/>
      <family val="2"/>
      <scheme val="minor"/>
    </font>
    <font>
      <sz val="12"/>
      <color rgb="FFFF0000"/>
      <name val="Calibri"/>
      <family val="2"/>
      <scheme val="minor"/>
    </font>
    <font>
      <sz val="11"/>
      <name val="Calibri"/>
      <family val="2"/>
      <scheme val="minor"/>
    </font>
    <font>
      <b/>
      <sz val="11"/>
      <color theme="9"/>
      <name val="Calibri"/>
      <family val="2"/>
      <scheme val="minor"/>
    </font>
    <font>
      <i/>
      <sz val="11"/>
      <color indexed="8"/>
      <name val="Calibri"/>
      <family val="2"/>
      <scheme val="minor"/>
    </font>
    <font>
      <sz val="11"/>
      <color rgb="FF000000"/>
      <name val="Calibri"/>
      <family val="2"/>
      <scheme val="minor"/>
    </font>
    <font>
      <i/>
      <sz val="11"/>
      <name val="Calibri"/>
      <family val="2"/>
      <scheme val="minor"/>
    </font>
    <font>
      <i/>
      <sz val="11"/>
      <color rgb="FF0070C0"/>
      <name val="Calibri"/>
      <family val="2"/>
      <scheme val="minor"/>
    </font>
    <font>
      <sz val="11"/>
      <color rgb="FF0070C0"/>
      <name val="Calibri"/>
      <family val="2"/>
      <scheme val="minor"/>
    </font>
    <font>
      <sz val="11"/>
      <color rgb="FF0070C0"/>
      <name val="Arial Narrow"/>
      <family val="2"/>
    </font>
    <font>
      <i/>
      <sz val="11"/>
      <color theme="4"/>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149967955565050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left>
      <right style="thin">
        <color indexed="64"/>
      </right>
      <top style="medium">
        <color theme="4"/>
      </top>
      <bottom style="thin">
        <color indexed="64"/>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style="thin">
        <color indexed="64"/>
      </top>
      <bottom/>
      <diagonal/>
    </border>
    <border>
      <left style="medium">
        <color theme="4"/>
      </left>
      <right/>
      <top/>
      <bottom style="thin">
        <color indexed="64"/>
      </bottom>
      <diagonal/>
    </border>
    <border>
      <left style="medium">
        <color theme="4"/>
      </left>
      <right/>
      <top style="thin">
        <color indexed="64"/>
      </top>
      <bottom style="thin">
        <color indexed="64"/>
      </bottom>
      <diagonal/>
    </border>
    <border>
      <left style="medium">
        <color theme="4"/>
      </left>
      <right style="thin">
        <color indexed="64"/>
      </right>
      <top style="thin">
        <color indexed="64"/>
      </top>
      <bottom/>
      <diagonal/>
    </border>
    <border>
      <left style="medium">
        <color theme="4"/>
      </left>
      <right style="thin">
        <color indexed="64"/>
      </right>
      <top/>
      <bottom/>
      <diagonal/>
    </border>
    <border>
      <left style="medium">
        <color theme="4"/>
      </left>
      <right style="thin">
        <color indexed="64"/>
      </right>
      <top/>
      <bottom style="thin">
        <color indexed="64"/>
      </bottom>
      <diagonal/>
    </border>
    <border>
      <left style="medium">
        <color theme="4"/>
      </left>
      <right style="thin">
        <color indexed="64"/>
      </right>
      <top/>
      <bottom style="medium">
        <color theme="4"/>
      </bottom>
      <diagonal/>
    </border>
    <border>
      <left/>
      <right style="thin">
        <color indexed="64"/>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style="thin">
        <color indexed="64"/>
      </right>
      <top style="thin">
        <color indexed="64"/>
      </top>
      <bottom style="thin">
        <color indexed="64"/>
      </bottom>
      <diagonal/>
    </border>
    <border>
      <left style="medium">
        <color theme="4"/>
      </left>
      <right/>
      <top/>
      <bottom style="medium">
        <color theme="4"/>
      </bottom>
      <diagonal/>
    </border>
    <border>
      <left style="thin">
        <color indexed="64"/>
      </left>
      <right style="thin">
        <color indexed="64"/>
      </right>
      <top/>
      <bottom style="medium">
        <color theme="4"/>
      </bottom>
      <diagonal/>
    </border>
    <border>
      <left style="thin">
        <color indexed="64"/>
      </left>
      <right style="thin">
        <color indexed="64"/>
      </right>
      <top style="medium">
        <color theme="4"/>
      </top>
      <bottom style="thin">
        <color indexed="64"/>
      </bottom>
      <diagonal/>
    </border>
    <border>
      <left style="thin">
        <color indexed="64"/>
      </left>
      <right style="medium">
        <color theme="4"/>
      </right>
      <top style="thin">
        <color indexed="64"/>
      </top>
      <bottom style="thin">
        <color indexed="64"/>
      </bottom>
      <diagonal/>
    </border>
    <border>
      <left style="medium">
        <color theme="4"/>
      </left>
      <right/>
      <top style="thin">
        <color indexed="64"/>
      </top>
      <bottom style="medium">
        <color theme="4"/>
      </bottom>
      <diagonal/>
    </border>
    <border>
      <left/>
      <right style="thin">
        <color indexed="64"/>
      </right>
      <top style="thin">
        <color indexed="64"/>
      </top>
      <bottom style="medium">
        <color theme="4"/>
      </bottom>
      <diagonal/>
    </border>
    <border>
      <left style="thin">
        <color indexed="64"/>
      </left>
      <right style="thin">
        <color indexed="64"/>
      </right>
      <top style="thin">
        <color indexed="64"/>
      </top>
      <bottom style="medium">
        <color theme="4"/>
      </bottom>
      <diagonal/>
    </border>
    <border>
      <left style="thin">
        <color indexed="64"/>
      </left>
      <right style="medium">
        <color theme="4"/>
      </right>
      <top style="thin">
        <color indexed="64"/>
      </top>
      <bottom style="medium">
        <color theme="4"/>
      </bottom>
      <diagonal/>
    </border>
    <border>
      <left/>
      <right style="medium">
        <color theme="4"/>
      </right>
      <top style="thin">
        <color indexed="64"/>
      </top>
      <bottom/>
      <diagonal/>
    </border>
  </borders>
  <cellStyleXfs count="14">
    <xf numFmtId="167" fontId="0" fillId="0" borderId="0"/>
    <xf numFmtId="9" fontId="4" fillId="0" borderId="0" applyFont="0" applyFill="0" applyBorder="0" applyAlignment="0" applyProtection="0"/>
    <xf numFmtId="43" fontId="22" fillId="0" borderId="0" applyFont="0" applyFill="0" applyBorder="0" applyAlignment="0" applyProtection="0"/>
    <xf numFmtId="167" fontId="23" fillId="0" borderId="0"/>
    <xf numFmtId="167" fontId="22" fillId="0" borderId="0" applyFont="0" applyFill="0" applyBorder="0" applyAlignment="0" applyProtection="0"/>
    <xf numFmtId="167" fontId="23" fillId="0" borderId="0"/>
    <xf numFmtId="167" fontId="22" fillId="0" borderId="0"/>
    <xf numFmtId="167" fontId="22" fillId="0" borderId="0"/>
    <xf numFmtId="167" fontId="24" fillId="0" borderId="0"/>
    <xf numFmtId="9" fontId="22" fillId="0" borderId="0" applyFont="0" applyFill="0" applyBorder="0" applyAlignment="0" applyProtection="0"/>
    <xf numFmtId="167" fontId="22" fillId="0" borderId="0">
      <alignment textRotation="90"/>
    </xf>
    <xf numFmtId="167" fontId="22" fillId="0" borderId="0"/>
    <xf numFmtId="167" fontId="25" fillId="0" borderId="0"/>
    <xf numFmtId="167" fontId="23" fillId="0" borderId="0"/>
  </cellStyleXfs>
  <cellXfs count="609">
    <xf numFmtId="167" fontId="0" fillId="0" borderId="0" xfId="0"/>
    <xf numFmtId="167" fontId="0" fillId="2" borderId="0" xfId="0" applyFill="1"/>
    <xf numFmtId="167" fontId="2" fillId="2" borderId="0" xfId="0" applyFont="1" applyFill="1"/>
    <xf numFmtId="49" fontId="3" fillId="2" borderId="0" xfId="0" applyNumberFormat="1" applyFont="1" applyFill="1"/>
    <xf numFmtId="167" fontId="3" fillId="4" borderId="12" xfId="0" applyFont="1" applyFill="1" applyBorder="1"/>
    <xf numFmtId="167" fontId="5" fillId="3" borderId="12" xfId="0" applyFont="1" applyFill="1" applyBorder="1"/>
    <xf numFmtId="167" fontId="0" fillId="4" borderId="13" xfId="0" applyFill="1" applyBorder="1"/>
    <xf numFmtId="167" fontId="0" fillId="4" borderId="14" xfId="0" applyFill="1" applyBorder="1"/>
    <xf numFmtId="167" fontId="0" fillId="2" borderId="0" xfId="0" applyFont="1" applyFill="1"/>
    <xf numFmtId="167" fontId="3" fillId="2" borderId="0" xfId="0" applyFont="1" applyFill="1"/>
    <xf numFmtId="167" fontId="3" fillId="2" borderId="11" xfId="0" applyFont="1" applyFill="1" applyBorder="1"/>
    <xf numFmtId="167" fontId="3" fillId="2" borderId="12" xfId="0" applyFont="1" applyFill="1" applyBorder="1"/>
    <xf numFmtId="167" fontId="5" fillId="3" borderId="10" xfId="0" applyFont="1" applyFill="1" applyBorder="1"/>
    <xf numFmtId="167" fontId="5" fillId="2" borderId="1" xfId="0" applyFont="1" applyFill="1" applyBorder="1"/>
    <xf numFmtId="167" fontId="1" fillId="2" borderId="0" xfId="0" applyFont="1" applyFill="1"/>
    <xf numFmtId="167" fontId="0" fillId="2" borderId="0" xfId="0" applyFill="1" applyBorder="1"/>
    <xf numFmtId="167" fontId="3" fillId="2" borderId="7" xfId="0" applyFont="1" applyFill="1" applyBorder="1"/>
    <xf numFmtId="167" fontId="3" fillId="2" borderId="9" xfId="0" applyFont="1" applyFill="1" applyBorder="1"/>
    <xf numFmtId="167" fontId="3" fillId="2" borderId="0" xfId="0" applyFont="1" applyFill="1" applyBorder="1"/>
    <xf numFmtId="167" fontId="3" fillId="2" borderId="6" xfId="0" applyFont="1" applyFill="1" applyBorder="1"/>
    <xf numFmtId="167" fontId="5" fillId="2" borderId="0" xfId="0" applyFont="1" applyFill="1" applyBorder="1"/>
    <xf numFmtId="167" fontId="3" fillId="2" borderId="0" xfId="0" applyFont="1" applyFill="1" applyBorder="1" applyAlignment="1">
      <alignment wrapText="1"/>
    </xf>
    <xf numFmtId="167" fontId="3" fillId="2" borderId="1" xfId="0" applyFont="1" applyFill="1" applyBorder="1"/>
    <xf numFmtId="167" fontId="0" fillId="2" borderId="1" xfId="0" applyFill="1" applyBorder="1"/>
    <xf numFmtId="167" fontId="3" fillId="2" borderId="14" xfId="0" applyFont="1" applyFill="1" applyBorder="1"/>
    <xf numFmtId="167" fontId="6" fillId="2" borderId="0" xfId="0" applyFont="1" applyFill="1" applyBorder="1"/>
    <xf numFmtId="167" fontId="8" fillId="2" borderId="0" xfId="0" applyFont="1" applyFill="1"/>
    <xf numFmtId="167" fontId="0" fillId="2" borderId="0" xfId="0" applyFill="1" applyAlignment="1">
      <alignment wrapText="1"/>
    </xf>
    <xf numFmtId="167" fontId="3" fillId="2" borderId="13" xfId="0" applyFont="1" applyFill="1" applyBorder="1"/>
    <xf numFmtId="167" fontId="7" fillId="2" borderId="0" xfId="0" applyFont="1" applyFill="1"/>
    <xf numFmtId="167" fontId="3" fillId="2" borderId="0" xfId="0" applyFont="1" applyFill="1" applyAlignment="1"/>
    <xf numFmtId="167" fontId="5" fillId="2" borderId="1" xfId="0" applyFont="1" applyFill="1" applyBorder="1" applyAlignment="1">
      <alignment wrapText="1"/>
    </xf>
    <xf numFmtId="167" fontId="3" fillId="2" borderId="10" xfId="0" applyFont="1" applyFill="1" applyBorder="1"/>
    <xf numFmtId="167" fontId="1" fillId="2" borderId="1" xfId="0" applyFont="1" applyFill="1" applyBorder="1"/>
    <xf numFmtId="167" fontId="12" fillId="2" borderId="0" xfId="0" applyFont="1" applyFill="1"/>
    <xf numFmtId="167" fontId="0" fillId="4" borderId="4" xfId="0" applyFill="1" applyBorder="1"/>
    <xf numFmtId="167" fontId="0" fillId="4" borderId="0" xfId="0" applyFill="1" applyBorder="1"/>
    <xf numFmtId="167" fontId="0" fillId="4" borderId="8" xfId="0" applyFill="1" applyBorder="1"/>
    <xf numFmtId="167" fontId="0" fillId="2" borderId="4" xfId="0" applyFill="1" applyBorder="1"/>
    <xf numFmtId="167" fontId="11" fillId="2" borderId="6" xfId="0" applyFont="1" applyFill="1" applyBorder="1" applyAlignment="1">
      <alignment horizontal="left" vertical="top" wrapText="1"/>
    </xf>
    <xf numFmtId="167" fontId="11" fillId="2" borderId="1" xfId="0" applyFont="1" applyFill="1" applyBorder="1" applyAlignment="1">
      <alignment horizontal="left" vertical="top" wrapText="1"/>
    </xf>
    <xf numFmtId="167" fontId="11" fillId="2" borderId="12" xfId="0" applyFont="1" applyFill="1" applyBorder="1" applyAlignment="1">
      <alignment horizontal="left" vertical="top" wrapText="1"/>
    </xf>
    <xf numFmtId="167" fontId="0" fillId="2" borderId="15" xfId="0" applyFill="1" applyBorder="1"/>
    <xf numFmtId="164" fontId="3" fillId="2" borderId="9" xfId="1" applyNumberFormat="1" applyFont="1" applyFill="1" applyBorder="1"/>
    <xf numFmtId="3" fontId="0" fillId="2" borderId="0" xfId="0" applyNumberFormat="1" applyFill="1"/>
    <xf numFmtId="167" fontId="5" fillId="4" borderId="10" xfId="0" applyFont="1" applyFill="1" applyBorder="1"/>
    <xf numFmtId="167" fontId="13" fillId="2" borderId="0" xfId="0" applyFont="1" applyFill="1"/>
    <xf numFmtId="167" fontId="3" fillId="4" borderId="9" xfId="0" applyFont="1" applyFill="1" applyBorder="1"/>
    <xf numFmtId="167" fontId="3" fillId="4" borderId="3" xfId="0" applyFont="1" applyFill="1" applyBorder="1"/>
    <xf numFmtId="167" fontId="3" fillId="4" borderId="15" xfId="0" applyFont="1" applyFill="1" applyBorder="1"/>
    <xf numFmtId="167" fontId="3" fillId="4" borderId="4" xfId="0" applyFont="1" applyFill="1" applyBorder="1"/>
    <xf numFmtId="167" fontId="3" fillId="4" borderId="0" xfId="0" applyFont="1" applyFill="1" applyBorder="1"/>
    <xf numFmtId="167" fontId="3" fillId="4" borderId="13" xfId="0" applyFont="1" applyFill="1" applyBorder="1"/>
    <xf numFmtId="167" fontId="3" fillId="4" borderId="6" xfId="0" applyFont="1" applyFill="1" applyBorder="1"/>
    <xf numFmtId="167" fontId="3" fillId="4" borderId="14" xfId="0" applyFont="1" applyFill="1" applyBorder="1"/>
    <xf numFmtId="167" fontId="7" fillId="4" borderId="4" xfId="0" applyFont="1" applyFill="1" applyBorder="1"/>
    <xf numFmtId="167" fontId="7" fillId="4" borderId="12" xfId="0" applyFont="1" applyFill="1" applyBorder="1"/>
    <xf numFmtId="167" fontId="7" fillId="4" borderId="1" xfId="0" applyFont="1" applyFill="1" applyBorder="1"/>
    <xf numFmtId="167" fontId="0" fillId="4" borderId="15" xfId="0" applyFill="1" applyBorder="1"/>
    <xf numFmtId="167" fontId="7" fillId="4" borderId="15" xfId="0" applyFont="1" applyFill="1" applyBorder="1"/>
    <xf numFmtId="167" fontId="6" fillId="2" borderId="0" xfId="0" applyFont="1" applyFill="1"/>
    <xf numFmtId="167" fontId="0" fillId="11" borderId="1" xfId="0" applyFill="1" applyBorder="1"/>
    <xf numFmtId="2" fontId="0" fillId="10" borderId="13" xfId="0" applyNumberFormat="1" applyFont="1" applyFill="1" applyBorder="1"/>
    <xf numFmtId="2" fontId="0" fillId="10" borderId="14" xfId="0" applyNumberFormat="1" applyFont="1" applyFill="1" applyBorder="1"/>
    <xf numFmtId="167" fontId="3" fillId="7" borderId="1" xfId="0" applyFont="1" applyFill="1" applyBorder="1"/>
    <xf numFmtId="167" fontId="0" fillId="2" borderId="20" xfId="0" applyFill="1" applyBorder="1"/>
    <xf numFmtId="167" fontId="3" fillId="2" borderId="22" xfId="0" applyFont="1" applyFill="1" applyBorder="1"/>
    <xf numFmtId="167" fontId="3" fillId="2" borderId="19" xfId="0" applyFont="1" applyFill="1" applyBorder="1"/>
    <xf numFmtId="167" fontId="1" fillId="2" borderId="19" xfId="0" applyFont="1" applyFill="1" applyBorder="1"/>
    <xf numFmtId="167" fontId="0" fillId="2" borderId="21" xfId="0" applyFill="1" applyBorder="1"/>
    <xf numFmtId="167" fontId="5" fillId="2" borderId="19" xfId="0" applyFont="1" applyFill="1" applyBorder="1"/>
    <xf numFmtId="167" fontId="9" fillId="2" borderId="23" xfId="0" applyFont="1" applyFill="1" applyBorder="1"/>
    <xf numFmtId="167" fontId="3" fillId="2" borderId="19" xfId="0" applyFont="1" applyFill="1" applyBorder="1" applyAlignment="1">
      <alignment horizontal="right"/>
    </xf>
    <xf numFmtId="167" fontId="3" fillId="2" borderId="24" xfId="0" applyFont="1" applyFill="1" applyBorder="1"/>
    <xf numFmtId="167" fontId="3" fillId="2" borderId="25" xfId="0" applyFont="1" applyFill="1" applyBorder="1"/>
    <xf numFmtId="167" fontId="3" fillId="2" borderId="26" xfId="0" applyFont="1" applyFill="1" applyBorder="1"/>
    <xf numFmtId="167" fontId="0" fillId="2" borderId="19" xfId="0" applyFill="1" applyBorder="1"/>
    <xf numFmtId="167" fontId="3" fillId="2" borderId="21" xfId="0" applyFont="1" applyFill="1" applyBorder="1"/>
    <xf numFmtId="167" fontId="3" fillId="2" borderId="27" xfId="0" applyFont="1" applyFill="1" applyBorder="1"/>
    <xf numFmtId="167" fontId="3" fillId="4" borderId="28" xfId="0" applyFont="1" applyFill="1" applyBorder="1"/>
    <xf numFmtId="167" fontId="3" fillId="2" borderId="29" xfId="0" applyFont="1" applyFill="1" applyBorder="1"/>
    <xf numFmtId="167" fontId="0" fillId="2" borderId="30" xfId="0" applyFill="1" applyBorder="1"/>
    <xf numFmtId="167" fontId="9" fillId="2" borderId="31" xfId="0" applyFont="1" applyFill="1" applyBorder="1"/>
    <xf numFmtId="167" fontId="3" fillId="2" borderId="32" xfId="0" applyFont="1" applyFill="1" applyBorder="1"/>
    <xf numFmtId="167" fontId="3" fillId="4" borderId="33" xfId="0" applyFont="1" applyFill="1" applyBorder="1"/>
    <xf numFmtId="167" fontId="10" fillId="2" borderId="19" xfId="0" applyFont="1" applyFill="1" applyBorder="1"/>
    <xf numFmtId="167" fontId="15" fillId="2" borderId="0" xfId="0" applyFont="1" applyFill="1"/>
    <xf numFmtId="167" fontId="17" fillId="2" borderId="11" xfId="0" applyFont="1" applyFill="1" applyBorder="1"/>
    <xf numFmtId="2" fontId="3" fillId="8" borderId="14" xfId="0" applyNumberFormat="1" applyFont="1" applyFill="1" applyBorder="1"/>
    <xf numFmtId="2" fontId="0" fillId="2" borderId="13" xfId="0" applyNumberFormat="1" applyFont="1" applyFill="1" applyBorder="1"/>
    <xf numFmtId="167" fontId="16" fillId="2" borderId="0" xfId="0" applyFont="1" applyFill="1" applyBorder="1" applyAlignment="1">
      <alignment horizontal="left"/>
    </xf>
    <xf numFmtId="167" fontId="16" fillId="2" borderId="10" xfId="0" applyFont="1" applyFill="1" applyBorder="1"/>
    <xf numFmtId="167" fontId="0" fillId="2" borderId="13" xfId="0" applyFill="1" applyBorder="1"/>
    <xf numFmtId="167" fontId="18" fillId="2" borderId="0" xfId="0" applyFont="1" applyFill="1" applyBorder="1" applyAlignment="1">
      <alignment horizontal="center"/>
    </xf>
    <xf numFmtId="3" fontId="0" fillId="5" borderId="13" xfId="0" applyNumberFormat="1" applyFill="1" applyBorder="1"/>
    <xf numFmtId="3" fontId="0" fillId="5" borderId="14" xfId="0" applyNumberFormat="1" applyFill="1" applyBorder="1"/>
    <xf numFmtId="167" fontId="0" fillId="2" borderId="0" xfId="0" quotePrefix="1" applyFill="1"/>
    <xf numFmtId="3" fontId="0" fillId="9" borderId="13" xfId="0" applyNumberFormat="1" applyFill="1" applyBorder="1"/>
    <xf numFmtId="3" fontId="0" fillId="9" borderId="14" xfId="0" applyNumberFormat="1" applyFill="1" applyBorder="1"/>
    <xf numFmtId="167" fontId="0" fillId="9" borderId="0" xfId="0" applyFill="1"/>
    <xf numFmtId="9" fontId="0" fillId="2" borderId="0" xfId="1" applyFont="1" applyFill="1"/>
    <xf numFmtId="167" fontId="1" fillId="9" borderId="0" xfId="0" applyFont="1" applyFill="1"/>
    <xf numFmtId="167" fontId="0" fillId="0" borderId="0" xfId="0" applyBorder="1" applyAlignment="1"/>
    <xf numFmtId="167" fontId="1" fillId="2" borderId="1" xfId="0" applyFont="1" applyFill="1" applyBorder="1" applyAlignment="1"/>
    <xf numFmtId="167" fontId="1" fillId="2" borderId="1" xfId="0" applyFont="1" applyFill="1" applyBorder="1" applyAlignment="1">
      <alignment wrapText="1"/>
    </xf>
    <xf numFmtId="167" fontId="1" fillId="2" borderId="10" xfId="0" applyFont="1" applyFill="1" applyBorder="1" applyAlignment="1">
      <alignment wrapText="1"/>
    </xf>
    <xf numFmtId="167" fontId="0" fillId="2" borderId="10" xfId="0" applyFill="1" applyBorder="1"/>
    <xf numFmtId="167" fontId="0" fillId="2" borderId="12" xfId="0" applyFill="1" applyBorder="1"/>
    <xf numFmtId="167" fontId="0" fillId="2" borderId="0" xfId="0" applyFont="1" applyFill="1" applyBorder="1"/>
    <xf numFmtId="167" fontId="0" fillId="2" borderId="1" xfId="0" applyFont="1" applyFill="1" applyBorder="1"/>
    <xf numFmtId="167" fontId="26" fillId="6" borderId="1" xfId="0" applyFont="1" applyFill="1" applyBorder="1" applyAlignment="1">
      <alignment horizontal="left" vertical="center" wrapText="1"/>
    </xf>
    <xf numFmtId="167" fontId="19" fillId="2" borderId="0" xfId="0" applyFont="1" applyFill="1" applyBorder="1"/>
    <xf numFmtId="167" fontId="1" fillId="2" borderId="0" xfId="0" applyFont="1" applyFill="1" applyBorder="1"/>
    <xf numFmtId="1" fontId="0" fillId="2" borderId="1" xfId="0" applyNumberFormat="1" applyFont="1" applyFill="1" applyBorder="1"/>
    <xf numFmtId="167" fontId="14" fillId="2" borderId="0" xfId="0" applyFont="1" applyFill="1" applyBorder="1" applyAlignment="1">
      <alignment horizontal="right" vertical="center"/>
    </xf>
    <xf numFmtId="167" fontId="0" fillId="2" borderId="0" xfId="0" applyFont="1" applyFill="1" applyBorder="1" applyAlignment="1">
      <alignment horizontal="right" vertical="center"/>
    </xf>
    <xf numFmtId="167" fontId="0" fillId="2" borderId="1" xfId="0" applyFont="1" applyFill="1" applyBorder="1" applyAlignment="1">
      <alignment wrapText="1"/>
    </xf>
    <xf numFmtId="167" fontId="12" fillId="2" borderId="0" xfId="0" applyFont="1" applyFill="1" applyBorder="1"/>
    <xf numFmtId="9" fontId="0" fillId="2" borderId="0" xfId="1" applyFont="1" applyFill="1" applyBorder="1" applyAlignment="1">
      <alignment horizontal="center"/>
    </xf>
    <xf numFmtId="1" fontId="0" fillId="2" borderId="0" xfId="0" applyNumberFormat="1" applyFill="1" applyBorder="1" applyAlignment="1">
      <alignment horizontal="center"/>
    </xf>
    <xf numFmtId="167" fontId="0" fillId="2" borderId="0" xfId="0" applyFill="1" applyBorder="1" applyAlignment="1">
      <alignment horizontal="center"/>
    </xf>
    <xf numFmtId="167" fontId="0" fillId="2" borderId="12" xfId="0" applyFont="1" applyFill="1" applyBorder="1"/>
    <xf numFmtId="167" fontId="0" fillId="2" borderId="5" xfId="0" applyFill="1" applyBorder="1"/>
    <xf numFmtId="2" fontId="0" fillId="2" borderId="0" xfId="0" applyNumberFormat="1" applyFill="1" applyBorder="1"/>
    <xf numFmtId="2" fontId="0" fillId="2" borderId="12" xfId="0" applyNumberFormat="1" applyFont="1" applyFill="1" applyBorder="1"/>
    <xf numFmtId="167" fontId="1" fillId="2" borderId="0" xfId="0" applyFont="1" applyFill="1" applyBorder="1" applyAlignment="1">
      <alignment horizontal="center"/>
    </xf>
    <xf numFmtId="2" fontId="0" fillId="2" borderId="0" xfId="0" applyNumberFormat="1" applyFont="1" applyFill="1" applyBorder="1"/>
    <xf numFmtId="9" fontId="0" fillId="2" borderId="0" xfId="1" applyFont="1" applyFill="1" applyBorder="1" applyAlignment="1">
      <alignment horizontal="left"/>
    </xf>
    <xf numFmtId="167" fontId="0" fillId="2" borderId="0" xfId="0" applyFill="1" applyBorder="1" applyAlignment="1">
      <alignment horizontal="right"/>
    </xf>
    <xf numFmtId="1" fontId="0" fillId="2" borderId="0" xfId="0" applyNumberFormat="1" applyFont="1" applyFill="1" applyBorder="1"/>
    <xf numFmtId="167" fontId="1" fillId="2" borderId="5" xfId="0" applyFont="1" applyFill="1" applyBorder="1"/>
    <xf numFmtId="167" fontId="0" fillId="9" borderId="0" xfId="0" applyFill="1" applyBorder="1"/>
    <xf numFmtId="167" fontId="0" fillId="7" borderId="0" xfId="0" applyFont="1" applyFill="1"/>
    <xf numFmtId="167" fontId="1" fillId="7" borderId="0" xfId="0" applyFont="1" applyFill="1"/>
    <xf numFmtId="167" fontId="0" fillId="7" borderId="0" xfId="0" applyFont="1" applyFill="1" applyBorder="1"/>
    <xf numFmtId="167" fontId="3" fillId="7" borderId="0" xfId="0" applyFont="1" applyFill="1"/>
    <xf numFmtId="3" fontId="3" fillId="7" borderId="0" xfId="0" applyNumberFormat="1" applyFont="1" applyFill="1" applyAlignment="1">
      <alignment horizontal="center"/>
    </xf>
    <xf numFmtId="167" fontId="7" fillId="7" borderId="0" xfId="0" applyFont="1" applyFill="1"/>
    <xf numFmtId="167" fontId="14" fillId="7" borderId="1" xfId="0" applyFont="1" applyFill="1" applyBorder="1"/>
    <xf numFmtId="167" fontId="7" fillId="2" borderId="0" xfId="0" applyFont="1" applyFill="1" applyAlignment="1">
      <alignment horizontal="center"/>
    </xf>
    <xf numFmtId="167" fontId="0" fillId="9" borderId="1" xfId="0" applyFont="1" applyFill="1" applyBorder="1"/>
    <xf numFmtId="167" fontId="0" fillId="7" borderId="1" xfId="0" applyFont="1" applyFill="1" applyBorder="1"/>
    <xf numFmtId="167" fontId="0" fillId="7" borderId="0" xfId="0" applyFill="1" applyBorder="1" applyAlignment="1">
      <alignment horizontal="left" vertical="center"/>
    </xf>
    <xf numFmtId="1" fontId="0" fillId="7" borderId="0" xfId="0" applyNumberFormat="1" applyFont="1" applyFill="1" applyBorder="1"/>
    <xf numFmtId="167" fontId="0" fillId="2" borderId="1" xfId="0" applyFill="1" applyBorder="1" applyAlignment="1">
      <alignment horizontal="left"/>
    </xf>
    <xf numFmtId="167" fontId="1" fillId="2" borderId="1" xfId="0" applyFont="1" applyFill="1" applyBorder="1" applyAlignment="1"/>
    <xf numFmtId="2" fontId="3" fillId="8" borderId="15" xfId="0" applyNumberFormat="1" applyFont="1" applyFill="1" applyBorder="1"/>
    <xf numFmtId="2" fontId="3" fillId="8" borderId="13" xfId="0" applyNumberFormat="1" applyFont="1" applyFill="1" applyBorder="1"/>
    <xf numFmtId="3" fontId="0" fillId="9" borderId="1" xfId="0" applyNumberFormat="1" applyFont="1" applyFill="1" applyBorder="1"/>
    <xf numFmtId="3" fontId="0" fillId="8" borderId="1" xfId="0" applyNumberFormat="1" applyFont="1" applyFill="1" applyBorder="1"/>
    <xf numFmtId="3" fontId="0" fillId="2" borderId="1" xfId="0" applyNumberFormat="1" applyFill="1" applyBorder="1"/>
    <xf numFmtId="167" fontId="0" fillId="2" borderId="14" xfId="0" applyFont="1" applyFill="1" applyBorder="1"/>
    <xf numFmtId="167" fontId="0" fillId="2" borderId="10" xfId="0" applyFont="1" applyFill="1" applyBorder="1"/>
    <xf numFmtId="167" fontId="0" fillId="2" borderId="1" xfId="0" applyFill="1" applyBorder="1" applyAlignment="1">
      <alignment horizontal="right"/>
    </xf>
    <xf numFmtId="3" fontId="0" fillId="2" borderId="0" xfId="0" applyNumberFormat="1" applyFill="1" applyBorder="1"/>
    <xf numFmtId="167" fontId="0" fillId="9" borderId="10" xfId="0" applyFill="1" applyBorder="1"/>
    <xf numFmtId="167" fontId="0" fillId="9" borderId="12" xfId="0" applyFill="1" applyBorder="1"/>
    <xf numFmtId="167" fontId="14" fillId="9" borderId="10" xfId="0" applyFont="1" applyFill="1" applyBorder="1"/>
    <xf numFmtId="167" fontId="1" fillId="2" borderId="0" xfId="0" applyFont="1" applyFill="1" applyBorder="1" applyAlignment="1">
      <alignment wrapText="1"/>
    </xf>
    <xf numFmtId="167" fontId="1" fillId="2" borderId="15" xfId="0" applyFont="1" applyFill="1" applyBorder="1" applyAlignment="1">
      <alignment wrapText="1"/>
    </xf>
    <xf numFmtId="167" fontId="0" fillId="2" borderId="0" xfId="0" applyFont="1" applyFill="1" applyBorder="1" applyAlignment="1">
      <alignment wrapText="1"/>
    </xf>
    <xf numFmtId="167" fontId="0" fillId="2" borderId="0" xfId="0" applyFill="1" applyBorder="1" applyAlignment="1">
      <alignment wrapText="1"/>
    </xf>
    <xf numFmtId="167" fontId="0" fillId="2" borderId="0" xfId="0" applyFont="1" applyFill="1" applyBorder="1" applyAlignment="1">
      <alignment horizontal="left"/>
    </xf>
    <xf numFmtId="167" fontId="0" fillId="2" borderId="0" xfId="0" applyFill="1" applyBorder="1" applyAlignment="1">
      <alignment horizontal="left"/>
    </xf>
    <xf numFmtId="168" fontId="0" fillId="2" borderId="1" xfId="0" applyNumberFormat="1" applyFill="1" applyBorder="1"/>
    <xf numFmtId="167" fontId="0" fillId="2" borderId="1" xfId="0" applyFont="1" applyFill="1" applyBorder="1" applyAlignment="1">
      <alignment horizontal="left"/>
    </xf>
    <xf numFmtId="3" fontId="0" fillId="9" borderId="1" xfId="0" applyNumberFormat="1" applyFill="1" applyBorder="1"/>
    <xf numFmtId="168" fontId="0" fillId="9" borderId="1" xfId="0" applyNumberFormat="1" applyFill="1" applyBorder="1"/>
    <xf numFmtId="9" fontId="0" fillId="9" borderId="0" xfId="1" applyFont="1" applyFill="1" applyBorder="1"/>
    <xf numFmtId="167" fontId="27" fillId="3" borderId="1" xfId="0" applyFont="1" applyFill="1" applyBorder="1"/>
    <xf numFmtId="167" fontId="28" fillId="3" borderId="0" xfId="0" applyFont="1" applyFill="1"/>
    <xf numFmtId="167" fontId="0" fillId="3" borderId="0" xfId="0" applyFont="1" applyFill="1"/>
    <xf numFmtId="167" fontId="0" fillId="2" borderId="11" xfId="0" applyFont="1" applyFill="1" applyBorder="1"/>
    <xf numFmtId="167" fontId="0" fillId="2" borderId="15" xfId="0" applyFont="1" applyFill="1" applyBorder="1"/>
    <xf numFmtId="167" fontId="0" fillId="2" borderId="3" xfId="0" applyFont="1" applyFill="1" applyBorder="1"/>
    <xf numFmtId="167" fontId="0" fillId="2" borderId="13" xfId="0" applyFont="1" applyFill="1" applyBorder="1"/>
    <xf numFmtId="167" fontId="0" fillId="2" borderId="8" xfId="0" applyFont="1" applyFill="1" applyBorder="1"/>
    <xf numFmtId="167" fontId="0" fillId="2" borderId="0" xfId="0" applyFont="1" applyFill="1" applyBorder="1" applyAlignment="1">
      <alignment horizontal="right"/>
    </xf>
    <xf numFmtId="9" fontId="0" fillId="9" borderId="0" xfId="1" applyFont="1" applyFill="1"/>
    <xf numFmtId="167" fontId="0" fillId="2" borderId="0" xfId="0" applyFont="1" applyFill="1" applyBorder="1" applyAlignment="1"/>
    <xf numFmtId="167" fontId="0" fillId="2" borderId="5" xfId="0" applyFont="1" applyFill="1" applyBorder="1"/>
    <xf numFmtId="1" fontId="0" fillId="2" borderId="5" xfId="0" applyNumberFormat="1" applyFont="1" applyFill="1" applyBorder="1"/>
    <xf numFmtId="167" fontId="0" fillId="2" borderId="0" xfId="0" applyFont="1" applyFill="1" applyAlignment="1">
      <alignment wrapText="1"/>
    </xf>
    <xf numFmtId="3" fontId="0" fillId="2" borderId="0" xfId="0" applyNumberFormat="1" applyFont="1" applyFill="1" applyBorder="1"/>
    <xf numFmtId="3" fontId="0" fillId="2" borderId="0" xfId="0" applyNumberFormat="1" applyFont="1" applyFill="1"/>
    <xf numFmtId="167" fontId="26" fillId="2" borderId="0" xfId="0" applyFont="1" applyFill="1" applyBorder="1" applyAlignment="1">
      <alignment horizontal="left" vertical="center"/>
    </xf>
    <xf numFmtId="167" fontId="26" fillId="2" borderId="0" xfId="0" applyFont="1" applyFill="1" applyBorder="1" applyAlignment="1">
      <alignment horizontal="left" vertical="center" wrapText="1"/>
    </xf>
    <xf numFmtId="167" fontId="30" fillId="2" borderId="0" xfId="0" applyFont="1" applyFill="1" applyBorder="1" applyAlignment="1"/>
    <xf numFmtId="167" fontId="1" fillId="7" borderId="1" xfId="0" applyFont="1" applyFill="1" applyBorder="1"/>
    <xf numFmtId="167" fontId="1" fillId="2" borderId="3" xfId="0" applyFont="1" applyFill="1" applyBorder="1" applyAlignment="1">
      <alignment wrapText="1"/>
    </xf>
    <xf numFmtId="167" fontId="1" fillId="7" borderId="1" xfId="0" applyFont="1" applyFill="1" applyBorder="1" applyAlignment="1">
      <alignment wrapText="1"/>
    </xf>
    <xf numFmtId="3" fontId="1" fillId="7" borderId="1" xfId="0" applyNumberFormat="1" applyFont="1" applyFill="1" applyBorder="1" applyAlignment="1">
      <alignment wrapText="1"/>
    </xf>
    <xf numFmtId="3" fontId="0" fillId="9" borderId="13" xfId="0" applyNumberFormat="1" applyFont="1" applyFill="1" applyBorder="1"/>
    <xf numFmtId="3" fontId="0" fillId="7" borderId="13" xfId="0" applyNumberFormat="1" applyFont="1" applyFill="1" applyBorder="1" applyAlignment="1">
      <alignment wrapText="1"/>
    </xf>
    <xf numFmtId="2" fontId="0" fillId="2" borderId="14" xfId="0" applyNumberFormat="1" applyFont="1" applyFill="1" applyBorder="1"/>
    <xf numFmtId="167" fontId="14" fillId="9" borderId="11" xfId="0" applyFont="1" applyFill="1" applyBorder="1"/>
    <xf numFmtId="1" fontId="0" fillId="2" borderId="14" xfId="0" applyNumberFormat="1" applyFont="1" applyFill="1" applyBorder="1"/>
    <xf numFmtId="3" fontId="0" fillId="2" borderId="14" xfId="0" applyNumberFormat="1" applyFont="1" applyFill="1" applyBorder="1"/>
    <xf numFmtId="2" fontId="0" fillId="2" borderId="9" xfId="0" applyNumberFormat="1" applyFont="1" applyFill="1" applyBorder="1"/>
    <xf numFmtId="167" fontId="0" fillId="7" borderId="1" xfId="0" applyFill="1" applyBorder="1"/>
    <xf numFmtId="167" fontId="6" fillId="7" borderId="12" xfId="0" applyFont="1" applyFill="1" applyBorder="1"/>
    <xf numFmtId="1" fontId="0" fillId="7" borderId="14" xfId="0" applyNumberFormat="1" applyFill="1" applyBorder="1"/>
    <xf numFmtId="3" fontId="0" fillId="2" borderId="5" xfId="0" applyNumberFormat="1" applyFont="1" applyFill="1" applyBorder="1"/>
    <xf numFmtId="1" fontId="0" fillId="7" borderId="1" xfId="0" applyNumberFormat="1" applyFont="1" applyFill="1" applyBorder="1"/>
    <xf numFmtId="167" fontId="6" fillId="2" borderId="12" xfId="0" applyFont="1" applyFill="1" applyBorder="1"/>
    <xf numFmtId="2" fontId="0" fillId="2" borderId="1" xfId="0" applyNumberFormat="1" applyFont="1" applyFill="1" applyBorder="1"/>
    <xf numFmtId="167" fontId="0" fillId="2" borderId="17" xfId="0" applyFont="1" applyFill="1" applyBorder="1"/>
    <xf numFmtId="167" fontId="0" fillId="2" borderId="18" xfId="0" applyFont="1" applyFill="1" applyBorder="1"/>
    <xf numFmtId="167" fontId="0" fillId="2" borderId="19" xfId="0" applyFont="1" applyFill="1" applyBorder="1"/>
    <xf numFmtId="167" fontId="0" fillId="2" borderId="20" xfId="0" applyFont="1" applyFill="1" applyBorder="1"/>
    <xf numFmtId="167" fontId="0" fillId="7" borderId="23" xfId="0" applyFill="1" applyBorder="1"/>
    <xf numFmtId="167" fontId="12" fillId="2" borderId="19" xfId="0" applyFont="1" applyFill="1" applyBorder="1"/>
    <xf numFmtId="167" fontId="1" fillId="2" borderId="35" xfId="0" applyFont="1" applyFill="1" applyBorder="1"/>
    <xf numFmtId="167" fontId="0" fillId="2" borderId="23" xfId="0" applyFill="1" applyBorder="1"/>
    <xf numFmtId="167" fontId="0" fillId="9" borderId="11" xfId="0" applyFill="1" applyBorder="1"/>
    <xf numFmtId="3" fontId="1" fillId="9" borderId="1" xfId="0" applyNumberFormat="1" applyFont="1" applyFill="1" applyBorder="1"/>
    <xf numFmtId="167" fontId="19" fillId="8" borderId="1" xfId="0" applyFont="1" applyFill="1" applyBorder="1"/>
    <xf numFmtId="9" fontId="0" fillId="7" borderId="1" xfId="0" applyNumberFormat="1" applyFont="1" applyFill="1" applyBorder="1"/>
    <xf numFmtId="164" fontId="0" fillId="7" borderId="1" xfId="0" applyNumberFormat="1" applyFont="1" applyFill="1" applyBorder="1"/>
    <xf numFmtId="167" fontId="0" fillId="4" borderId="1" xfId="0" applyFont="1" applyFill="1" applyBorder="1" applyAlignment="1" applyProtection="1">
      <alignment horizontal="left"/>
      <protection locked="0"/>
    </xf>
    <xf numFmtId="167" fontId="1" fillId="4" borderId="1" xfId="0" applyFont="1" applyFill="1" applyBorder="1" applyAlignment="1"/>
    <xf numFmtId="167" fontId="1" fillId="4" borderId="1" xfId="0" applyFont="1" applyFill="1" applyBorder="1" applyAlignment="1">
      <alignment wrapText="1"/>
    </xf>
    <xf numFmtId="167" fontId="31" fillId="7" borderId="1" xfId="0" applyFont="1" applyFill="1" applyBorder="1"/>
    <xf numFmtId="167" fontId="0" fillId="2" borderId="1" xfId="0" applyFill="1" applyBorder="1" applyAlignment="1">
      <alignment wrapText="1"/>
    </xf>
    <xf numFmtId="1" fontId="0" fillId="7" borderId="1" xfId="0" applyNumberFormat="1" applyFill="1" applyBorder="1"/>
    <xf numFmtId="167" fontId="0" fillId="7" borderId="1" xfId="0" applyFill="1" applyBorder="1" applyAlignment="1">
      <alignment wrapText="1"/>
    </xf>
    <xf numFmtId="167" fontId="0" fillId="7" borderId="10" xfId="0" applyFill="1" applyBorder="1" applyAlignment="1">
      <alignment wrapText="1"/>
    </xf>
    <xf numFmtId="167" fontId="1" fillId="4" borderId="15" xfId="0" applyFont="1" applyFill="1" applyBorder="1" applyAlignment="1">
      <alignment wrapText="1"/>
    </xf>
    <xf numFmtId="3" fontId="0" fillId="2" borderId="0" xfId="0" applyNumberFormat="1" applyFont="1" applyFill="1" applyBorder="1" applyAlignment="1"/>
    <xf numFmtId="167" fontId="0" fillId="2" borderId="0" xfId="0" applyFill="1" applyBorder="1" applyAlignment="1"/>
    <xf numFmtId="3" fontId="0" fillId="7" borderId="1" xfId="0" applyNumberFormat="1" applyFont="1" applyFill="1" applyBorder="1"/>
    <xf numFmtId="167" fontId="6" fillId="2" borderId="3" xfId="0" applyFont="1" applyFill="1" applyBorder="1"/>
    <xf numFmtId="1" fontId="0" fillId="2" borderId="3" xfId="0" applyNumberFormat="1" applyFont="1" applyFill="1" applyBorder="1"/>
    <xf numFmtId="167" fontId="0" fillId="2" borderId="40" xfId="0" applyFont="1" applyFill="1" applyBorder="1"/>
    <xf numFmtId="167" fontId="1" fillId="9" borderId="1" xfId="0" applyFont="1" applyFill="1" applyBorder="1"/>
    <xf numFmtId="1" fontId="0" fillId="11" borderId="1" xfId="0" applyNumberFormat="1" applyFill="1" applyBorder="1" applyAlignment="1">
      <alignment horizontal="center"/>
    </xf>
    <xf numFmtId="167" fontId="0" fillId="11" borderId="1" xfId="0" applyFill="1" applyBorder="1" applyAlignment="1">
      <alignment horizontal="center"/>
    </xf>
    <xf numFmtId="9" fontId="0" fillId="11" borderId="1" xfId="1" applyFont="1" applyFill="1" applyBorder="1" applyAlignment="1">
      <alignment horizontal="center"/>
    </xf>
    <xf numFmtId="167" fontId="0" fillId="9" borderId="1" xfId="0" applyFill="1" applyBorder="1"/>
    <xf numFmtId="1" fontId="0" fillId="9" borderId="1" xfId="0" applyNumberFormat="1" applyFill="1" applyBorder="1" applyAlignment="1">
      <alignment horizontal="center"/>
    </xf>
    <xf numFmtId="1" fontId="0" fillId="9" borderId="1" xfId="0" applyNumberFormat="1" applyFill="1" applyBorder="1" applyAlignment="1">
      <alignment horizontal="right"/>
    </xf>
    <xf numFmtId="167" fontId="0" fillId="9" borderId="1" xfId="0" applyFill="1" applyBorder="1" applyAlignment="1">
      <alignment horizontal="right"/>
    </xf>
    <xf numFmtId="1" fontId="0" fillId="11" borderId="1" xfId="0" applyNumberFormat="1" applyFill="1" applyBorder="1"/>
    <xf numFmtId="2" fontId="0" fillId="11" borderId="1" xfId="0" applyNumberFormat="1" applyFill="1" applyBorder="1"/>
    <xf numFmtId="168" fontId="0" fillId="2" borderId="0" xfId="0" applyNumberFormat="1" applyFill="1" applyBorder="1"/>
    <xf numFmtId="168" fontId="0" fillId="11" borderId="1" xfId="0" applyNumberFormat="1" applyFill="1" applyBorder="1"/>
    <xf numFmtId="167" fontId="6" fillId="2" borderId="1" xfId="0" applyFont="1" applyFill="1" applyBorder="1"/>
    <xf numFmtId="167" fontId="0" fillId="12" borderId="1" xfId="0" applyFont="1" applyFill="1" applyBorder="1" applyAlignment="1">
      <alignment horizontal="left"/>
    </xf>
    <xf numFmtId="168" fontId="0" fillId="12" borderId="1" xfId="0" applyNumberFormat="1" applyFill="1" applyBorder="1"/>
    <xf numFmtId="167" fontId="0" fillId="11" borderId="1" xfId="0" applyFont="1" applyFill="1" applyBorder="1" applyAlignment="1">
      <alignment horizontal="left"/>
    </xf>
    <xf numFmtId="3" fontId="0" fillId="12" borderId="1" xfId="0" applyNumberFormat="1" applyFill="1" applyBorder="1"/>
    <xf numFmtId="9" fontId="0" fillId="2" borderId="0" xfId="0" applyNumberFormat="1" applyFill="1" applyBorder="1"/>
    <xf numFmtId="164" fontId="0" fillId="2" borderId="1" xfId="1" applyNumberFormat="1" applyFont="1" applyFill="1" applyBorder="1"/>
    <xf numFmtId="167" fontId="1" fillId="2" borderId="1" xfId="0" applyFont="1" applyFill="1" applyBorder="1" applyAlignment="1"/>
    <xf numFmtId="167" fontId="1" fillId="2" borderId="1" xfId="0" applyFont="1" applyFill="1" applyBorder="1" applyAlignment="1"/>
    <xf numFmtId="9" fontId="0" fillId="11" borderId="1" xfId="1" applyFont="1" applyFill="1" applyBorder="1"/>
    <xf numFmtId="2" fontId="0" fillId="9" borderId="12" xfId="0" applyNumberFormat="1" applyFont="1" applyFill="1" applyBorder="1"/>
    <xf numFmtId="2" fontId="0" fillId="12" borderId="12" xfId="0" applyNumberFormat="1" applyFont="1" applyFill="1" applyBorder="1"/>
    <xf numFmtId="167" fontId="1" fillId="12" borderId="1" xfId="0" applyFont="1" applyFill="1" applyBorder="1" applyAlignment="1">
      <alignment wrapText="1"/>
    </xf>
    <xf numFmtId="167" fontId="0" fillId="12" borderId="1" xfId="0" applyFont="1" applyFill="1" applyBorder="1" applyAlignment="1">
      <alignment horizontal="center"/>
    </xf>
    <xf numFmtId="167" fontId="32" fillId="2" borderId="1" xfId="0" applyFont="1" applyFill="1" applyBorder="1" applyAlignment="1">
      <alignment wrapText="1"/>
    </xf>
    <xf numFmtId="2" fontId="0" fillId="12" borderId="1" xfId="0" applyNumberFormat="1" applyFont="1" applyFill="1" applyBorder="1" applyAlignment="1">
      <alignment wrapText="1"/>
    </xf>
    <xf numFmtId="1" fontId="0" fillId="9" borderId="1" xfId="0" applyNumberFormat="1" applyFont="1" applyFill="1" applyBorder="1" applyAlignment="1">
      <alignment wrapText="1"/>
    </xf>
    <xf numFmtId="1" fontId="0" fillId="2" borderId="1" xfId="0" applyNumberFormat="1" applyFont="1" applyFill="1" applyBorder="1" applyAlignment="1">
      <alignment wrapText="1"/>
    </xf>
    <xf numFmtId="2" fontId="0" fillId="9" borderId="1" xfId="0" applyNumberFormat="1" applyFont="1" applyFill="1" applyBorder="1" applyAlignment="1">
      <alignment wrapText="1"/>
    </xf>
    <xf numFmtId="1" fontId="0" fillId="12" borderId="1" xfId="0" applyNumberFormat="1" applyFont="1" applyFill="1" applyBorder="1" applyAlignment="1">
      <alignment wrapText="1"/>
    </xf>
    <xf numFmtId="167" fontId="0" fillId="2" borderId="2" xfId="0" applyFill="1" applyBorder="1" applyAlignment="1">
      <alignment horizontal="center"/>
    </xf>
    <xf numFmtId="167" fontId="0" fillId="2" borderId="3" xfId="0" applyFill="1" applyBorder="1" applyAlignment="1">
      <alignment horizontal="center"/>
    </xf>
    <xf numFmtId="167" fontId="0" fillId="12" borderId="1" xfId="0" applyFill="1" applyBorder="1" applyAlignment="1">
      <alignment horizontal="center"/>
    </xf>
    <xf numFmtId="167" fontId="14" fillId="12" borderId="1" xfId="0" applyFont="1" applyFill="1" applyBorder="1"/>
    <xf numFmtId="9" fontId="0" fillId="9" borderId="1" xfId="0" applyNumberFormat="1" applyFill="1" applyBorder="1"/>
    <xf numFmtId="164" fontId="0" fillId="12" borderId="1" xfId="1" applyNumberFormat="1" applyFont="1" applyFill="1" applyBorder="1"/>
    <xf numFmtId="164" fontId="4" fillId="9" borderId="1" xfId="1" applyNumberFormat="1" applyFont="1" applyFill="1" applyBorder="1"/>
    <xf numFmtId="164" fontId="0" fillId="9" borderId="1" xfId="0" applyNumberFormat="1" applyFill="1" applyBorder="1"/>
    <xf numFmtId="167" fontId="0" fillId="9" borderId="1" xfId="0" applyFill="1" applyBorder="1" applyAlignment="1">
      <alignment horizontal="center"/>
    </xf>
    <xf numFmtId="167" fontId="0" fillId="2" borderId="4" xfId="0" applyFill="1" applyBorder="1" applyAlignment="1">
      <alignment horizontal="center"/>
    </xf>
    <xf numFmtId="1" fontId="0" fillId="9" borderId="1" xfId="0" applyNumberFormat="1" applyFill="1" applyBorder="1"/>
    <xf numFmtId="164" fontId="0" fillId="11" borderId="1" xfId="1" applyNumberFormat="1" applyFont="1" applyFill="1" applyBorder="1"/>
    <xf numFmtId="2" fontId="6" fillId="0" borderId="1" xfId="0" applyNumberFormat="1" applyFont="1" applyBorder="1"/>
    <xf numFmtId="171" fontId="0" fillId="2" borderId="1" xfId="0" applyNumberFormat="1" applyFill="1" applyBorder="1"/>
    <xf numFmtId="171" fontId="0" fillId="2" borderId="0" xfId="0" applyNumberFormat="1" applyFill="1"/>
    <xf numFmtId="0" fontId="0" fillId="11" borderId="1" xfId="0" applyNumberFormat="1" applyFill="1" applyBorder="1"/>
    <xf numFmtId="167" fontId="0" fillId="0" borderId="1" xfId="0" applyBorder="1" applyAlignment="1">
      <alignment vertical="top" wrapText="1"/>
    </xf>
    <xf numFmtId="9" fontId="0" fillId="0" borderId="1" xfId="1" applyFont="1" applyBorder="1" applyAlignment="1">
      <alignment vertical="top" wrapText="1"/>
    </xf>
    <xf numFmtId="9" fontId="0" fillId="0" borderId="1" xfId="1" applyFont="1" applyBorder="1" applyAlignment="1">
      <alignment horizontal="center" vertical="top" wrapText="1"/>
    </xf>
    <xf numFmtId="171" fontId="1" fillId="4" borderId="1" xfId="0" applyNumberFormat="1" applyFont="1" applyFill="1" applyBorder="1" applyAlignment="1">
      <alignment wrapText="1"/>
    </xf>
    <xf numFmtId="167" fontId="1" fillId="8" borderId="1" xfId="0" applyFont="1" applyFill="1" applyBorder="1"/>
    <xf numFmtId="167" fontId="1" fillId="8" borderId="1" xfId="0" applyFont="1" applyFill="1" applyBorder="1" applyAlignment="1">
      <alignment wrapText="1"/>
    </xf>
    <xf numFmtId="171" fontId="0" fillId="9" borderId="1" xfId="0" applyNumberFormat="1" applyFill="1" applyBorder="1"/>
    <xf numFmtId="167" fontId="14" fillId="7" borderId="1" xfId="0" applyFont="1" applyFill="1" applyBorder="1" applyAlignment="1">
      <alignment vertical="center"/>
    </xf>
    <xf numFmtId="0" fontId="0" fillId="0" borderId="1" xfId="0" applyNumberFormat="1" applyFill="1" applyBorder="1"/>
    <xf numFmtId="0" fontId="0" fillId="0" borderId="1" xfId="0" applyNumberFormat="1" applyFill="1" applyBorder="1" applyAlignment="1">
      <alignment horizontal="center"/>
    </xf>
    <xf numFmtId="164" fontId="6" fillId="2" borderId="1" xfId="1" applyNumberFormat="1" applyFont="1" applyFill="1" applyBorder="1"/>
    <xf numFmtId="167" fontId="6" fillId="2" borderId="1" xfId="0" applyFont="1" applyFill="1" applyBorder="1" applyAlignment="1">
      <alignment horizontal="center"/>
    </xf>
    <xf numFmtId="167" fontId="1" fillId="2" borderId="1" xfId="0" applyFont="1" applyFill="1" applyBorder="1" applyAlignment="1"/>
    <xf numFmtId="167" fontId="1" fillId="3" borderId="1" xfId="0" applyFont="1" applyFill="1" applyBorder="1"/>
    <xf numFmtId="167" fontId="27" fillId="2" borderId="0" xfId="0" applyFont="1" applyFill="1" applyBorder="1"/>
    <xf numFmtId="167" fontId="1" fillId="3" borderId="0" xfId="0" applyFont="1" applyFill="1"/>
    <xf numFmtId="2" fontId="0" fillId="0" borderId="1" xfId="0" applyNumberFormat="1" applyFont="1" applyBorder="1"/>
    <xf numFmtId="170" fontId="0" fillId="2" borderId="1" xfId="0" applyNumberFormat="1" applyFont="1" applyFill="1" applyBorder="1"/>
    <xf numFmtId="170" fontId="6" fillId="2" borderId="1" xfId="0" applyNumberFormat="1" applyFont="1" applyFill="1" applyBorder="1"/>
    <xf numFmtId="2" fontId="6" fillId="2" borderId="1" xfId="0" applyNumberFormat="1" applyFont="1" applyFill="1" applyBorder="1"/>
    <xf numFmtId="2" fontId="0" fillId="2" borderId="1" xfId="0" applyNumberFormat="1" applyFont="1" applyFill="1" applyBorder="1" applyAlignment="1">
      <alignment horizontal="center"/>
    </xf>
    <xf numFmtId="2" fontId="0" fillId="2" borderId="1" xfId="1" applyNumberFormat="1" applyFont="1" applyFill="1" applyBorder="1" applyAlignment="1">
      <alignment horizontal="center"/>
    </xf>
    <xf numFmtId="2" fontId="0" fillId="2" borderId="11" xfId="0" applyNumberFormat="1" applyFont="1" applyFill="1" applyBorder="1"/>
    <xf numFmtId="2" fontId="0" fillId="2" borderId="1" xfId="1" applyNumberFormat="1" applyFont="1" applyFill="1" applyBorder="1"/>
    <xf numFmtId="2" fontId="6" fillId="2" borderId="1" xfId="1" applyNumberFormat="1" applyFont="1" applyFill="1" applyBorder="1"/>
    <xf numFmtId="168" fontId="0" fillId="2" borderId="1" xfId="0" applyNumberFormat="1" applyFont="1" applyFill="1" applyBorder="1"/>
    <xf numFmtId="10" fontId="0" fillId="2" borderId="1" xfId="0" applyNumberFormat="1" applyFont="1" applyFill="1" applyBorder="1"/>
    <xf numFmtId="164" fontId="0" fillId="2" borderId="1" xfId="0" applyNumberFormat="1" applyFont="1" applyFill="1" applyBorder="1"/>
    <xf numFmtId="10" fontId="0" fillId="2" borderId="1" xfId="1" applyNumberFormat="1" applyFont="1" applyFill="1" applyBorder="1"/>
    <xf numFmtId="164" fontId="0" fillId="2" borderId="12" xfId="0" applyNumberFormat="1" applyFont="1" applyFill="1" applyBorder="1"/>
    <xf numFmtId="164" fontId="0" fillId="2" borderId="12" xfId="1" applyNumberFormat="1" applyFont="1" applyFill="1" applyBorder="1"/>
    <xf numFmtId="164" fontId="0" fillId="2" borderId="0" xfId="1" applyNumberFormat="1" applyFont="1" applyFill="1"/>
    <xf numFmtId="9" fontId="0" fillId="2" borderId="0" xfId="1" applyNumberFormat="1" applyFont="1" applyFill="1"/>
    <xf numFmtId="10" fontId="34" fillId="0" borderId="1" xfId="1" applyNumberFormat="1" applyFont="1" applyBorder="1" applyAlignment="1">
      <alignment horizontal="right" vertical="top"/>
    </xf>
    <xf numFmtId="10" fontId="34" fillId="0" borderId="1" xfId="1" applyNumberFormat="1" applyFont="1" applyBorder="1" applyAlignment="1">
      <alignment horizontal="right" vertical="top" wrapText="1"/>
    </xf>
    <xf numFmtId="164" fontId="31" fillId="12" borderId="1" xfId="0" applyNumberFormat="1" applyFont="1" applyFill="1" applyBorder="1"/>
    <xf numFmtId="167" fontId="0" fillId="2" borderId="10" xfId="0" applyFont="1" applyFill="1" applyBorder="1" applyAlignment="1">
      <alignment wrapText="1"/>
    </xf>
    <xf numFmtId="172" fontId="0" fillId="2" borderId="0" xfId="0" applyNumberFormat="1" applyFont="1" applyFill="1" applyAlignment="1">
      <alignment horizontal="left"/>
    </xf>
    <xf numFmtId="2" fontId="0" fillId="2" borderId="1" xfId="0" applyNumberFormat="1" applyFont="1" applyFill="1" applyBorder="1" applyAlignment="1">
      <alignment horizontal="right"/>
    </xf>
    <xf numFmtId="173" fontId="0" fillId="2" borderId="15" xfId="0" applyNumberFormat="1" applyFont="1" applyFill="1" applyBorder="1"/>
    <xf numFmtId="173" fontId="0" fillId="2" borderId="13" xfId="0" applyNumberFormat="1" applyFont="1" applyFill="1" applyBorder="1"/>
    <xf numFmtId="173" fontId="0" fillId="2" borderId="14" xfId="0" applyNumberFormat="1" applyFont="1" applyFill="1" applyBorder="1"/>
    <xf numFmtId="173" fontId="0" fillId="2" borderId="1" xfId="0" applyNumberFormat="1" applyFont="1" applyFill="1" applyBorder="1" applyAlignment="1">
      <alignment wrapText="1"/>
    </xf>
    <xf numFmtId="173" fontId="0" fillId="2" borderId="10" xfId="0" applyNumberFormat="1" applyFont="1" applyFill="1" applyBorder="1" applyAlignment="1">
      <alignment horizontal="center" wrapText="1"/>
    </xf>
    <xf numFmtId="173" fontId="0" fillId="2" borderId="12" xfId="0" applyNumberFormat="1" applyFont="1" applyFill="1" applyBorder="1" applyAlignment="1">
      <alignment horizontal="center" wrapText="1"/>
    </xf>
    <xf numFmtId="173" fontId="0" fillId="2" borderId="1" xfId="0" applyNumberFormat="1" applyFont="1" applyFill="1" applyBorder="1"/>
    <xf numFmtId="173" fontId="0" fillId="2" borderId="10" xfId="0" applyNumberFormat="1" applyFont="1" applyFill="1" applyBorder="1" applyAlignment="1">
      <alignment horizontal="center"/>
    </xf>
    <xf numFmtId="173" fontId="0" fillId="2" borderId="12" xfId="0" applyNumberFormat="1" applyFont="1" applyFill="1" applyBorder="1" applyAlignment="1">
      <alignment horizontal="center"/>
    </xf>
    <xf numFmtId="167" fontId="0" fillId="2" borderId="23" xfId="0" applyFill="1" applyBorder="1" applyAlignment="1">
      <alignment horizontal="center"/>
    </xf>
    <xf numFmtId="3" fontId="0" fillId="7" borderId="35" xfId="0" applyNumberFormat="1" applyFont="1" applyFill="1" applyBorder="1"/>
    <xf numFmtId="3" fontId="31" fillId="7" borderId="1" xfId="0" applyNumberFormat="1" applyFont="1" applyFill="1" applyBorder="1"/>
    <xf numFmtId="167" fontId="1" fillId="2" borderId="23" xfId="0" applyFont="1" applyFill="1" applyBorder="1" applyAlignment="1">
      <alignment horizontal="left"/>
    </xf>
    <xf numFmtId="165" fontId="0" fillId="8" borderId="1" xfId="0" applyNumberFormat="1" applyFont="1" applyFill="1" applyBorder="1"/>
    <xf numFmtId="172" fontId="11" fillId="2" borderId="5" xfId="0" applyNumberFormat="1" applyFont="1" applyFill="1" applyBorder="1"/>
    <xf numFmtId="172" fontId="11" fillId="2" borderId="13" xfId="0" applyNumberFormat="1" applyFont="1" applyFill="1" applyBorder="1"/>
    <xf numFmtId="172" fontId="11" fillId="2" borderId="14" xfId="0" applyNumberFormat="1" applyFont="1" applyFill="1" applyBorder="1"/>
    <xf numFmtId="167" fontId="0" fillId="2" borderId="15" xfId="0" applyFill="1" applyBorder="1" applyAlignment="1">
      <alignment vertical="center"/>
    </xf>
    <xf numFmtId="167" fontId="0" fillId="2" borderId="13" xfId="0" applyFill="1" applyBorder="1" applyAlignment="1">
      <alignment vertical="center"/>
    </xf>
    <xf numFmtId="167" fontId="0" fillId="2" borderId="14" xfId="0" applyFill="1" applyBorder="1" applyAlignment="1">
      <alignment vertical="center"/>
    </xf>
    <xf numFmtId="9" fontId="0" fillId="9" borderId="1" xfId="1" applyFont="1" applyFill="1" applyBorder="1"/>
    <xf numFmtId="0" fontId="0" fillId="11" borderId="1" xfId="0" applyNumberFormat="1" applyFill="1" applyBorder="1" applyAlignment="1">
      <alignment horizontal="center"/>
    </xf>
    <xf numFmtId="167" fontId="0" fillId="3" borderId="0" xfId="0" applyFill="1"/>
    <xf numFmtId="171" fontId="1" fillId="4" borderId="10" xfId="0" applyNumberFormat="1" applyFont="1" applyFill="1" applyBorder="1" applyAlignment="1">
      <alignment wrapText="1"/>
    </xf>
    <xf numFmtId="171" fontId="1" fillId="4" borderId="11" xfId="0" applyNumberFormat="1" applyFont="1" applyFill="1" applyBorder="1" applyAlignment="1">
      <alignment wrapText="1"/>
    </xf>
    <xf numFmtId="171" fontId="1" fillId="4" borderId="12" xfId="0" applyNumberFormat="1" applyFont="1" applyFill="1" applyBorder="1" applyAlignment="1">
      <alignment wrapText="1"/>
    </xf>
    <xf numFmtId="171" fontId="1" fillId="4" borderId="10" xfId="0" applyNumberFormat="1" applyFont="1" applyFill="1" applyBorder="1" applyAlignment="1"/>
    <xf numFmtId="173" fontId="0" fillId="2" borderId="1" xfId="0" applyNumberFormat="1" applyFill="1" applyBorder="1"/>
    <xf numFmtId="173" fontId="6" fillId="0" borderId="1" xfId="0" applyNumberFormat="1" applyFont="1" applyFill="1" applyBorder="1"/>
    <xf numFmtId="173" fontId="0" fillId="2" borderId="3" xfId="0" applyNumberFormat="1" applyFill="1" applyBorder="1"/>
    <xf numFmtId="171" fontId="7" fillId="7" borderId="0" xfId="0" applyNumberFormat="1" applyFont="1" applyFill="1" applyAlignment="1">
      <alignment horizontal="center"/>
    </xf>
    <xf numFmtId="167" fontId="14" fillId="7" borderId="1" xfId="0" applyFont="1" applyFill="1" applyBorder="1" applyAlignment="1">
      <alignment horizontal="right"/>
    </xf>
    <xf numFmtId="171" fontId="14" fillId="7" borderId="1" xfId="0" applyNumberFormat="1" applyFont="1" applyFill="1" applyBorder="1" applyAlignment="1">
      <alignment horizontal="right"/>
    </xf>
    <xf numFmtId="3" fontId="0" fillId="7" borderId="15" xfId="0" applyNumberFormat="1" applyFont="1" applyFill="1" applyBorder="1"/>
    <xf numFmtId="3" fontId="0" fillId="7" borderId="13" xfId="0" applyNumberFormat="1" applyFont="1" applyFill="1" applyBorder="1"/>
    <xf numFmtId="167" fontId="26" fillId="7" borderId="0" xfId="0" applyFont="1" applyFill="1" applyBorder="1" applyAlignment="1">
      <alignment horizontal="left" vertical="center"/>
    </xf>
    <xf numFmtId="167" fontId="1" fillId="7" borderId="1" xfId="0" applyFont="1" applyFill="1" applyBorder="1" applyAlignment="1"/>
    <xf numFmtId="167" fontId="1" fillId="7" borderId="15" xfId="0" applyFont="1" applyFill="1" applyBorder="1" applyAlignment="1">
      <alignment wrapText="1"/>
    </xf>
    <xf numFmtId="167" fontId="1" fillId="7" borderId="14" xfId="0" applyFont="1" applyFill="1" applyBorder="1" applyAlignment="1">
      <alignment wrapText="1"/>
    </xf>
    <xf numFmtId="167" fontId="1" fillId="13" borderId="16" xfId="0" applyFont="1" applyFill="1" applyBorder="1"/>
    <xf numFmtId="173" fontId="31" fillId="2" borderId="1" xfId="0" applyNumberFormat="1" applyFont="1" applyFill="1" applyBorder="1"/>
    <xf numFmtId="173" fontId="35" fillId="2" borderId="1" xfId="0" applyNumberFormat="1" applyFont="1" applyFill="1" applyBorder="1"/>
    <xf numFmtId="0" fontId="0" fillId="9" borderId="1" xfId="0" applyNumberFormat="1" applyFill="1" applyBorder="1"/>
    <xf numFmtId="0" fontId="0" fillId="7" borderId="10" xfId="0" applyNumberFormat="1" applyFill="1" applyBorder="1" applyAlignment="1"/>
    <xf numFmtId="0" fontId="0" fillId="7" borderId="12" xfId="0" applyNumberFormat="1" applyFill="1" applyBorder="1" applyAlignment="1"/>
    <xf numFmtId="9" fontId="0" fillId="2" borderId="0" xfId="0" applyNumberFormat="1" applyFill="1"/>
    <xf numFmtId="171" fontId="0" fillId="7" borderId="1" xfId="0" applyNumberFormat="1" applyFill="1" applyBorder="1"/>
    <xf numFmtId="0" fontId="0" fillId="2" borderId="1" xfId="0" applyNumberFormat="1" applyFill="1" applyBorder="1"/>
    <xf numFmtId="167" fontId="26" fillId="8" borderId="0" xfId="0" applyFont="1" applyFill="1" applyBorder="1" applyAlignment="1">
      <alignment horizontal="left" vertical="center"/>
    </xf>
    <xf numFmtId="167" fontId="0" fillId="8" borderId="0" xfId="0" applyFont="1" applyFill="1"/>
    <xf numFmtId="167" fontId="1" fillId="8" borderId="15" xfId="0" applyFont="1" applyFill="1" applyBorder="1" applyAlignment="1">
      <alignment wrapText="1"/>
    </xf>
    <xf numFmtId="1" fontId="0" fillId="8" borderId="10" xfId="0" applyNumberFormat="1" applyFont="1" applyFill="1" applyBorder="1" applyAlignment="1"/>
    <xf numFmtId="167" fontId="1" fillId="8" borderId="1" xfId="0" applyFont="1" applyFill="1" applyBorder="1" applyAlignment="1"/>
    <xf numFmtId="0" fontId="0" fillId="7" borderId="1" xfId="0" applyNumberFormat="1" applyFill="1" applyBorder="1" applyAlignment="1">
      <alignment wrapText="1"/>
    </xf>
    <xf numFmtId="9" fontId="0" fillId="2" borderId="1" xfId="1" applyFont="1" applyFill="1" applyBorder="1"/>
    <xf numFmtId="1" fontId="0" fillId="8" borderId="1" xfId="0" applyNumberFormat="1" applyFill="1" applyBorder="1"/>
    <xf numFmtId="171" fontId="0" fillId="8" borderId="1" xfId="0" applyNumberFormat="1" applyFill="1" applyBorder="1"/>
    <xf numFmtId="0" fontId="0" fillId="8" borderId="1" xfId="0" applyNumberFormat="1" applyFont="1" applyFill="1" applyBorder="1"/>
    <xf numFmtId="167" fontId="14" fillId="0" borderId="1" xfId="0" applyFont="1" applyFill="1" applyBorder="1"/>
    <xf numFmtId="164" fontId="0" fillId="9" borderId="1" xfId="1" applyNumberFormat="1" applyFont="1" applyFill="1" applyBorder="1"/>
    <xf numFmtId="164" fontId="1" fillId="2" borderId="1" xfId="1" applyNumberFormat="1" applyFont="1" applyFill="1" applyBorder="1"/>
    <xf numFmtId="1" fontId="0" fillId="8" borderId="1" xfId="0" applyNumberFormat="1" applyFont="1" applyFill="1" applyBorder="1" applyAlignment="1"/>
    <xf numFmtId="167" fontId="1" fillId="8" borderId="10" xfId="0" applyFont="1" applyFill="1" applyBorder="1"/>
    <xf numFmtId="167" fontId="1" fillId="8" borderId="11" xfId="0" applyFont="1" applyFill="1" applyBorder="1"/>
    <xf numFmtId="167" fontId="1" fillId="8" borderId="12" xfId="0" applyFont="1" applyFill="1" applyBorder="1"/>
    <xf numFmtId="167" fontId="1" fillId="8" borderId="10" xfId="0" applyFont="1" applyFill="1" applyBorder="1" applyAlignment="1">
      <alignment wrapText="1"/>
    </xf>
    <xf numFmtId="0" fontId="0" fillId="8" borderId="1" xfId="0" applyNumberFormat="1" applyFill="1" applyBorder="1"/>
    <xf numFmtId="167" fontId="1" fillId="8" borderId="12" xfId="0" applyFont="1" applyFill="1" applyBorder="1" applyAlignment="1">
      <alignment wrapText="1"/>
    </xf>
    <xf numFmtId="167" fontId="0" fillId="8" borderId="0" xfId="0" applyFill="1"/>
    <xf numFmtId="3" fontId="0" fillId="7" borderId="1" xfId="0" applyNumberFormat="1" applyFill="1" applyBorder="1"/>
    <xf numFmtId="3" fontId="0" fillId="8" borderId="1" xfId="0" applyNumberFormat="1" applyFill="1" applyBorder="1"/>
    <xf numFmtId="3" fontId="0" fillId="8" borderId="0" xfId="0" applyNumberFormat="1" applyFont="1" applyFill="1" applyBorder="1" applyAlignment="1"/>
    <xf numFmtId="3" fontId="0" fillId="8" borderId="0" xfId="0" applyNumberFormat="1" applyFont="1" applyFill="1" applyBorder="1"/>
    <xf numFmtId="3" fontId="0" fillId="9" borderId="1" xfId="0" applyNumberFormat="1" applyFill="1" applyBorder="1" applyAlignment="1">
      <alignment horizontal="center"/>
    </xf>
    <xf numFmtId="167" fontId="1" fillId="2" borderId="1" xfId="0" applyFont="1" applyFill="1" applyBorder="1" applyAlignment="1"/>
    <xf numFmtId="167" fontId="0" fillId="2" borderId="0" xfId="0" applyFill="1" applyProtection="1"/>
    <xf numFmtId="167" fontId="0" fillId="2" borderId="0" xfId="0" applyFont="1" applyFill="1" applyProtection="1"/>
    <xf numFmtId="167" fontId="26" fillId="2" borderId="0" xfId="0" applyFont="1" applyFill="1" applyAlignment="1" applyProtection="1">
      <alignment horizontal="left" vertical="center" wrapText="1"/>
    </xf>
    <xf numFmtId="167" fontId="0" fillId="2" borderId="0" xfId="0" applyFont="1" applyFill="1" applyAlignment="1" applyProtection="1">
      <alignment horizontal="left"/>
    </xf>
    <xf numFmtId="167" fontId="26" fillId="7" borderId="1" xfId="0" applyFont="1" applyFill="1" applyBorder="1" applyAlignment="1" applyProtection="1">
      <alignment horizontal="left" vertical="center" wrapText="1"/>
    </xf>
    <xf numFmtId="167" fontId="0" fillId="2" borderId="5" xfId="0" applyFont="1" applyFill="1" applyBorder="1" applyAlignment="1" applyProtection="1"/>
    <xf numFmtId="167" fontId="26" fillId="2" borderId="0" xfId="0" applyFont="1" applyFill="1" applyBorder="1" applyAlignment="1" applyProtection="1">
      <alignment horizontal="left" vertical="center" wrapText="1"/>
    </xf>
    <xf numFmtId="167" fontId="0" fillId="2" borderId="0" xfId="0" applyFont="1" applyFill="1" applyBorder="1" applyAlignment="1" applyProtection="1">
      <alignment horizontal="left"/>
    </xf>
    <xf numFmtId="167" fontId="26" fillId="2" borderId="0" xfId="0" applyFont="1" applyFill="1" applyBorder="1" applyAlignment="1" applyProtection="1">
      <alignment horizontal="left" vertical="center"/>
    </xf>
    <xf numFmtId="167" fontId="12" fillId="2" borderId="0" xfId="0" applyFont="1" applyFill="1" applyAlignment="1" applyProtection="1">
      <alignment horizontal="left" vertical="center"/>
    </xf>
    <xf numFmtId="167" fontId="0" fillId="7" borderId="1" xfId="0" applyFont="1" applyFill="1" applyBorder="1" applyAlignment="1" applyProtection="1">
      <alignment horizontal="left"/>
    </xf>
    <xf numFmtId="167" fontId="0" fillId="2" borderId="1" xfId="0" applyFill="1" applyBorder="1" applyProtection="1"/>
    <xf numFmtId="167" fontId="0" fillId="2" borderId="0" xfId="0" applyFont="1" applyFill="1" applyBorder="1" applyAlignment="1" applyProtection="1"/>
    <xf numFmtId="167" fontId="26" fillId="7" borderId="10" xfId="0" applyFont="1" applyFill="1" applyBorder="1" applyAlignment="1" applyProtection="1">
      <alignment horizontal="left" vertical="center"/>
    </xf>
    <xf numFmtId="167" fontId="0" fillId="7" borderId="12" xfId="0" applyFont="1" applyFill="1" applyBorder="1" applyAlignment="1" applyProtection="1">
      <alignment horizontal="left" vertical="center" wrapText="1"/>
    </xf>
    <xf numFmtId="167" fontId="0" fillId="7" borderId="1" xfId="0" applyFont="1" applyFill="1" applyBorder="1" applyProtection="1"/>
    <xf numFmtId="167" fontId="0" fillId="7" borderId="1" xfId="0" applyFill="1" applyBorder="1" applyProtection="1"/>
    <xf numFmtId="172" fontId="0" fillId="4" borderId="1" xfId="0" applyNumberFormat="1" applyFont="1" applyFill="1" applyBorder="1" applyAlignment="1" applyProtection="1">
      <protection locked="0"/>
    </xf>
    <xf numFmtId="9" fontId="0" fillId="4" borderId="1" xfId="0" applyNumberFormat="1" applyFont="1" applyFill="1" applyBorder="1" applyProtection="1">
      <protection locked="0"/>
    </xf>
    <xf numFmtId="170" fontId="0" fillId="4" borderId="1" xfId="0" applyNumberFormat="1" applyFont="1" applyFill="1" applyBorder="1" applyProtection="1">
      <protection locked="0"/>
    </xf>
    <xf numFmtId="167" fontId="36" fillId="2" borderId="0" xfId="0" applyFont="1" applyFill="1" applyAlignment="1" applyProtection="1">
      <alignment horizontal="left" vertical="center"/>
    </xf>
    <xf numFmtId="167" fontId="36" fillId="2" borderId="0" xfId="0" applyFont="1" applyFill="1" applyAlignment="1" applyProtection="1">
      <alignment horizontal="left"/>
    </xf>
    <xf numFmtId="167" fontId="36" fillId="2" borderId="0" xfId="0" applyFont="1" applyFill="1" applyBorder="1"/>
    <xf numFmtId="167" fontId="31" fillId="2" borderId="0" xfId="0" applyFont="1" applyFill="1" applyBorder="1"/>
    <xf numFmtId="167" fontId="37" fillId="2" borderId="0" xfId="0" applyFont="1" applyFill="1"/>
    <xf numFmtId="167" fontId="36" fillId="2" borderId="0" xfId="0" applyFont="1" applyFill="1"/>
    <xf numFmtId="167" fontId="19" fillId="7" borderId="0" xfId="0" applyFont="1" applyFill="1"/>
    <xf numFmtId="167" fontId="19" fillId="7" borderId="0" xfId="0" applyFont="1" applyFill="1" applyBorder="1"/>
    <xf numFmtId="167" fontId="38" fillId="2" borderId="0" xfId="0" applyFont="1" applyFill="1"/>
    <xf numFmtId="167" fontId="3" fillId="7" borderId="0" xfId="0" applyFont="1" applyFill="1" applyBorder="1"/>
    <xf numFmtId="171" fontId="3" fillId="4" borderId="1" xfId="0" applyNumberFormat="1" applyFont="1" applyFill="1" applyBorder="1" applyProtection="1">
      <protection locked="0"/>
    </xf>
    <xf numFmtId="1" fontId="0" fillId="11" borderId="1" xfId="0" applyNumberFormat="1" applyFill="1" applyBorder="1" applyAlignment="1">
      <alignment horizontal="right"/>
    </xf>
    <xf numFmtId="167" fontId="0" fillId="4" borderId="11" xfId="0" applyFill="1" applyBorder="1"/>
    <xf numFmtId="167" fontId="0" fillId="4" borderId="12" xfId="0" applyFill="1" applyBorder="1"/>
    <xf numFmtId="167" fontId="31" fillId="2" borderId="1" xfId="0" applyFont="1" applyFill="1" applyBorder="1"/>
    <xf numFmtId="0" fontId="5" fillId="2" borderId="13"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3" xfId="0" applyNumberFormat="1" applyFont="1" applyFill="1" applyBorder="1" applyAlignment="1">
      <alignment horizontal="center"/>
    </xf>
    <xf numFmtId="0" fontId="5" fillId="2" borderId="14" xfId="0" applyNumberFormat="1" applyFont="1" applyFill="1" applyBorder="1" applyAlignment="1">
      <alignment horizontal="center"/>
    </xf>
    <xf numFmtId="167" fontId="0" fillId="0" borderId="1" xfId="0" applyFill="1" applyBorder="1"/>
    <xf numFmtId="168" fontId="0" fillId="0" borderId="1" xfId="0" applyNumberFormat="1" applyFill="1" applyBorder="1"/>
    <xf numFmtId="167" fontId="0" fillId="0" borderId="1" xfId="0" applyFont="1" applyFill="1" applyBorder="1" applyAlignment="1">
      <alignment horizontal="left"/>
    </xf>
    <xf numFmtId="169" fontId="0" fillId="0" borderId="1" xfId="0" applyNumberFormat="1" applyFill="1" applyBorder="1"/>
    <xf numFmtId="167" fontId="0" fillId="0" borderId="1" xfId="0" applyFill="1" applyBorder="1" applyAlignment="1">
      <alignment horizontal="left"/>
    </xf>
    <xf numFmtId="9" fontId="0" fillId="0" borderId="1" xfId="1" applyFont="1" applyFill="1" applyBorder="1"/>
    <xf numFmtId="168" fontId="0" fillId="0" borderId="1" xfId="0" applyNumberFormat="1" applyFill="1" applyBorder="1" applyAlignment="1">
      <alignment horizontal="center"/>
    </xf>
    <xf numFmtId="167" fontId="0" fillId="0" borderId="1" xfId="0" applyFill="1" applyBorder="1" applyAlignment="1">
      <alignment horizontal="center"/>
    </xf>
    <xf numFmtId="167" fontId="1" fillId="14" borderId="1" xfId="0" applyFont="1" applyFill="1" applyBorder="1"/>
    <xf numFmtId="167" fontId="1" fillId="14" borderId="1" xfId="0" applyFont="1" applyFill="1" applyBorder="1" applyAlignment="1">
      <alignment wrapText="1"/>
    </xf>
    <xf numFmtId="0" fontId="0" fillId="7" borderId="1" xfId="0" applyNumberFormat="1" applyFill="1" applyBorder="1" applyAlignment="1">
      <alignment horizontal="center"/>
    </xf>
    <xf numFmtId="167" fontId="39" fillId="2" borderId="0" xfId="0" applyFont="1" applyFill="1"/>
    <xf numFmtId="167" fontId="29" fillId="7" borderId="10" xfId="0" applyFont="1" applyFill="1" applyBorder="1"/>
    <xf numFmtId="167" fontId="29" fillId="7" borderId="12" xfId="0" applyFont="1" applyFill="1" applyBorder="1"/>
    <xf numFmtId="167" fontId="0" fillId="4" borderId="1" xfId="0" applyFont="1" applyFill="1" applyBorder="1" applyProtection="1">
      <protection locked="0"/>
    </xf>
    <xf numFmtId="167" fontId="0" fillId="4" borderId="1" xfId="0" applyFont="1" applyFill="1" applyBorder="1" applyAlignment="1" applyProtection="1">
      <alignment vertical="center" wrapText="1"/>
      <protection locked="0"/>
    </xf>
    <xf numFmtId="3" fontId="14" fillId="4" borderId="1" xfId="0" applyNumberFormat="1" applyFont="1" applyFill="1" applyBorder="1" applyProtection="1">
      <protection locked="0"/>
    </xf>
    <xf numFmtId="164" fontId="0" fillId="4" borderId="1" xfId="0" applyNumberFormat="1" applyFont="1" applyFill="1" applyBorder="1" applyProtection="1">
      <protection locked="0"/>
    </xf>
    <xf numFmtId="164" fontId="0" fillId="4" borderId="1" xfId="0" applyNumberFormat="1" applyFill="1" applyBorder="1" applyProtection="1">
      <protection locked="0"/>
    </xf>
    <xf numFmtId="167" fontId="0" fillId="4" borderId="1" xfId="0" applyFill="1" applyBorder="1" applyProtection="1">
      <protection locked="0"/>
    </xf>
    <xf numFmtId="171" fontId="0" fillId="4" borderId="1" xfId="0" applyNumberFormat="1" applyFill="1" applyBorder="1" applyProtection="1">
      <protection locked="0"/>
    </xf>
    <xf numFmtId="3" fontId="0" fillId="4" borderId="1" xfId="0" applyNumberFormat="1" applyFill="1" applyBorder="1" applyProtection="1">
      <protection locked="0"/>
    </xf>
    <xf numFmtId="3" fontId="0" fillId="4" borderId="1" xfId="0" applyNumberFormat="1" applyFont="1" applyFill="1" applyBorder="1" applyProtection="1">
      <protection locked="0"/>
    </xf>
    <xf numFmtId="167" fontId="0" fillId="4" borderId="1" xfId="0" applyFont="1" applyFill="1" applyBorder="1" applyAlignment="1" applyProtection="1">
      <alignment wrapText="1"/>
      <protection locked="0"/>
    </xf>
    <xf numFmtId="1" fontId="0" fillId="4" borderId="10" xfId="0" applyNumberFormat="1" applyFont="1" applyFill="1" applyBorder="1" applyAlignment="1" applyProtection="1">
      <protection locked="0"/>
    </xf>
    <xf numFmtId="1" fontId="0" fillId="4" borderId="1" xfId="0" applyNumberFormat="1" applyFont="1" applyFill="1" applyBorder="1" applyProtection="1">
      <protection locked="0"/>
    </xf>
    <xf numFmtId="3" fontId="0" fillId="4" borderId="1" xfId="0" applyNumberFormat="1" applyFont="1" applyFill="1" applyBorder="1" applyAlignment="1" applyProtection="1">
      <protection locked="0"/>
    </xf>
    <xf numFmtId="167" fontId="0" fillId="2" borderId="1" xfId="0" applyFont="1" applyFill="1" applyBorder="1" applyProtection="1">
      <protection locked="0"/>
    </xf>
    <xf numFmtId="171" fontId="0" fillId="2" borderId="1" xfId="0" applyNumberFormat="1" applyFont="1" applyFill="1" applyBorder="1" applyAlignment="1" applyProtection="1">
      <alignment horizontal="center"/>
      <protection locked="0"/>
    </xf>
    <xf numFmtId="3" fontId="31" fillId="4" borderId="1" xfId="0" applyNumberFormat="1" applyFont="1" applyFill="1" applyBorder="1" applyProtection="1">
      <protection locked="0"/>
    </xf>
    <xf numFmtId="3" fontId="31" fillId="4" borderId="1" xfId="0" applyNumberFormat="1" applyFont="1" applyFill="1" applyBorder="1" applyAlignment="1" applyProtection="1">
      <protection locked="0"/>
    </xf>
    <xf numFmtId="3" fontId="31" fillId="4" borderId="35" xfId="0" applyNumberFormat="1" applyFont="1" applyFill="1" applyBorder="1" applyAlignment="1" applyProtection="1">
      <protection locked="0"/>
    </xf>
    <xf numFmtId="3" fontId="31" fillId="4" borderId="35" xfId="0" applyNumberFormat="1" applyFont="1" applyFill="1" applyBorder="1" applyProtection="1">
      <protection locked="0"/>
    </xf>
    <xf numFmtId="3" fontId="0" fillId="4" borderId="35" xfId="0" applyNumberFormat="1" applyFont="1" applyFill="1" applyBorder="1" applyProtection="1">
      <protection locked="0"/>
    </xf>
    <xf numFmtId="3" fontId="0" fillId="4" borderId="38" xfId="0" applyNumberFormat="1" applyFont="1" applyFill="1" applyBorder="1" applyAlignment="1" applyProtection="1">
      <protection locked="0"/>
    </xf>
    <xf numFmtId="3" fontId="0" fillId="4" borderId="38" xfId="0" applyNumberFormat="1" applyFont="1" applyFill="1" applyBorder="1" applyProtection="1">
      <protection locked="0"/>
    </xf>
    <xf numFmtId="3" fontId="0" fillId="4" borderId="39" xfId="0" applyNumberFormat="1" applyFont="1" applyFill="1" applyBorder="1" applyProtection="1">
      <protection locked="0"/>
    </xf>
    <xf numFmtId="167" fontId="0" fillId="2" borderId="23" xfId="0" applyFill="1" applyBorder="1" applyAlignment="1" applyProtection="1">
      <alignment horizontal="left"/>
      <protection locked="0"/>
    </xf>
    <xf numFmtId="167" fontId="6" fillId="2" borderId="1" xfId="0" applyFont="1" applyFill="1" applyBorder="1" applyProtection="1">
      <protection locked="0"/>
    </xf>
    <xf numFmtId="9" fontId="0" fillId="2" borderId="5" xfId="1" applyFont="1" applyFill="1" applyBorder="1"/>
    <xf numFmtId="9" fontId="0" fillId="2" borderId="0" xfId="1" applyFont="1" applyFill="1" applyBorder="1"/>
    <xf numFmtId="0" fontId="0" fillId="8" borderId="1" xfId="0" applyNumberFormat="1" applyFont="1" applyFill="1" applyBorder="1" applyAlignment="1">
      <alignment wrapText="1"/>
    </xf>
    <xf numFmtId="9" fontId="0" fillId="2" borderId="1" xfId="0" applyNumberFormat="1" applyFill="1" applyBorder="1" applyProtection="1"/>
    <xf numFmtId="9" fontId="0" fillId="7" borderId="1" xfId="0" applyNumberFormat="1" applyFont="1" applyFill="1" applyBorder="1" applyProtection="1"/>
    <xf numFmtId="174" fontId="0" fillId="2" borderId="1" xfId="0" applyNumberFormat="1" applyFont="1" applyFill="1" applyBorder="1" applyAlignment="1">
      <alignment horizontal="right"/>
    </xf>
    <xf numFmtId="174" fontId="0" fillId="2" borderId="1" xfId="0" applyNumberFormat="1" applyFont="1" applyFill="1" applyBorder="1"/>
    <xf numFmtId="174" fontId="0" fillId="7" borderId="1" xfId="0" applyNumberFormat="1" applyFont="1" applyFill="1" applyBorder="1" applyProtection="1"/>
    <xf numFmtId="167" fontId="0" fillId="7" borderId="1" xfId="0" applyFill="1" applyBorder="1" applyAlignment="1" applyProtection="1">
      <alignment wrapText="1"/>
    </xf>
    <xf numFmtId="167" fontId="3" fillId="2" borderId="3" xfId="0" applyFont="1" applyFill="1" applyBorder="1"/>
    <xf numFmtId="167" fontId="14" fillId="2" borderId="0" xfId="0" applyFont="1" applyFill="1" applyBorder="1" applyAlignment="1">
      <alignment horizontal="right"/>
    </xf>
    <xf numFmtId="20" fontId="0" fillId="4" borderId="1" xfId="0" applyNumberFormat="1" applyFont="1" applyFill="1" applyBorder="1" applyProtection="1">
      <protection locked="0"/>
    </xf>
    <xf numFmtId="167" fontId="14" fillId="7" borderId="0" xfId="0" applyFont="1" applyFill="1" applyBorder="1" applyAlignment="1">
      <alignment horizontal="left"/>
    </xf>
    <xf numFmtId="167" fontId="0" fillId="7" borderId="0" xfId="0" applyFill="1" applyAlignment="1">
      <alignment horizontal="center"/>
    </xf>
    <xf numFmtId="167" fontId="14" fillId="2" borderId="11" xfId="0" applyFont="1" applyFill="1" applyBorder="1" applyAlignment="1">
      <alignment horizontal="right"/>
    </xf>
    <xf numFmtId="3" fontId="14" fillId="2" borderId="11" xfId="0" applyNumberFormat="1" applyFont="1" applyFill="1" applyBorder="1" applyProtection="1">
      <protection locked="0"/>
    </xf>
    <xf numFmtId="171" fontId="14" fillId="2" borderId="11" xfId="0" applyNumberFormat="1" applyFont="1" applyFill="1" applyBorder="1" applyAlignment="1">
      <alignment horizontal="right"/>
    </xf>
    <xf numFmtId="167" fontId="0" fillId="2" borderId="0" xfId="0" applyFill="1" applyBorder="1" applyAlignment="1">
      <alignment horizontal="left" vertical="center"/>
    </xf>
    <xf numFmtId="167" fontId="0" fillId="7" borderId="1" xfId="0" applyFill="1" applyBorder="1" applyAlignment="1">
      <alignment horizontal="left" vertical="center"/>
    </xf>
    <xf numFmtId="1" fontId="0" fillId="2" borderId="3" xfId="1" applyNumberFormat="1" applyFont="1" applyFill="1" applyBorder="1"/>
    <xf numFmtId="9" fontId="0" fillId="7" borderId="1" xfId="0" applyNumberFormat="1" applyFill="1" applyBorder="1" applyProtection="1"/>
    <xf numFmtId="3" fontId="39" fillId="2" borderId="5" xfId="0" applyNumberFormat="1" applyFont="1" applyFill="1" applyBorder="1"/>
    <xf numFmtId="167" fontId="39" fillId="2" borderId="5" xfId="0" applyFont="1" applyFill="1" applyBorder="1"/>
    <xf numFmtId="167" fontId="9" fillId="2" borderId="0" xfId="0" applyFont="1" applyFill="1"/>
    <xf numFmtId="167" fontId="31" fillId="2" borderId="0" xfId="0" applyFont="1" applyFill="1"/>
    <xf numFmtId="167" fontId="28" fillId="2" borderId="0" xfId="0" applyFont="1" applyFill="1" applyBorder="1" applyAlignment="1">
      <alignment horizontal="left" vertical="center" wrapText="1"/>
    </xf>
    <xf numFmtId="167" fontId="12" fillId="2" borderId="0" xfId="0" applyFont="1" applyFill="1" applyBorder="1" applyAlignment="1">
      <alignment horizontal="left" vertical="center"/>
    </xf>
    <xf numFmtId="167" fontId="1" fillId="2" borderId="1" xfId="0" applyFont="1" applyFill="1" applyBorder="1" applyAlignment="1"/>
    <xf numFmtId="2" fontId="3" fillId="11" borderId="13" xfId="0" applyNumberFormat="1" applyFont="1" applyFill="1" applyBorder="1"/>
    <xf numFmtId="173" fontId="0" fillId="2" borderId="0" xfId="0" applyNumberFormat="1" applyFont="1" applyFill="1" applyAlignment="1">
      <alignment horizontal="left"/>
    </xf>
    <xf numFmtId="172" fontId="0" fillId="7" borderId="1" xfId="0" applyNumberFormat="1" applyFont="1" applyFill="1" applyBorder="1" applyAlignment="1" applyProtection="1"/>
    <xf numFmtId="170" fontId="3" fillId="4" borderId="1" xfId="0" applyNumberFormat="1" applyFont="1" applyFill="1" applyBorder="1" applyProtection="1">
      <protection locked="0"/>
    </xf>
    <xf numFmtId="171" fontId="3" fillId="7" borderId="1" xfId="0" applyNumberFormat="1" applyFont="1" applyFill="1" applyBorder="1"/>
    <xf numFmtId="167" fontId="16" fillId="2" borderId="1" xfId="0" applyFont="1" applyFill="1" applyBorder="1" applyAlignment="1">
      <alignment horizontal="left"/>
    </xf>
    <xf numFmtId="167" fontId="28" fillId="2" borderId="1" xfId="0" applyFont="1" applyFill="1" applyBorder="1" applyAlignment="1">
      <alignment vertical="top" wrapText="1"/>
    </xf>
    <xf numFmtId="167" fontId="28" fillId="2" borderId="1" xfId="0" applyFont="1" applyFill="1" applyBorder="1" applyAlignment="1">
      <alignment vertical="top"/>
    </xf>
    <xf numFmtId="167" fontId="28" fillId="2" borderId="13" xfId="0" applyFont="1" applyFill="1" applyBorder="1" applyAlignment="1">
      <alignment vertical="top"/>
    </xf>
    <xf numFmtId="2" fontId="3" fillId="11" borderId="14" xfId="0" applyNumberFormat="1" applyFont="1" applyFill="1" applyBorder="1"/>
    <xf numFmtId="171" fontId="0" fillId="4" borderId="1" xfId="0" applyNumberFormat="1" applyFont="1" applyFill="1" applyBorder="1" applyProtection="1">
      <protection locked="0"/>
    </xf>
    <xf numFmtId="167" fontId="3" fillId="7" borderId="1" xfId="0" applyFont="1" applyFill="1" applyBorder="1" applyAlignment="1">
      <alignment vertical="top" wrapText="1"/>
    </xf>
    <xf numFmtId="167" fontId="3" fillId="7" borderId="14" xfId="0" applyFont="1" applyFill="1" applyBorder="1" applyAlignment="1">
      <alignment vertical="top" wrapText="1"/>
    </xf>
    <xf numFmtId="167" fontId="5" fillId="7" borderId="1" xfId="0" applyFont="1" applyFill="1" applyBorder="1" applyAlignment="1">
      <alignment vertical="top" wrapText="1"/>
    </xf>
    <xf numFmtId="167" fontId="3" fillId="0" borderId="1" xfId="0" applyFont="1" applyFill="1" applyBorder="1" applyAlignment="1">
      <alignment vertical="top" wrapText="1"/>
    </xf>
    <xf numFmtId="9" fontId="3" fillId="4" borderId="1" xfId="0" applyNumberFormat="1" applyFont="1" applyFill="1" applyBorder="1" applyProtection="1">
      <protection locked="0"/>
    </xf>
    <xf numFmtId="170" fontId="0" fillId="2" borderId="1" xfId="0" applyNumberFormat="1" applyFill="1" applyBorder="1"/>
    <xf numFmtId="169" fontId="31" fillId="2" borderId="0" xfId="0" applyNumberFormat="1" applyFont="1" applyFill="1" applyBorder="1"/>
    <xf numFmtId="168" fontId="31" fillId="2" borderId="0" xfId="0" applyNumberFormat="1" applyFont="1" applyFill="1" applyBorder="1"/>
    <xf numFmtId="171" fontId="0" fillId="2" borderId="1" xfId="0" applyNumberFormat="1" applyFont="1" applyFill="1" applyBorder="1"/>
    <xf numFmtId="167" fontId="0" fillId="2" borderId="12" xfId="0" applyFill="1" applyBorder="1" applyAlignment="1">
      <alignment horizontal="right"/>
    </xf>
    <xf numFmtId="170" fontId="0" fillId="2" borderId="0" xfId="0" applyNumberFormat="1" applyFill="1"/>
    <xf numFmtId="175" fontId="0" fillId="2" borderId="0" xfId="0" applyNumberFormat="1" applyFont="1" applyFill="1"/>
    <xf numFmtId="167" fontId="1" fillId="2" borderId="15" xfId="0" applyFont="1" applyFill="1" applyBorder="1" applyAlignment="1">
      <alignment wrapText="1"/>
    </xf>
    <xf numFmtId="167" fontId="1" fillId="2" borderId="5" xfId="0" applyFont="1" applyFill="1" applyBorder="1" applyAlignment="1">
      <alignment wrapText="1"/>
    </xf>
    <xf numFmtId="173" fontId="0" fillId="2" borderId="5" xfId="0" applyNumberFormat="1" applyFont="1" applyFill="1" applyBorder="1" applyAlignment="1">
      <alignment wrapText="1"/>
    </xf>
    <xf numFmtId="10" fontId="0" fillId="2" borderId="1" xfId="0" applyNumberFormat="1" applyFill="1" applyBorder="1"/>
    <xf numFmtId="2" fontId="0" fillId="2" borderId="1" xfId="0" applyNumberFormat="1" applyFill="1" applyBorder="1"/>
    <xf numFmtId="167" fontId="0" fillId="4" borderId="1" xfId="0" applyFill="1" applyBorder="1" applyAlignment="1" applyProtection="1">
      <protection locked="0"/>
    </xf>
    <xf numFmtId="167" fontId="0" fillId="2" borderId="1" xfId="0" applyFill="1" applyBorder="1" applyAlignment="1" applyProtection="1">
      <alignment wrapText="1"/>
      <protection locked="0"/>
    </xf>
    <xf numFmtId="167" fontId="0" fillId="0" borderId="1" xfId="0" applyFont="1" applyBorder="1" applyAlignment="1" applyProtection="1">
      <alignment wrapText="1"/>
      <protection locked="0"/>
    </xf>
    <xf numFmtId="167" fontId="0" fillId="4" borderId="10" xfId="0" applyFill="1" applyBorder="1" applyAlignment="1" applyProtection="1">
      <alignment wrapText="1"/>
      <protection locked="0"/>
    </xf>
    <xf numFmtId="167" fontId="0" fillId="4" borderId="11" xfId="0" applyFont="1" applyFill="1" applyBorder="1" applyAlignment="1" applyProtection="1">
      <alignment wrapText="1"/>
      <protection locked="0"/>
    </xf>
    <xf numFmtId="167" fontId="0" fillId="4" borderId="12" xfId="0" applyFont="1" applyFill="1" applyBorder="1" applyAlignment="1" applyProtection="1">
      <alignment wrapText="1"/>
      <protection locked="0"/>
    </xf>
    <xf numFmtId="167" fontId="26" fillId="7" borderId="10" xfId="0" applyFont="1" applyFill="1" applyBorder="1" applyAlignment="1" applyProtection="1">
      <alignment horizontal="left" vertical="center"/>
    </xf>
    <xf numFmtId="167" fontId="0" fillId="0" borderId="12" xfId="0" applyBorder="1" applyAlignment="1" applyProtection="1"/>
    <xf numFmtId="167" fontId="33" fillId="4" borderId="10" xfId="0" applyFont="1" applyFill="1" applyBorder="1" applyAlignment="1" applyProtection="1">
      <alignment horizontal="left"/>
      <protection locked="0"/>
    </xf>
    <xf numFmtId="167" fontId="33" fillId="4" borderId="11" xfId="0" applyFont="1" applyFill="1" applyBorder="1" applyAlignment="1" applyProtection="1">
      <alignment horizontal="left"/>
      <protection locked="0"/>
    </xf>
    <xf numFmtId="167" fontId="33" fillId="4" borderId="12" xfId="0" applyFont="1" applyFill="1" applyBorder="1" applyAlignment="1" applyProtection="1">
      <alignment horizontal="left"/>
      <protection locked="0"/>
    </xf>
    <xf numFmtId="167" fontId="0" fillId="2" borderId="1" xfId="0" applyFont="1" applyFill="1" applyBorder="1" applyAlignment="1" applyProtection="1">
      <alignment wrapText="1"/>
      <protection locked="0"/>
    </xf>
    <xf numFmtId="167" fontId="0" fillId="4" borderId="10" xfId="0" applyFill="1" applyBorder="1" applyAlignment="1" applyProtection="1">
      <alignment horizontal="left"/>
      <protection locked="0"/>
    </xf>
    <xf numFmtId="167" fontId="0" fillId="0" borderId="11" xfId="0" applyBorder="1" applyAlignment="1">
      <alignment horizontal="left"/>
    </xf>
    <xf numFmtId="167" fontId="0" fillId="0" borderId="12" xfId="0" applyBorder="1" applyAlignment="1">
      <alignment horizontal="left"/>
    </xf>
    <xf numFmtId="167" fontId="0" fillId="4" borderId="1" xfId="0" applyFont="1" applyFill="1" applyBorder="1" applyAlignment="1" applyProtection="1">
      <protection locked="0"/>
    </xf>
    <xf numFmtId="167" fontId="0" fillId="7" borderId="10" xfId="0" applyFill="1" applyBorder="1" applyAlignment="1">
      <alignment vertical="center" wrapText="1"/>
    </xf>
    <xf numFmtId="167" fontId="0" fillId="7" borderId="12" xfId="0" applyFont="1" applyFill="1" applyBorder="1" applyAlignment="1">
      <alignment vertical="center" wrapText="1"/>
    </xf>
    <xf numFmtId="167" fontId="0" fillId="7" borderId="15" xfId="0" applyFill="1" applyBorder="1" applyAlignment="1">
      <alignment wrapText="1"/>
    </xf>
    <xf numFmtId="167" fontId="0" fillId="7" borderId="14" xfId="0" applyFill="1" applyBorder="1" applyAlignment="1">
      <alignment wrapText="1"/>
    </xf>
    <xf numFmtId="167" fontId="3" fillId="7" borderId="8" xfId="0" applyFont="1" applyFill="1" applyBorder="1" applyAlignment="1"/>
    <xf numFmtId="167" fontId="0" fillId="0" borderId="9" xfId="0" applyBorder="1" applyAlignment="1"/>
    <xf numFmtId="167" fontId="0" fillId="2" borderId="2" xfId="0" applyFont="1" applyFill="1" applyBorder="1" applyAlignment="1"/>
    <xf numFmtId="167" fontId="0" fillId="2" borderId="3" xfId="0" applyFont="1" applyFill="1" applyBorder="1" applyAlignment="1"/>
    <xf numFmtId="167" fontId="0" fillId="2" borderId="5" xfId="0" applyFont="1" applyFill="1" applyBorder="1" applyAlignment="1">
      <alignment wrapText="1"/>
    </xf>
    <xf numFmtId="167" fontId="0" fillId="0" borderId="0" xfId="0" applyFont="1" applyBorder="1" applyAlignment="1"/>
    <xf numFmtId="167" fontId="0" fillId="2" borderId="7" xfId="0" applyFont="1" applyFill="1" applyBorder="1" applyAlignment="1">
      <alignment wrapText="1"/>
    </xf>
    <xf numFmtId="167" fontId="0" fillId="0" borderId="8" xfId="0" applyFont="1" applyBorder="1" applyAlignment="1"/>
    <xf numFmtId="167" fontId="6" fillId="4" borderId="34" xfId="0" applyFont="1" applyFill="1" applyBorder="1" applyAlignment="1" applyProtection="1">
      <protection locked="0"/>
    </xf>
    <xf numFmtId="167" fontId="0" fillId="0" borderId="34" xfId="0" applyBorder="1" applyAlignment="1" applyProtection="1">
      <protection locked="0"/>
    </xf>
    <xf numFmtId="167" fontId="1" fillId="13" borderId="1" xfId="0" applyFont="1" applyFill="1" applyBorder="1" applyAlignment="1"/>
    <xf numFmtId="167" fontId="0" fillId="13" borderId="1" xfId="0" applyFont="1" applyFill="1" applyBorder="1" applyAlignment="1"/>
    <xf numFmtId="167" fontId="0" fillId="2" borderId="0" xfId="0" applyFont="1" applyFill="1" applyBorder="1" applyAlignment="1"/>
    <xf numFmtId="167" fontId="0" fillId="2" borderId="0" xfId="0" applyFont="1" applyFill="1" applyBorder="1" applyAlignment="1">
      <alignment wrapText="1"/>
    </xf>
    <xf numFmtId="167" fontId="1" fillId="2" borderId="36" xfId="0" applyFont="1" applyFill="1" applyBorder="1" applyAlignment="1">
      <alignment wrapText="1"/>
    </xf>
    <xf numFmtId="167" fontId="0" fillId="0" borderId="37" xfId="0" applyBorder="1" applyAlignment="1"/>
    <xf numFmtId="167" fontId="1" fillId="2" borderId="23" xfId="0" applyFont="1" applyFill="1" applyBorder="1" applyAlignment="1"/>
    <xf numFmtId="167" fontId="0" fillId="0" borderId="12" xfId="0" applyBorder="1" applyAlignment="1"/>
    <xf numFmtId="3" fontId="0" fillId="2" borderId="15" xfId="0" applyNumberFormat="1" applyFill="1" applyBorder="1" applyAlignment="1"/>
    <xf numFmtId="167" fontId="0" fillId="0" borderId="14" xfId="0" applyBorder="1" applyAlignment="1"/>
    <xf numFmtId="167" fontId="1" fillId="2" borderId="10" xfId="0" applyFont="1" applyFill="1" applyBorder="1" applyAlignment="1"/>
    <xf numFmtId="167" fontId="0" fillId="0" borderId="12" xfId="0" applyFont="1" applyBorder="1" applyAlignment="1"/>
    <xf numFmtId="167" fontId="1" fillId="2" borderId="1" xfId="0" applyFont="1" applyFill="1" applyBorder="1" applyAlignment="1"/>
    <xf numFmtId="167" fontId="0" fillId="0" borderId="1" xfId="0" applyFont="1" applyBorder="1" applyAlignment="1"/>
    <xf numFmtId="167" fontId="0" fillId="2" borderId="10" xfId="0" applyFill="1" applyBorder="1" applyAlignment="1"/>
    <xf numFmtId="167" fontId="0" fillId="2" borderId="11" xfId="0" applyFill="1" applyBorder="1" applyAlignment="1"/>
    <xf numFmtId="167" fontId="0" fillId="2" borderId="12" xfId="0" applyFill="1" applyBorder="1" applyAlignment="1"/>
    <xf numFmtId="167" fontId="0" fillId="0" borderId="1" xfId="0" applyBorder="1" applyAlignment="1">
      <alignment vertical="top" wrapText="1"/>
    </xf>
    <xf numFmtId="167" fontId="1" fillId="4" borderId="10" xfId="0" applyFont="1" applyFill="1" applyBorder="1" applyAlignment="1">
      <alignment wrapText="1"/>
    </xf>
    <xf numFmtId="167" fontId="1" fillId="4" borderId="11" xfId="0" applyFont="1" applyFill="1" applyBorder="1" applyAlignment="1">
      <alignment wrapText="1"/>
    </xf>
    <xf numFmtId="167" fontId="1" fillId="4" borderId="12" xfId="0" applyFont="1" applyFill="1" applyBorder="1" applyAlignment="1">
      <alignment wrapText="1"/>
    </xf>
    <xf numFmtId="167" fontId="1" fillId="2" borderId="15" xfId="0" applyFont="1" applyFill="1" applyBorder="1" applyAlignment="1">
      <alignment wrapText="1"/>
    </xf>
    <xf numFmtId="167" fontId="1" fillId="2" borderId="14" xfId="0" applyFont="1" applyFill="1" applyBorder="1" applyAlignment="1">
      <alignment wrapText="1"/>
    </xf>
    <xf numFmtId="167" fontId="0" fillId="2" borderId="10" xfId="0" applyFont="1" applyFill="1" applyBorder="1" applyAlignment="1"/>
    <xf numFmtId="167" fontId="0" fillId="2" borderId="11" xfId="0" applyFont="1" applyFill="1" applyBorder="1" applyAlignment="1"/>
    <xf numFmtId="167" fontId="0" fillId="2" borderId="12" xfId="0" applyFont="1" applyFill="1" applyBorder="1" applyAlignment="1"/>
    <xf numFmtId="167" fontId="1" fillId="2" borderId="10" xfId="0" applyFont="1" applyFill="1" applyBorder="1" applyAlignment="1">
      <alignment horizontal="center" wrapText="1"/>
    </xf>
    <xf numFmtId="167" fontId="1" fillId="2" borderId="11" xfId="0" applyFont="1" applyFill="1" applyBorder="1" applyAlignment="1">
      <alignment horizontal="center" wrapText="1"/>
    </xf>
    <xf numFmtId="167" fontId="1" fillId="2" borderId="12" xfId="0" applyFont="1" applyFill="1" applyBorder="1" applyAlignment="1">
      <alignment horizontal="center" wrapText="1"/>
    </xf>
    <xf numFmtId="167" fontId="1" fillId="2" borderId="2" xfId="0" applyFont="1" applyFill="1" applyBorder="1" applyAlignment="1">
      <alignment horizontal="center" wrapText="1"/>
    </xf>
    <xf numFmtId="167" fontId="1" fillId="2" borderId="4" xfId="0" applyFont="1" applyFill="1" applyBorder="1" applyAlignment="1">
      <alignment horizontal="center" wrapText="1"/>
    </xf>
    <xf numFmtId="167" fontId="27" fillId="2" borderId="15" xfId="0" applyFont="1" applyFill="1" applyBorder="1" applyAlignment="1"/>
    <xf numFmtId="167" fontId="27" fillId="2" borderId="14" xfId="0" applyFont="1" applyFill="1" applyBorder="1" applyAlignment="1"/>
    <xf numFmtId="167" fontId="14" fillId="12" borderId="10" xfId="0" applyFont="1" applyFill="1" applyBorder="1" applyAlignment="1"/>
    <xf numFmtId="167" fontId="14" fillId="12" borderId="12" xfId="0" applyFont="1" applyFill="1" applyBorder="1" applyAlignment="1"/>
    <xf numFmtId="167" fontId="0" fillId="2" borderId="1" xfId="0" applyFill="1" applyBorder="1" applyAlignment="1">
      <alignment vertical="center"/>
    </xf>
    <xf numFmtId="167" fontId="1" fillId="12" borderId="10" xfId="0" applyFont="1" applyFill="1" applyBorder="1" applyAlignment="1"/>
    <xf numFmtId="167" fontId="0" fillId="12" borderId="11" xfId="0" applyFill="1" applyBorder="1" applyAlignment="1"/>
    <xf numFmtId="167" fontId="0" fillId="12" borderId="12" xfId="0" applyFill="1" applyBorder="1" applyAlignment="1"/>
    <xf numFmtId="167" fontId="1" fillId="9" borderId="10" xfId="0" applyFont="1" applyFill="1" applyBorder="1" applyAlignment="1"/>
    <xf numFmtId="167" fontId="1" fillId="9" borderId="11" xfId="0" applyFont="1" applyFill="1" applyBorder="1" applyAlignment="1"/>
    <xf numFmtId="167" fontId="1" fillId="9" borderId="12" xfId="0" applyFont="1" applyFill="1" applyBorder="1" applyAlignment="1"/>
    <xf numFmtId="167" fontId="1" fillId="9" borderId="15" xfId="0" applyFont="1" applyFill="1" applyBorder="1" applyAlignment="1">
      <alignment horizontal="center"/>
    </xf>
    <xf numFmtId="167" fontId="0" fillId="0" borderId="14" xfId="0" applyBorder="1" applyAlignment="1">
      <alignment horizontal="center"/>
    </xf>
    <xf numFmtId="167" fontId="11" fillId="2" borderId="15" xfId="0" applyFont="1" applyFill="1" applyBorder="1" applyAlignment="1">
      <alignment horizontal="right" vertical="center" wrapText="1"/>
    </xf>
    <xf numFmtId="167" fontId="11" fillId="2" borderId="14" xfId="0" applyFont="1" applyFill="1" applyBorder="1" applyAlignment="1">
      <alignment horizontal="right" vertical="center" wrapText="1"/>
    </xf>
    <xf numFmtId="167" fontId="18" fillId="2" borderId="10" xfId="0" applyFont="1" applyFill="1" applyBorder="1" applyAlignment="1">
      <alignment horizontal="center"/>
    </xf>
    <xf numFmtId="167" fontId="18" fillId="2" borderId="11" xfId="0" applyFont="1" applyFill="1" applyBorder="1" applyAlignment="1">
      <alignment horizontal="center"/>
    </xf>
    <xf numFmtId="167" fontId="18" fillId="2" borderId="12" xfId="0" applyFont="1" applyFill="1" applyBorder="1" applyAlignment="1">
      <alignment horizontal="center"/>
    </xf>
  </cellXfs>
  <cellStyles count="14">
    <cellStyle name="Comma 2" xfId="2"/>
    <cellStyle name="Data_Total" xfId="3"/>
    <cellStyle name="Euro" xfId="4"/>
    <cellStyle name="Headings" xfId="5"/>
    <cellStyle name="Normal" xfId="0" builtinId="0"/>
    <cellStyle name="Normal 2" xfId="6"/>
    <cellStyle name="Normal 3" xfId="7"/>
    <cellStyle name="Normal 4" xfId="8"/>
    <cellStyle name="Percent" xfId="1" builtinId="5"/>
    <cellStyle name="Percent 2" xfId="9"/>
    <cellStyle name="Row_CategoryHeadings" xfId="10"/>
    <cellStyle name="Source" xfId="11"/>
    <cellStyle name="Table_Name" xfId="12"/>
    <cellStyle name="Warnings" xfId="13"/>
  </cellStyles>
  <dxfs count="43">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rgb="FFFF0000"/>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8</xdr:row>
      <xdr:rowOff>0</xdr:rowOff>
    </xdr:from>
    <xdr:to>
      <xdr:col>5</xdr:col>
      <xdr:colOff>161926</xdr:colOff>
      <xdr:row>11</xdr:row>
      <xdr:rowOff>180975</xdr:rowOff>
    </xdr:to>
    <xdr:pic>
      <xdr:nvPicPr>
        <xdr:cNvPr id="2" name="LogoSKM12Left" descr="c:\program files\SKMW\Address\logo_col.wmf"/>
        <xdr:cNvPicPr/>
      </xdr:nvPicPr>
      <xdr:blipFill>
        <a:blip xmlns:r="http://schemas.openxmlformats.org/officeDocument/2006/relationships" r:embed="rId1" cstate="print"/>
        <a:srcRect/>
        <a:stretch>
          <a:fillRect/>
        </a:stretch>
      </xdr:blipFill>
      <xdr:spPr bwMode="auto">
        <a:xfrm>
          <a:off x="1228726" y="1524000"/>
          <a:ext cx="1981200" cy="752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chelsead\Application%20Data\Microsoft\Excel\Copy%20of%20Worked%20examp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5703X_Tottenham%20Hale%20combined%20appraisal\3.%20Project\3.2%20ANALYSIS\gyratory%20old%20docs%20and%20spreadsheets\appraisal%20spreadsheets%20final\quality%20benefitsTH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Wedderburn/My%20Documents/Projects/17757%20Valuing%20urban%20realm/Toolkit%20input%20sheet%20v2.5_Master_unsecur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8631-02-X_Piccadilly%20Economic%20Evaluation\3.%20Project\3.2%20Analysis\18631%20-%20Piccadilly%20econ%20evaluation%20v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13048X_Tottenham%20Hale%20Gyratory%20business%20case\STUDY\SPREADSHEETS\appraisal%20spreadsheets%20final\quality%20benefitsTH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17383-01-X_Old%20Street%20business%20case\3.%20Project\3.2%20Analysis\business%20case%20guidance\example%20appraisal_DA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Documents%20and%20Settings\chelsead\Local%20Settings\Temporary%20Internet%20Files\OLKE\TfL%20quality%20benefitsTHG%205_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11078X_Valuing%20Streetscape\STUDY\REPORTS\Adjustments\PERS%20tables%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17xxx-xx\17383-01-X_Old%20Street%20business%20case\3.%20Project\3.2%20Analysis\business%20case%20spreadsheets\Old%20Street%20business%20case%20master%20spdt_v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CR"/>
      <sheetName val="Element Calculator - Yerbury"/>
      <sheetName val="Link Calculator - Yerbury"/>
      <sheetName val="Element Calculator - Castle St"/>
      <sheetName val="Link Calculator - Castle St"/>
      <sheetName val="Hornsey Road Shared Space"/>
      <sheetName val="Link Calculator"/>
      <sheetName val="Public Space Calculator"/>
      <sheetName val="Element Calculator"/>
      <sheetName val="Element definitions"/>
      <sheetName val="Quality_Pers_ £p min "/>
      <sheetName val="Link WTP graph"/>
      <sheetName val="Link - WTP"/>
      <sheetName val="Public Space - WTP"/>
      <sheetName val="SP Element - WT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Stated Preference Element</v>
          </cell>
          <cell r="B1" t="str">
            <v>Low</v>
          </cell>
          <cell r="C1" t="str">
            <v xml:space="preserve">Medium </v>
          </cell>
          <cell r="D1" t="str">
            <v>High</v>
          </cell>
        </row>
        <row r="2">
          <cell r="A2" t="str">
            <v>Number of people in daylight</v>
          </cell>
          <cell r="B2" t="str">
            <v>Very crowded so that walking pace is badly affected</v>
          </cell>
          <cell r="D2" t="str">
            <v>Street (nearly) deserted</v>
          </cell>
          <cell r="F2" t="str">
            <v>Low</v>
          </cell>
          <cell r="G2" t="str">
            <v/>
          </cell>
          <cell r="H2" t="str">
            <v>High</v>
          </cell>
        </row>
        <row r="3">
          <cell r="A3" t="str">
            <v>Kerbs</v>
          </cell>
          <cell r="B3" t="str">
            <v>Step at kerb</v>
          </cell>
          <cell r="C3" t="str">
            <v>Sloped kerb</v>
          </cell>
          <cell r="D3" t="str">
            <v>Completely flat crossing</v>
          </cell>
          <cell r="F3" t="str">
            <v>Low</v>
          </cell>
          <cell r="G3" t="str">
            <v xml:space="preserve">Medium </v>
          </cell>
          <cell r="H3" t="str">
            <v>High</v>
          </cell>
        </row>
        <row r="4">
          <cell r="A4" t="str">
            <v>View of the street</v>
          </cell>
          <cell r="B4" t="str">
            <v>Blocked view of street</v>
          </cell>
          <cell r="C4" t="str">
            <v>Clear view of street</v>
          </cell>
          <cell r="D4" t="str">
            <v>Mainly clear view of street</v>
          </cell>
          <cell r="F4" t="str">
            <v>Low</v>
          </cell>
          <cell r="G4" t="str">
            <v xml:space="preserve">Medium </v>
          </cell>
          <cell r="H4" t="str">
            <v>High</v>
          </cell>
        </row>
        <row r="5">
          <cell r="A5" t="str">
            <v>Crossing the road</v>
          </cell>
          <cell r="B5" t="str">
            <v>No green man crossing</v>
          </cell>
          <cell r="C5" t="str">
            <v>Green man crossing in stages</v>
          </cell>
          <cell r="D5" t="str">
            <v>Direct green man crossing</v>
          </cell>
          <cell r="F5" t="str">
            <v>Low</v>
          </cell>
          <cell r="G5" t="str">
            <v xml:space="preserve">Medium </v>
          </cell>
          <cell r="H5" t="str">
            <v>High</v>
          </cell>
        </row>
        <row r="6">
          <cell r="A6" t="str">
            <v>Signs to public transport and attractions</v>
          </cell>
          <cell r="B6" t="str">
            <v>No signage</v>
          </cell>
          <cell r="D6" t="str">
            <v>Local area maps, information boards and signed routes</v>
          </cell>
          <cell r="F6" t="str">
            <v>Low</v>
          </cell>
          <cell r="G6" t="str">
            <v/>
          </cell>
          <cell r="H6" t="str">
            <v>High</v>
          </cell>
        </row>
        <row r="7">
          <cell r="A7" t="str">
            <v>Street lighting</v>
          </cell>
          <cell r="B7" t="str">
            <v>Very poor lighting after dark</v>
          </cell>
          <cell r="C7" t="str">
            <v>Reasonably bright, patchy lighting after dark</v>
          </cell>
          <cell r="D7" t="str">
            <v>Good, bright, even lighting after dark</v>
          </cell>
          <cell r="F7" t="str">
            <v>Low</v>
          </cell>
          <cell r="G7" t="str">
            <v xml:space="preserve">Medium </v>
          </cell>
          <cell r="H7" t="str">
            <v>High</v>
          </cell>
        </row>
        <row r="8">
          <cell r="A8" t="str">
            <v>Number of people after dark</v>
          </cell>
          <cell r="B8" t="str">
            <v>Street (nearly) deserted after dark</v>
          </cell>
          <cell r="C8" t="str">
            <v>A few people around after dark</v>
          </cell>
          <cell r="D8" t="str">
            <v>A lot of people around after dark</v>
          </cell>
          <cell r="F8" t="str">
            <v>Low</v>
          </cell>
          <cell r="G8" t="str">
            <v xml:space="preserve">Medium </v>
          </cell>
          <cell r="H8" t="str">
            <v>High</v>
          </cell>
        </row>
        <row r="9">
          <cell r="A9" t="str">
            <v>Pavement condition</v>
          </cell>
          <cell r="B9" t="str">
            <v>Pavement cracked and uneven</v>
          </cell>
          <cell r="C9" t="str">
            <v>Pavement cracked but even</v>
          </cell>
          <cell r="D9" t="str">
            <v>Pavement has no cracks and is even</v>
          </cell>
          <cell r="F9" t="str">
            <v>Low</v>
          </cell>
          <cell r="G9" t="str">
            <v xml:space="preserve">Medium </v>
          </cell>
          <cell r="H9" t="str">
            <v>High</v>
          </cell>
        </row>
        <row r="10">
          <cell r="A10" t="str">
            <v>Vehicles on the pavement /</v>
          </cell>
          <cell r="B10" t="str">
            <v>Vehicles park on pavement</v>
          </cell>
          <cell r="D10" t="str">
            <v>Vehicles do not park on pavement</v>
          </cell>
          <cell r="F10" t="str">
            <v>Low</v>
          </cell>
          <cell r="G10" t="str">
            <v/>
          </cell>
          <cell r="H10" t="str">
            <v>High</v>
          </cell>
        </row>
        <row r="11">
          <cell r="A11" t="str">
            <v>Cycles on the pavement</v>
          </cell>
          <cell r="B11" t="str">
            <v>Cyclists ride on pavement</v>
          </cell>
          <cell r="D11" t="str">
            <v>Cyclists allocated lane / own space for riding on pavement</v>
          </cell>
          <cell r="F11" t="str">
            <v>Low</v>
          </cell>
          <cell r="G11" t="str">
            <v/>
          </cell>
          <cell r="H11" t="str">
            <v>High</v>
          </cell>
        </row>
        <row r="12">
          <cell r="A12" t="str">
            <v xml:space="preserve">Plants and public art </v>
          </cell>
          <cell r="B12" t="str">
            <v>No plants or public art</v>
          </cell>
          <cell r="C12" t="str">
            <v>Plants alongside street</v>
          </cell>
          <cell r="D12" t="str">
            <v>Plants alongside street and public art in well chosen locations</v>
          </cell>
        </row>
        <row r="13">
          <cell r="A13" t="str">
            <v>Seating</v>
          </cell>
          <cell r="B13" t="str">
            <v>No seating areas</v>
          </cell>
          <cell r="D13" t="str">
            <v>Seating areas at well chosen locations</v>
          </cell>
        </row>
        <row r="14">
          <cell r="A14" t="str">
            <v>Physical intrusion of traffic</v>
          </cell>
          <cell r="B14" t="str">
            <v>Traffic flow prevents crossing and there are high levels of noise</v>
          </cell>
          <cell r="D14" t="str">
            <v>Traffic flow is safe to cross and there is little or no noise</v>
          </cell>
          <cell r="F14" t="str">
            <v>Low</v>
          </cell>
          <cell r="G14" t="str">
            <v/>
          </cell>
          <cell r="H14" t="str">
            <v>High</v>
          </cell>
        </row>
        <row r="15">
          <cell r="A15" t="str">
            <v>Graffiti and fly-posting</v>
          </cell>
          <cell r="B15" t="str">
            <v>Significant graffiti / flyposting</v>
          </cell>
          <cell r="D15" t="str">
            <v>Generally free from graffiti / flyposting</v>
          </cell>
          <cell r="F15" t="str">
            <v>Low</v>
          </cell>
          <cell r="G15" t="str">
            <v/>
          </cell>
          <cell r="H15" t="str">
            <v>High</v>
          </cell>
        </row>
        <row r="16">
          <cell r="A16" t="str">
            <v>Litter</v>
          </cell>
          <cell r="B16" t="str">
            <v>Significant litter and chewing gum</v>
          </cell>
          <cell r="C16" t="str">
            <v>Generally free from litter and chewing gum</v>
          </cell>
          <cell r="D16" t="str">
            <v>Generally free from litter and no chewing gum</v>
          </cell>
          <cell r="F16" t="str">
            <v>Low</v>
          </cell>
          <cell r="G16" t="str">
            <v xml:space="preserve">Medium </v>
          </cell>
          <cell r="H16" t="str">
            <v>High</v>
          </cell>
        </row>
      </sheetData>
      <sheetData sheetId="10" refreshError="1"/>
      <sheetData sheetId="11" refreshError="1"/>
      <sheetData sheetId="12"/>
      <sheetData sheetId="13">
        <row r="2">
          <cell r="A2" t="str">
            <v>Characteristic in PERS</v>
          </cell>
          <cell r="B2">
            <v>-3</v>
          </cell>
          <cell r="C2">
            <v>-2</v>
          </cell>
          <cell r="D2">
            <v>-1</v>
          </cell>
          <cell r="E2">
            <v>0</v>
          </cell>
          <cell r="F2">
            <v>1</v>
          </cell>
          <cell r="G2">
            <v>2</v>
          </cell>
          <cell r="H2">
            <v>3</v>
          </cell>
        </row>
        <row r="3">
          <cell r="A3" t="str">
            <v xml:space="preserve">Moving in the space </v>
          </cell>
          <cell r="B3">
            <v>0</v>
          </cell>
          <cell r="C3">
            <v>4.538041622673307E-2</v>
          </cell>
          <cell r="D3">
            <v>9.0760832453466153E-2</v>
          </cell>
          <cell r="E3">
            <v>0.13614124868019922</v>
          </cell>
          <cell r="F3">
            <v>0.15218820838370795</v>
          </cell>
          <cell r="G3">
            <v>0.16823516808721672</v>
          </cell>
          <cell r="H3">
            <v>0.18428212779072548</v>
          </cell>
        </row>
        <row r="4">
          <cell r="A4" t="str">
            <v xml:space="preserve">Interpreting the space </v>
          </cell>
          <cell r="B4">
            <v>0</v>
          </cell>
          <cell r="C4">
            <v>1.0089109170703676E-2</v>
          </cell>
          <cell r="D4">
            <v>2.0178218341407358E-2</v>
          </cell>
          <cell r="E4">
            <v>3.0267327512111045E-2</v>
          </cell>
          <cell r="F4">
            <v>4.0356436682814731E-2</v>
          </cell>
          <cell r="G4">
            <v>5.0445545853518403E-2</v>
          </cell>
          <cell r="H4">
            <v>6.0534655024222089E-2</v>
          </cell>
        </row>
        <row r="5">
          <cell r="A5" t="str">
            <v xml:space="preserve">Personal safety </v>
          </cell>
          <cell r="B5">
            <v>0</v>
          </cell>
          <cell r="C5">
            <v>4.308833040079578E-2</v>
          </cell>
          <cell r="D5">
            <v>8.6176660801591559E-2</v>
          </cell>
          <cell r="E5">
            <v>0.12926499120238735</v>
          </cell>
          <cell r="F5">
            <v>0.17173869138456418</v>
          </cell>
          <cell r="G5">
            <v>0.21190982164325795</v>
          </cell>
          <cell r="H5">
            <v>0.25208095190195179</v>
          </cell>
        </row>
        <row r="6">
          <cell r="A6" t="str">
            <v xml:space="preserve">Feeling comfortable </v>
          </cell>
          <cell r="B6">
            <v>0</v>
          </cell>
          <cell r="C6">
            <v>2.3949937959096793E-2</v>
          </cell>
          <cell r="D6">
            <v>4.7899875918193564E-2</v>
          </cell>
          <cell r="E6">
            <v>7.184981387729035E-2</v>
          </cell>
          <cell r="F6">
            <v>9.579975183638717E-2</v>
          </cell>
          <cell r="G6">
            <v>0.11974968979548394</v>
          </cell>
          <cell r="H6">
            <v>0.1436996277545807</v>
          </cell>
        </row>
        <row r="7">
          <cell r="A7" t="str">
            <v>Sense of place</v>
          </cell>
          <cell r="B7">
            <v>0</v>
          </cell>
          <cell r="C7">
            <v>1.3388847822005844E-2</v>
          </cell>
          <cell r="D7">
            <v>2.6777695644011688E-2</v>
          </cell>
          <cell r="E7">
            <v>4.0166543466017529E-2</v>
          </cell>
          <cell r="F7">
            <v>4.9186471263884764E-2</v>
          </cell>
          <cell r="G7">
            <v>5.3837479037613434E-2</v>
          </cell>
          <cell r="H7">
            <v>5.8488486811342069E-2</v>
          </cell>
        </row>
        <row r="8">
          <cell r="A8" t="str">
            <v>Opportunity for activity</v>
          </cell>
          <cell r="B8">
            <v>0</v>
          </cell>
          <cell r="C8">
            <v>7.4186784745845308E-2</v>
          </cell>
          <cell r="D8">
            <v>0.14837356949169062</v>
          </cell>
          <cell r="E8">
            <v>0.22256035423753595</v>
          </cell>
          <cell r="F8">
            <v>0.25201765416301936</v>
          </cell>
          <cell r="G8">
            <v>0.28147495408850276</v>
          </cell>
          <cell r="H8">
            <v>0.31093225401398611</v>
          </cell>
        </row>
      </sheetData>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0 Straight"/>
      <sheetName val="cycle ambience benefit"/>
      <sheetName val="calcs 7a"/>
      <sheetName val="calcs 9b"/>
      <sheetName val="calcs 8a"/>
      <sheetName val="calcs 10b"/>
      <sheetName val="calcs 11d"/>
      <sheetName val="calcs 11c"/>
      <sheetName val="calcs 11b"/>
      <sheetName val="calcs 13a"/>
      <sheetName val="calcs 12a"/>
      <sheetName val="calcs 12b"/>
      <sheetName val="calcs 1b"/>
      <sheetName val="calcs 1a"/>
      <sheetName val="calcs 2b"/>
      <sheetName val="calcs 2a"/>
      <sheetName val="calcs 4a"/>
      <sheetName val="calcs 14b"/>
      <sheetName val="calcs 18"/>
      <sheetName val="calcs 7gb"/>
      <sheetName val="calcs 7ga"/>
      <sheetName val="calcs 6g"/>
      <sheetName val="calcs 5g"/>
      <sheetName val="calcs 8b"/>
      <sheetName val="calcs 27"/>
      <sheetName val="calcs 26"/>
      <sheetName val="calcs 23"/>
      <sheetName val="Inputs 26"/>
      <sheetName val="Inputs 27"/>
      <sheetName val="Inputs 7a"/>
      <sheetName val="Inputs 9b"/>
      <sheetName val="Inputs 8a"/>
      <sheetName val="Inputs 10b"/>
      <sheetName val="Inputs 11d"/>
      <sheetName val="Inputs 11c"/>
      <sheetName val="Inputs 11b"/>
      <sheetName val="Inputs 12a"/>
      <sheetName val="Inputs 13a"/>
      <sheetName val="Inputs 12b"/>
      <sheetName val="Inputs 1b"/>
      <sheetName val="Inputs 1a"/>
      <sheetName val="Inputs 2b"/>
      <sheetName val="Inputs 2a"/>
      <sheetName val="Inputs 4a"/>
      <sheetName val="Inputs 14b"/>
      <sheetName val="Inputs 18"/>
      <sheetName val="Inputs 7gb"/>
      <sheetName val="Inputs 7ga"/>
      <sheetName val="Inputs 6g"/>
      <sheetName val="Inputs 5g"/>
      <sheetName val="Inputs 8b"/>
      <sheetName val="Inputs 23"/>
      <sheetName val="Assumptions"/>
      <sheetName val="RESULTS"/>
      <sheetName val="Link Calculator"/>
      <sheetName val="Public Space Calculator"/>
      <sheetName val="Element Calculator"/>
      <sheetName val="ped counts"/>
      <sheetName val="PERS results"/>
      <sheetName val="Value of Time Growth"/>
      <sheetName val="Trip generation"/>
      <sheetName val="Chart1"/>
      <sheetName val="Link - WTP"/>
      <sheetName val="Element definitions"/>
      <sheetName val="Public Space - WTP"/>
      <sheetName val="SP Element - WT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3">
          <cell r="B3">
            <v>0.01</v>
          </cell>
        </row>
        <row r="4">
          <cell r="B4">
            <v>2012</v>
          </cell>
        </row>
      </sheetData>
      <sheetData sheetId="53"/>
      <sheetData sheetId="54"/>
      <sheetData sheetId="55"/>
      <sheetData sheetId="56"/>
      <sheetData sheetId="57"/>
      <sheetData sheetId="58"/>
      <sheetData sheetId="59"/>
      <sheetData sheetId="60"/>
      <sheetData sheetId="61" refreshError="1"/>
      <sheetData sheetId="62"/>
      <sheetData sheetId="63"/>
      <sheetData sheetId="64"/>
      <sheetData sheetId="6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Project Description"/>
      <sheetName val="Life-span of monetised impacts"/>
      <sheetName val="Life-span of monetised impactsB"/>
      <sheetName val="Life-span of monetised impactsI"/>
      <sheetName val="Project costs"/>
      <sheetName val="User Profile"/>
      <sheetName val="User Profile - basic"/>
      <sheetName val="User Profile - inter"/>
      <sheetName val="A. CLIMATE CHANGE"/>
      <sheetName val="A1. Mode shift-reduced emission"/>
      <sheetName val="A2. Build emissions"/>
      <sheetName val="D. QUALITY OF LIFE&amp;ENV"/>
      <sheetName val="D. QUALITY OF LIFE&amp;ENV - basic"/>
      <sheetName val="D. QUALITY OF LIFE&amp;ENV - inter"/>
      <sheetName val="D2. User Exp_PERS links"/>
      <sheetName val="D2. User Exp_PERS linksB"/>
      <sheetName val="D2. User Exp_PERS linksI"/>
      <sheetName val="D2. User Exp_PERS Spaces"/>
      <sheetName val="D2. User Exp_PERS SpacesB"/>
      <sheetName val="D2. User Exp_PERS SpacesI"/>
      <sheetName val="B. ECONOMIC IMPACT"/>
      <sheetName val="B. ECONOMIC IMPACT - basic"/>
      <sheetName val="B. ECONOMIC IMPACT - inter"/>
      <sheetName val="B1. Local connect (in-work)"/>
      <sheetName val="B6. Retail ValuesI"/>
      <sheetName val="B7a. Resi ValuesI"/>
      <sheetName val="A. CLIMATE CHANGE - inter"/>
      <sheetName val="B1. Local connect (in-work)I"/>
      <sheetName val="B6. Retail Values"/>
      <sheetName val="B6. Retail ValuesB"/>
      <sheetName val="D1. Local connect (non-wrk)I"/>
      <sheetName val="B7a. Resi Values"/>
      <sheetName val="B7a. Resi ValuesB"/>
      <sheetName val="B7b. Resi Values"/>
      <sheetName val="C. EQUALITY OF OPPORTUNITY"/>
      <sheetName val="D1. Local connect (non-work)"/>
      <sheetName val="E. SAFETY, SECURITY &amp; HEALTH"/>
      <sheetName val="E. SAFE, SECUR &amp; HEALTH - inter"/>
      <sheetName val="E1. Collision reduction"/>
      <sheetName val="E3. Physical activity"/>
      <sheetName val="E5. Air quality"/>
      <sheetName val="E6. Crime reduction"/>
      <sheetName val="Toolkit Summary Impacts"/>
      <sheetName val="Toolkit Summary Impacts - basic"/>
      <sheetName val="Toolkit Summary Impacts - inter"/>
      <sheetName val="Version History"/>
      <sheetName val="Underlying data &gt;&gt;&gt;"/>
      <sheetName val="PERS WTP"/>
      <sheetName val="PERS property"/>
      <sheetName val="Air quality"/>
      <sheetName val="TAG 3.3.5d"/>
      <sheetName val="TAG 3.4.1"/>
      <sheetName val="TAG3.5.6"/>
      <sheetName val="TAG 3.14.1"/>
      <sheetName val="HO Olr3005"/>
      <sheetName val="Health&amp;Absenteeism"/>
      <sheetName val="ASHE"/>
      <sheetName val="Valuing Greenspace"/>
      <sheetName val="Time series parameters"/>
      <sheetName val="Annualisation factors"/>
    </sheetNames>
    <sheetDataSet>
      <sheetData sheetId="0">
        <row r="3">
          <cell r="H3" t="str">
            <v>Basic</v>
          </cell>
        </row>
      </sheetData>
      <sheetData sheetId="1" refreshError="1"/>
      <sheetData sheetId="2" refreshError="1"/>
      <sheetData sheetId="3" refreshError="1"/>
      <sheetData sheetId="4" refreshError="1"/>
      <sheetData sheetId="5">
        <row r="34">
          <cell r="C34">
            <v>6.5000000000000002E-2</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5">
          <cell r="B5">
            <v>2012</v>
          </cell>
        </row>
        <row r="6">
          <cell r="B6">
            <v>25</v>
          </cell>
        </row>
        <row r="7">
          <cell r="B7">
            <v>2005</v>
          </cell>
        </row>
      </sheetData>
      <sheetData sheetId="44"/>
      <sheetData sheetId="45"/>
      <sheetData sheetId="46" refreshError="1"/>
      <sheetData sheetId="47" refreshError="1"/>
      <sheetData sheetId="48">
        <row r="5">
          <cell r="A5" t="str">
            <v>Characteristic in PERS</v>
          </cell>
          <cell r="B5">
            <v>-3</v>
          </cell>
          <cell r="C5">
            <v>-2</v>
          </cell>
          <cell r="D5">
            <v>-1</v>
          </cell>
          <cell r="E5">
            <v>0</v>
          </cell>
          <cell r="F5">
            <v>1</v>
          </cell>
          <cell r="G5">
            <v>2</v>
          </cell>
          <cell r="H5">
            <v>3</v>
          </cell>
        </row>
        <row r="6">
          <cell r="A6" t="str">
            <v xml:space="preserve">Effective width </v>
          </cell>
          <cell r="B6">
            <v>0</v>
          </cell>
          <cell r="C6">
            <v>4.7701277162048106E-3</v>
          </cell>
          <cell r="D6">
            <v>9.540255432409623E-3</v>
          </cell>
          <cell r="E6">
            <v>1.4310383148614434E-2</v>
          </cell>
          <cell r="F6">
            <v>1.9080510864819246E-2</v>
          </cell>
          <cell r="G6">
            <v>2.3850638581024063E-2</v>
          </cell>
          <cell r="H6">
            <v>2.8620766297228869E-2</v>
          </cell>
        </row>
        <row r="7">
          <cell r="A7" t="str">
            <v>Dropped kerbs</v>
          </cell>
          <cell r="B7">
            <v>0</v>
          </cell>
          <cell r="C7">
            <v>1.2052132501781278E-2</v>
          </cell>
          <cell r="D7">
            <v>2.4104265003562556E-2</v>
          </cell>
          <cell r="E7">
            <v>3.6156397505343843E-2</v>
          </cell>
          <cell r="F7">
            <v>3.9126753107765852E-2</v>
          </cell>
          <cell r="G7">
            <v>4.2097108710187875E-2</v>
          </cell>
          <cell r="H7">
            <v>4.5067464312609891E-2</v>
          </cell>
        </row>
        <row r="8">
          <cell r="A8" t="str">
            <v xml:space="preserve">Obstructions </v>
          </cell>
          <cell r="B8">
            <v>0</v>
          </cell>
          <cell r="C8">
            <v>5.1864829797776254E-3</v>
          </cell>
          <cell r="D8">
            <v>1.0372965959555251E-2</v>
          </cell>
          <cell r="E8">
            <v>1.5559448939332875E-2</v>
          </cell>
          <cell r="F8">
            <v>2.0745931919110502E-2</v>
          </cell>
          <cell r="G8">
            <v>2.5932414898888121E-2</v>
          </cell>
          <cell r="H8">
            <v>3.1118897878665751E-2</v>
          </cell>
        </row>
        <row r="9">
          <cell r="A9" t="str">
            <v>Permeability</v>
          </cell>
          <cell r="B9">
            <v>0</v>
          </cell>
          <cell r="C9">
            <v>3.2082401157539159E-2</v>
          </cell>
          <cell r="D9">
            <v>6.4164802315078318E-2</v>
          </cell>
          <cell r="E9">
            <v>9.6247203472617476E-2</v>
          </cell>
          <cell r="F9">
            <v>0.10834884190110579</v>
          </cell>
          <cell r="G9">
            <v>0.12045048032959411</v>
          </cell>
          <cell r="H9">
            <v>0.13255211875808245</v>
          </cell>
        </row>
        <row r="10">
          <cell r="A10" t="str">
            <v xml:space="preserve">Legibility </v>
          </cell>
          <cell r="B10">
            <v>0</v>
          </cell>
          <cell r="C10">
            <v>9.3873479642061202E-3</v>
          </cell>
          <cell r="D10">
            <v>1.8774695928412247E-2</v>
          </cell>
          <cell r="E10">
            <v>2.8162043892618376E-2</v>
          </cell>
          <cell r="F10">
            <v>3.7549391856824502E-2</v>
          </cell>
          <cell r="G10">
            <v>4.6936739821030617E-2</v>
          </cell>
          <cell r="H10">
            <v>5.6324087785236752E-2</v>
          </cell>
        </row>
        <row r="11">
          <cell r="A11" t="str">
            <v xml:space="preserve">Lighting </v>
          </cell>
          <cell r="B11">
            <v>0</v>
          </cell>
          <cell r="C11">
            <v>1.8047470936095138E-2</v>
          </cell>
          <cell r="D11">
            <v>3.6094941872190277E-2</v>
          </cell>
          <cell r="E11">
            <v>5.4142412808285433E-2</v>
          </cell>
          <cell r="F11">
            <v>6.393263658983156E-2</v>
          </cell>
          <cell r="G11">
            <v>7.372286037137768E-2</v>
          </cell>
          <cell r="H11">
            <v>8.35130841529238E-2</v>
          </cell>
        </row>
        <row r="12">
          <cell r="A12" t="str">
            <v xml:space="preserve">Personal security </v>
          </cell>
          <cell r="B12">
            <v>0</v>
          </cell>
          <cell r="C12">
            <v>2.860247593021889E-2</v>
          </cell>
          <cell r="D12">
            <v>5.720495186043778E-2</v>
          </cell>
          <cell r="E12">
            <v>8.5807427790656671E-2</v>
          </cell>
          <cell r="F12">
            <v>0.10916056838900906</v>
          </cell>
          <cell r="G12">
            <v>0.13037129733159156</v>
          </cell>
          <cell r="H12">
            <v>0.15158202627417405</v>
          </cell>
        </row>
        <row r="13">
          <cell r="A13" t="str">
            <v xml:space="preserve">Surface quality </v>
          </cell>
          <cell r="B13">
            <v>0</v>
          </cell>
          <cell r="C13">
            <v>2.540166170347103E-2</v>
          </cell>
          <cell r="D13">
            <v>5.0803323406942061E-2</v>
          </cell>
          <cell r="E13">
            <v>7.6204985110413098E-2</v>
          </cell>
          <cell r="F13">
            <v>0.10160664681388412</v>
          </cell>
          <cell r="G13">
            <v>0.1068815886595646</v>
          </cell>
          <cell r="H13">
            <v>0.11215653050524507</v>
          </cell>
        </row>
        <row r="14">
          <cell r="A14" t="str">
            <v>User Conflict</v>
          </cell>
          <cell r="B14">
            <v>0</v>
          </cell>
          <cell r="C14">
            <v>2.7390434276357019E-2</v>
          </cell>
          <cell r="D14">
            <v>5.4780868552714058E-2</v>
          </cell>
          <cell r="E14">
            <v>8.2171302829071105E-2</v>
          </cell>
          <cell r="F14">
            <v>9.8742985019020332E-2</v>
          </cell>
          <cell r="G14">
            <v>0.1153146672089696</v>
          </cell>
          <cell r="H14">
            <v>0.13188634939891888</v>
          </cell>
        </row>
        <row r="15">
          <cell r="A15" t="str">
            <v>Quality of environment</v>
          </cell>
          <cell r="B15">
            <v>0</v>
          </cell>
          <cell r="C15">
            <v>6.0143299320592328E-2</v>
          </cell>
          <cell r="D15">
            <v>0.12028659864118466</v>
          </cell>
          <cell r="E15">
            <v>0.18042989796177694</v>
          </cell>
          <cell r="F15">
            <v>0.2153264549874728</v>
          </cell>
          <cell r="G15">
            <v>0.24615797794519897</v>
          </cell>
          <cell r="H15">
            <v>0.27698950090292501</v>
          </cell>
        </row>
        <row r="16">
          <cell r="A16" t="str">
            <v>Maintenance</v>
          </cell>
          <cell r="B16">
            <v>0</v>
          </cell>
          <cell r="C16">
            <v>2.1185122428768511E-2</v>
          </cell>
          <cell r="D16">
            <v>4.2370244857537022E-2</v>
          </cell>
          <cell r="E16">
            <v>6.3555367286305536E-2</v>
          </cell>
          <cell r="F16">
            <v>7.6264733642645702E-2</v>
          </cell>
          <cell r="G16">
            <v>8.8974099998985895E-2</v>
          </cell>
          <cell r="H16">
            <v>0.10168346635532605</v>
          </cell>
        </row>
        <row r="20">
          <cell r="A20" t="str">
            <v>Characteristic in PERS</v>
          </cell>
          <cell r="B20">
            <v>-3</v>
          </cell>
          <cell r="C20">
            <v>-2</v>
          </cell>
          <cell r="D20">
            <v>-1</v>
          </cell>
          <cell r="E20">
            <v>0</v>
          </cell>
          <cell r="F20">
            <v>1</v>
          </cell>
          <cell r="G20">
            <v>2</v>
          </cell>
          <cell r="H20">
            <v>3</v>
          </cell>
        </row>
        <row r="21">
          <cell r="A21" t="str">
            <v xml:space="preserve">Moving in the space </v>
          </cell>
          <cell r="B21">
            <v>0</v>
          </cell>
          <cell r="C21">
            <v>4.538041622673307E-2</v>
          </cell>
          <cell r="D21">
            <v>9.0760832453466153E-2</v>
          </cell>
          <cell r="E21">
            <v>0.13614124868019922</v>
          </cell>
          <cell r="F21">
            <v>0.15218820838370795</v>
          </cell>
          <cell r="G21">
            <v>0.16823516808721672</v>
          </cell>
          <cell r="H21">
            <v>0.18428212779072548</v>
          </cell>
        </row>
        <row r="22">
          <cell r="A22" t="str">
            <v xml:space="preserve">Interpreting the space </v>
          </cell>
          <cell r="B22">
            <v>0</v>
          </cell>
          <cell r="C22">
            <v>1.0089109170703676E-2</v>
          </cell>
          <cell r="D22">
            <v>2.0178218341407358E-2</v>
          </cell>
          <cell r="E22">
            <v>3.0267327512111045E-2</v>
          </cell>
          <cell r="F22">
            <v>4.0356436682814731E-2</v>
          </cell>
          <cell r="G22">
            <v>5.0445545853518403E-2</v>
          </cell>
          <cell r="H22">
            <v>6.0534655024222089E-2</v>
          </cell>
        </row>
        <row r="23">
          <cell r="A23" t="str">
            <v xml:space="preserve">Personal safety </v>
          </cell>
          <cell r="B23">
            <v>0</v>
          </cell>
          <cell r="C23">
            <v>4.308833040079578E-2</v>
          </cell>
          <cell r="D23">
            <v>8.6176660801591559E-2</v>
          </cell>
          <cell r="E23">
            <v>0.12926499120238735</v>
          </cell>
          <cell r="F23">
            <v>0.17173869138456418</v>
          </cell>
          <cell r="G23">
            <v>0.21190982164325795</v>
          </cell>
          <cell r="H23">
            <v>0.25208095190195179</v>
          </cell>
        </row>
        <row r="24">
          <cell r="A24" t="str">
            <v xml:space="preserve">Feeling comfortable </v>
          </cell>
          <cell r="B24">
            <v>0</v>
          </cell>
          <cell r="C24">
            <v>2.3949937959096793E-2</v>
          </cell>
          <cell r="D24">
            <v>4.7899875918193564E-2</v>
          </cell>
          <cell r="E24">
            <v>7.184981387729035E-2</v>
          </cell>
          <cell r="F24">
            <v>9.579975183638717E-2</v>
          </cell>
          <cell r="G24">
            <v>0.11974968979548394</v>
          </cell>
          <cell r="H24">
            <v>0.1436996277545807</v>
          </cell>
        </row>
        <row r="25">
          <cell r="A25" t="str">
            <v>Sense of place</v>
          </cell>
          <cell r="B25">
            <v>0</v>
          </cell>
          <cell r="C25">
            <v>1.3388847822005844E-2</v>
          </cell>
          <cell r="D25">
            <v>2.6777695644011688E-2</v>
          </cell>
          <cell r="E25">
            <v>4.0166543466017529E-2</v>
          </cell>
          <cell r="F25">
            <v>4.9186471263884764E-2</v>
          </cell>
          <cell r="G25">
            <v>5.3837479037613434E-2</v>
          </cell>
          <cell r="H25">
            <v>5.8488486811342069E-2</v>
          </cell>
        </row>
        <row r="26">
          <cell r="A26" t="str">
            <v>Opportunity for activity</v>
          </cell>
          <cell r="B26">
            <v>0</v>
          </cell>
          <cell r="C26">
            <v>7.4186784745845308E-2</v>
          </cell>
          <cell r="D26">
            <v>0.14837356949169062</v>
          </cell>
          <cell r="E26">
            <v>0.22256035423753595</v>
          </cell>
          <cell r="F26">
            <v>0.25201765416301936</v>
          </cell>
          <cell r="G26">
            <v>0.28147495408850276</v>
          </cell>
          <cell r="H26">
            <v>0.31093225401398611</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6">
          <cell r="A6">
            <v>2002</v>
          </cell>
          <cell r="B6">
            <v>176.2</v>
          </cell>
        </row>
        <row r="7">
          <cell r="A7">
            <v>2003</v>
          </cell>
          <cell r="B7">
            <v>181.3</v>
          </cell>
        </row>
        <row r="8">
          <cell r="A8">
            <v>2004</v>
          </cell>
          <cell r="B8">
            <v>186.7</v>
          </cell>
        </row>
        <row r="9">
          <cell r="A9">
            <v>2005</v>
          </cell>
          <cell r="B9">
            <v>192</v>
          </cell>
        </row>
        <row r="10">
          <cell r="A10">
            <v>2006</v>
          </cell>
          <cell r="B10">
            <v>198.1</v>
          </cell>
        </row>
        <row r="11">
          <cell r="A11">
            <v>2007</v>
          </cell>
          <cell r="B11">
            <v>206.6</v>
          </cell>
        </row>
        <row r="12">
          <cell r="A12">
            <v>2008</v>
          </cell>
          <cell r="B12">
            <v>214.8</v>
          </cell>
        </row>
        <row r="13">
          <cell r="A13">
            <v>2009</v>
          </cell>
          <cell r="B13">
            <v>213.7</v>
          </cell>
        </row>
        <row r="14">
          <cell r="A14">
            <v>2010</v>
          </cell>
          <cell r="B14">
            <v>223.5</v>
          </cell>
        </row>
      </sheetData>
      <sheetData sheetId="6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me series parameters"/>
      <sheetName val="Assumptions"/>
      <sheetName val="Base factors"/>
      <sheetName val="Vehicle data"/>
      <sheetName val="Piccadilly peds"/>
      <sheetName val="Piccadilly Circus peds"/>
      <sheetName val="Costs"/>
      <sheetName val="Vehicle time savings"/>
      <sheetName val="Ped time savings"/>
      <sheetName val="VOCs"/>
      <sheetName val="Emissions"/>
      <sheetName val="Safety"/>
      <sheetName val="Results"/>
      <sheetName val="Sensitivity tests"/>
      <sheetName val="Table for Appendix A"/>
    </sheetNames>
    <sheetDataSet>
      <sheetData sheetId="0" refreshError="1"/>
      <sheetData sheetId="1">
        <row r="41">
          <cell r="B41">
            <v>9.6555</v>
          </cell>
        </row>
        <row r="42">
          <cell r="B42">
            <v>10.571999999999999</v>
          </cell>
        </row>
        <row r="43">
          <cell r="B43">
            <v>10.29</v>
          </cell>
        </row>
        <row r="44">
          <cell r="B44">
            <v>17.27</v>
          </cell>
        </row>
        <row r="45">
          <cell r="B45">
            <v>17.27</v>
          </cell>
        </row>
        <row r="46">
          <cell r="B46">
            <v>112.37</v>
          </cell>
        </row>
        <row r="47">
          <cell r="B47">
            <v>36.376666666666665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10 Straight"/>
      <sheetName val="cycle ambience benefit"/>
      <sheetName val="calcs 7a"/>
      <sheetName val="calcs 9b"/>
      <sheetName val="calcs 8a"/>
      <sheetName val="calcs 10b"/>
      <sheetName val="calcs 11d"/>
      <sheetName val="calcs 11c"/>
      <sheetName val="calcs 11b"/>
      <sheetName val="calcs 13a"/>
      <sheetName val="calcs 12a"/>
      <sheetName val="calcs 12b"/>
      <sheetName val="calcs 1b"/>
      <sheetName val="calcs 1a"/>
      <sheetName val="calcs 2b"/>
      <sheetName val="calcs 2a"/>
      <sheetName val="calcs 4a"/>
      <sheetName val="calcs 14b"/>
      <sheetName val="calcs 18"/>
      <sheetName val="calcs 7gb"/>
      <sheetName val="calcs 7ga"/>
      <sheetName val="calcs 6g"/>
      <sheetName val="calcs 5g"/>
      <sheetName val="calcs 8b"/>
      <sheetName val="calcs 27"/>
      <sheetName val="calcs 26"/>
      <sheetName val="calcs 23"/>
      <sheetName val="Inputs 26"/>
      <sheetName val="Inputs 27"/>
      <sheetName val="Inputs 7a"/>
      <sheetName val="Inputs 9b"/>
      <sheetName val="Inputs 8a"/>
      <sheetName val="Inputs 10b"/>
      <sheetName val="Inputs 11d"/>
      <sheetName val="Inputs 11c"/>
      <sheetName val="Inputs 11b"/>
      <sheetName val="Inputs 12a"/>
      <sheetName val="Inputs 13a"/>
      <sheetName val="Inputs 12b"/>
      <sheetName val="Inputs 1b"/>
      <sheetName val="Inputs 1a"/>
      <sheetName val="Inputs 2b"/>
      <sheetName val="Inputs 2a"/>
      <sheetName val="Inputs 4a"/>
      <sheetName val="Inputs 14b"/>
      <sheetName val="Inputs 18"/>
      <sheetName val="Inputs 7gb"/>
      <sheetName val="Inputs 7ga"/>
      <sheetName val="Inputs 6g"/>
      <sheetName val="Inputs 5g"/>
      <sheetName val="Inputs 8b"/>
      <sheetName val="Inputs 23"/>
      <sheetName val="Assumptions"/>
      <sheetName val="RESULTS"/>
      <sheetName val="Link Calculator"/>
      <sheetName val="Public Space Calculator"/>
      <sheetName val="Element Calculator"/>
      <sheetName val="ped counts"/>
      <sheetName val="PERS results"/>
      <sheetName val="Value of Time Growth"/>
      <sheetName val="Trip generation"/>
      <sheetName val="Chart1"/>
      <sheetName val="Link - WTP"/>
      <sheetName val="Element definitions"/>
      <sheetName val="Public Space - WTP"/>
      <sheetName val="SP Element - WT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sheetData sheetId="63"/>
      <sheetData sheetId="64"/>
      <sheetData sheetId="6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del results"/>
      <sheetName val="Base parameters"/>
      <sheetName val="Time series parameters"/>
      <sheetName val="Emissions parameters"/>
      <sheetName val="Accident parameters"/>
      <sheetName val="Time savings"/>
      <sheetName val="Accidents"/>
      <sheetName val="Emissions"/>
      <sheetName val="Safety"/>
      <sheetName val="VOCs"/>
      <sheetName val="Costs"/>
      <sheetName val="Revenues"/>
      <sheetName val="Agglom"/>
      <sheetName val="Results - econ"/>
      <sheetName val="Results - fin"/>
    </sheetNames>
    <sheetDataSet>
      <sheetData sheetId="0" refreshError="1"/>
      <sheetData sheetId="1">
        <row r="18">
          <cell r="A18">
            <v>1.6093440000000001</v>
          </cell>
        </row>
      </sheetData>
      <sheetData sheetId="2"/>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l TfL values"/>
      <sheetName val="TFL values"/>
      <sheetName val="A10 Straight"/>
      <sheetName val="cycle ambience benefit"/>
      <sheetName val="calcs 7a"/>
      <sheetName val="calcs 9b"/>
      <sheetName val="calcs 8a"/>
      <sheetName val="calcs 10b"/>
      <sheetName val="calcs 11d"/>
      <sheetName val="calcs 11c"/>
      <sheetName val="calcs 11b"/>
      <sheetName val="calcs 13a"/>
      <sheetName val="calcs 12a"/>
      <sheetName val="calcs 12b"/>
      <sheetName val="calcs 1b"/>
      <sheetName val="calcs 1a"/>
      <sheetName val="calcs 2b"/>
      <sheetName val="calcs 2a"/>
      <sheetName val="calcs 4a"/>
      <sheetName val="calcs 14b"/>
      <sheetName val="calcs 18"/>
      <sheetName val="calcs 7gb"/>
      <sheetName val="calcs 7ga"/>
      <sheetName val="calcs 6g"/>
      <sheetName val="calcs 5g"/>
      <sheetName val="calcs 8b"/>
      <sheetName val="calcs 27"/>
      <sheetName val="calcs 26"/>
      <sheetName val="calcs 23"/>
      <sheetName val="Inputs 26"/>
      <sheetName val="Inputs 27"/>
      <sheetName val="Inputs 7a"/>
      <sheetName val="Inputs 9b"/>
      <sheetName val="Inputs 8a"/>
      <sheetName val="Inputs 10b"/>
      <sheetName val="Inputs 11d"/>
      <sheetName val="Inputs 11c"/>
      <sheetName val="Inputs 11b"/>
      <sheetName val="Inputs 12a"/>
      <sheetName val="Inputs 13a"/>
      <sheetName val="Inputs 12b"/>
      <sheetName val="Inputs 1b"/>
      <sheetName val="Inputs 1a"/>
      <sheetName val="Inputs 2b"/>
      <sheetName val="Inputs 2a"/>
      <sheetName val="Inputs 4a"/>
      <sheetName val="Inputs 14b"/>
      <sheetName val="Inputs 18"/>
      <sheetName val="Inputs 7gb"/>
      <sheetName val="Inputs 7ga"/>
      <sheetName val="Inputs 6g"/>
      <sheetName val="Inputs 5g"/>
      <sheetName val="Inputs 8b"/>
      <sheetName val="Inputs 23"/>
      <sheetName val="Assumptions"/>
      <sheetName val="RESULTS"/>
      <sheetName val="Link Calculator"/>
      <sheetName val="Public Space Calculator"/>
      <sheetName val="Element Calculator"/>
      <sheetName val="ped counts"/>
      <sheetName val="PERS results"/>
      <sheetName val="Value of Time Growth"/>
      <sheetName val="Trip generation"/>
      <sheetName val="Chart1"/>
      <sheetName val="Link - WTP"/>
      <sheetName val="Element definitions"/>
      <sheetName val="Public Space - WTP"/>
      <sheetName val="SP Element - WT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B2">
            <v>10</v>
          </cell>
        </row>
      </sheetData>
      <sheetData sheetId="55"/>
      <sheetData sheetId="56"/>
      <sheetData sheetId="57"/>
      <sheetData sheetId="58"/>
      <sheetData sheetId="59"/>
      <sheetData sheetId="60"/>
      <sheetData sheetId="61"/>
      <sheetData sheetId="62"/>
      <sheetData sheetId="63" refreshError="1"/>
      <sheetData sheetId="64"/>
      <sheetData sheetId="65"/>
      <sheetData sheetId="66"/>
      <sheetData sheetId="6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uide"/>
      <sheetName val="Inputs - Links"/>
      <sheetName val="Inputs - WTP"/>
      <sheetName val="Inputs - Public spaces"/>
      <sheetName val="Inputs - Elements"/>
      <sheetName val="Inputs - coefficients"/>
      <sheetName val="PERS Output - WTP"/>
      <sheetName val="Output - WTP per min"/>
      <sheetName val="Chart1"/>
      <sheetName val="Links"/>
      <sheetName val="Element"/>
      <sheetName val="Public Spaces"/>
      <sheetName val="Scale Adjuster"/>
      <sheetName val="WTP - detailed split"/>
      <sheetName val="Coefficients - detailed split"/>
    </sheetNames>
    <sheetDataSet>
      <sheetData sheetId="0" refreshError="1"/>
      <sheetData sheetId="1" refreshError="1"/>
      <sheetData sheetId="2" refreshError="1">
        <row r="15">
          <cell r="B15">
            <v>4766.6836167998044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ptions Summary"/>
      <sheetName val="RESULTS"/>
      <sheetName val="Costs"/>
      <sheetName val="Assumptions"/>
      <sheetName val="discount and VOT growth"/>
      <sheetName val="Vehicle Data"/>
      <sheetName val="new vehicle data"/>
      <sheetName val="Bus Data"/>
      <sheetName val="Cycle Data"/>
      <sheetName val="New Ped Data"/>
      <sheetName val="Old Ped Data"/>
      <sheetName val="JT summary"/>
      <sheetName val="JT impacts - vehicles"/>
      <sheetName val="JT impacts - peds"/>
      <sheetName val="JT impacts - cyclists"/>
      <sheetName val="bus revenues"/>
      <sheetName val="vehicle operating costs"/>
      <sheetName val="op cost assumps"/>
      <sheetName val="VOC parameters"/>
      <sheetName val="Emissions"/>
      <sheetName val="emissions assumpts"/>
      <sheetName val="BCDM ambience values NEW"/>
      <sheetName val="Existing PERS"/>
      <sheetName val="Ambience summary"/>
      <sheetName val="ambience bens - peds"/>
      <sheetName val="ambience bens - cyclists"/>
      <sheetName val="ambience bens - bus"/>
      <sheetName val="accident savings"/>
      <sheetName val="health bens"/>
      <sheetName val="other bens"/>
      <sheetName val="BCDM ambience values"/>
      <sheetName val="PedCount Data"/>
    </sheetNames>
    <sheetDataSet>
      <sheetData sheetId="0" refreshError="1"/>
      <sheetData sheetId="1" refreshError="1"/>
      <sheetData sheetId="2" refreshError="1"/>
      <sheetData sheetId="3">
        <row r="82">
          <cell r="B82">
            <v>0.44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C17:C18"/>
  <sheetViews>
    <sheetView workbookViewId="0">
      <selection activeCell="D26" sqref="D26"/>
    </sheetView>
  </sheetViews>
  <sheetFormatPr defaultColWidth="9.140625" defaultRowHeight="15"/>
  <cols>
    <col min="1" max="16384" width="9.140625" style="1"/>
  </cols>
  <sheetData>
    <row r="17" spans="3:3" ht="18">
      <c r="C17" s="2" t="s">
        <v>9</v>
      </c>
    </row>
    <row r="18" spans="3:3" ht="16.5">
      <c r="C18" s="3" t="s">
        <v>127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tabColor rgb="FFFFFF00"/>
  </sheetPr>
  <dimension ref="B2:F37"/>
  <sheetViews>
    <sheetView workbookViewId="0">
      <selection activeCell="G2" sqref="G2"/>
    </sheetView>
  </sheetViews>
  <sheetFormatPr defaultColWidth="8.85546875" defaultRowHeight="15"/>
  <cols>
    <col min="1" max="1" width="8.85546875" style="1"/>
    <col min="2" max="2" width="53.140625" style="1" customWidth="1"/>
    <col min="3" max="6" width="16.5703125" style="1" customWidth="1"/>
    <col min="7" max="16384" width="8.85546875" style="1"/>
  </cols>
  <sheetData>
    <row r="2" spans="2:6" ht="15.75">
      <c r="B2" s="157" t="s">
        <v>668</v>
      </c>
      <c r="C2" s="195"/>
      <c r="D2" s="156"/>
    </row>
    <row r="4" spans="2:6">
      <c r="B4" s="101" t="s">
        <v>670</v>
      </c>
      <c r="C4" s="99"/>
      <c r="D4" s="99"/>
      <c r="E4" s="99"/>
      <c r="F4" s="99"/>
    </row>
    <row r="5" spans="2:6">
      <c r="B5" s="23"/>
      <c r="C5" s="23" t="s">
        <v>130</v>
      </c>
      <c r="D5" s="23" t="s">
        <v>124</v>
      </c>
      <c r="E5" s="23" t="s">
        <v>125</v>
      </c>
      <c r="F5" s="23" t="s">
        <v>126</v>
      </c>
    </row>
    <row r="6" spans="2:6">
      <c r="B6" s="153" t="s">
        <v>669</v>
      </c>
      <c r="C6" s="150" t="e">
        <f>'Patronage summary'!$D$13</f>
        <v>#DIV/0!</v>
      </c>
      <c r="D6" s="150" t="e">
        <f>'Patronage summary'!$D$27</f>
        <v>#DIV/0!</v>
      </c>
      <c r="E6" s="150" t="e">
        <f>'Patronage summary'!$D$41</f>
        <v>#DIV/0!</v>
      </c>
      <c r="F6" s="150" t="e">
        <f>'Patronage summary'!$D$55</f>
        <v>#DIV/0!</v>
      </c>
    </row>
    <row r="7" spans="2:6">
      <c r="B7" s="153" t="s">
        <v>673</v>
      </c>
      <c r="C7" s="279" t="e">
        <f>SUM('Patronage summary'!$D$5,'Patronage summary'!$D$7)</f>
        <v>#DIV/0!</v>
      </c>
      <c r="D7" s="279" t="e">
        <f>SUM('Patronage summary'!$D$19,'Patronage summary'!$D$21)</f>
        <v>#DIV/0!</v>
      </c>
      <c r="E7" s="279" t="e">
        <f>SUM('Patronage summary'!$D$33,'Patronage summary'!$D$35)</f>
        <v>#DIV/0!</v>
      </c>
      <c r="F7" s="279" t="e">
        <f>SUM('Patronage summary'!$D$47,'Patronage summary'!$D$49)</f>
        <v>#DIV/0!</v>
      </c>
    </row>
    <row r="8" spans="2:6">
      <c r="B8" s="153" t="s">
        <v>685</v>
      </c>
      <c r="C8" s="279" t="e">
        <f>SUM('Patronage summary'!$D$6,'Patronage summary'!$D$8)</f>
        <v>#N/A</v>
      </c>
      <c r="D8" s="279" t="e">
        <f>SUM('Patronage summary'!$D$20,'Patronage summary'!$D$22)</f>
        <v>#N/A</v>
      </c>
      <c r="E8" s="279" t="e">
        <f>SUM('Patronage summary'!$D$34,'Patronage summary'!$D$36)</f>
        <v>#N/A</v>
      </c>
      <c r="F8" s="279" t="e">
        <f>SUM('Patronage summary'!$D$48,'Patronage summary'!$D$50)</f>
        <v>#N/A</v>
      </c>
    </row>
    <row r="10" spans="2:6">
      <c r="B10" s="101" t="s">
        <v>671</v>
      </c>
      <c r="C10" s="99"/>
      <c r="D10" s="99"/>
      <c r="E10" s="99"/>
      <c r="F10" s="99"/>
    </row>
    <row r="11" spans="2:6">
      <c r="B11" s="23"/>
      <c r="C11" s="23" t="s">
        <v>130</v>
      </c>
      <c r="D11" s="23" t="s">
        <v>124</v>
      </c>
      <c r="E11" s="23" t="s">
        <v>125</v>
      </c>
      <c r="F11" s="23" t="s">
        <v>126</v>
      </c>
    </row>
    <row r="12" spans="2:6">
      <c r="B12" s="153" t="s">
        <v>669</v>
      </c>
      <c r="C12" s="150" t="e">
        <f>C6*General!$C$29</f>
        <v>#DIV/0!</v>
      </c>
      <c r="D12" s="150" t="e">
        <f>D6*General!$C$29</f>
        <v>#DIV/0!</v>
      </c>
      <c r="E12" s="150" t="e">
        <f>E6*General!$C$29</f>
        <v>#DIV/0!</v>
      </c>
      <c r="F12" s="150" t="e">
        <f>F6*General!$C$29</f>
        <v>#DIV/0!</v>
      </c>
    </row>
    <row r="13" spans="2:6">
      <c r="B13" s="153" t="s">
        <v>673</v>
      </c>
      <c r="C13" s="150" t="e">
        <f>C7*General!$C$29</f>
        <v>#DIV/0!</v>
      </c>
      <c r="D13" s="150" t="e">
        <f>D7*General!$C$29</f>
        <v>#DIV/0!</v>
      </c>
      <c r="E13" s="150" t="e">
        <f>E7*General!$C$29</f>
        <v>#DIV/0!</v>
      </c>
      <c r="F13" s="150" t="e">
        <f>F7*General!$C$29</f>
        <v>#DIV/0!</v>
      </c>
    </row>
    <row r="14" spans="2:6">
      <c r="B14" s="153" t="s">
        <v>685</v>
      </c>
      <c r="C14" s="150" t="e">
        <f>C8*General!$C$29</f>
        <v>#N/A</v>
      </c>
      <c r="D14" s="150" t="e">
        <f>D8*General!$C$29</f>
        <v>#N/A</v>
      </c>
      <c r="E14" s="150" t="e">
        <f>E8*General!$C$29</f>
        <v>#N/A</v>
      </c>
      <c r="F14" s="150" t="e">
        <f>F8*General!$C$29</f>
        <v>#N/A</v>
      </c>
    </row>
    <row r="16" spans="2:6">
      <c r="B16" s="101" t="s">
        <v>672</v>
      </c>
      <c r="C16" s="99"/>
      <c r="D16" s="99"/>
      <c r="E16" s="99"/>
      <c r="F16" s="99"/>
    </row>
    <row r="17" spans="2:6">
      <c r="B17" s="106"/>
      <c r="C17" s="107"/>
      <c r="D17" s="23" t="s">
        <v>124</v>
      </c>
      <c r="E17" s="23" t="s">
        <v>125</v>
      </c>
      <c r="F17" s="23" t="s">
        <v>126</v>
      </c>
    </row>
    <row r="18" spans="2:6">
      <c r="B18" s="106"/>
      <c r="C18" s="153" t="s">
        <v>674</v>
      </c>
      <c r="D18" s="150" t="e">
        <f t="shared" ref="D18:F20" si="0">IF(Option1="No","",D12-$C12)</f>
        <v>#DIV/0!</v>
      </c>
      <c r="E18" s="150" t="e">
        <f t="shared" si="0"/>
        <v>#DIV/0!</v>
      </c>
      <c r="F18" s="150" t="e">
        <f t="shared" si="0"/>
        <v>#DIV/0!</v>
      </c>
    </row>
    <row r="19" spans="2:6">
      <c r="B19" s="106"/>
      <c r="C19" s="153" t="s">
        <v>675</v>
      </c>
      <c r="D19" s="150" t="e">
        <f t="shared" si="0"/>
        <v>#DIV/0!</v>
      </c>
      <c r="E19" s="150" t="e">
        <f t="shared" si="0"/>
        <v>#DIV/0!</v>
      </c>
      <c r="F19" s="150" t="e">
        <f t="shared" si="0"/>
        <v>#DIV/0!</v>
      </c>
    </row>
    <row r="20" spans="2:6">
      <c r="B20" s="106"/>
      <c r="C20" s="153" t="s">
        <v>686</v>
      </c>
      <c r="D20" s="150" t="e">
        <f t="shared" si="0"/>
        <v>#N/A</v>
      </c>
      <c r="E20" s="150" t="e">
        <f t="shared" si="0"/>
        <v>#N/A</v>
      </c>
      <c r="F20" s="150" t="e">
        <f t="shared" si="0"/>
        <v>#N/A</v>
      </c>
    </row>
    <row r="22" spans="2:6">
      <c r="B22" s="101" t="s">
        <v>676</v>
      </c>
      <c r="C22" s="99"/>
      <c r="D22" s="99"/>
      <c r="E22" s="99"/>
      <c r="F22" s="99"/>
    </row>
    <row r="23" spans="2:6">
      <c r="B23" s="23"/>
      <c r="C23" s="23" t="s">
        <v>130</v>
      </c>
      <c r="D23" s="23" t="s">
        <v>124</v>
      </c>
      <c r="E23" s="23" t="s">
        <v>125</v>
      </c>
      <c r="F23" s="23" t="s">
        <v>126</v>
      </c>
    </row>
    <row r="24" spans="2:6">
      <c r="B24" s="153" t="s">
        <v>677</v>
      </c>
      <c r="C24" s="528" t="e">
        <f>C6/SUM('Patronage summary'!$D$6,'Patronage summary'!$D$8,'Patronage summary'!$D$10,'Patronage summary'!$D$12,'Patronage summary'!$D$13,'Patronage summary'!$D$14)</f>
        <v>#DIV/0!</v>
      </c>
      <c r="D24" s="528" t="e">
        <f>D6/SUM('Patronage summary'!$D$20,'Patronage summary'!$D$22,'Patronage summary'!$D$24,'Patronage summary'!$D$26,'Patronage summary'!$D$27,'Patronage summary'!$D$28)</f>
        <v>#DIV/0!</v>
      </c>
      <c r="E24" s="528" t="e">
        <f>E6/SUM('Patronage summary'!$D$34,'Patronage summary'!$D$36,'Patronage summary'!$D$38,'Patronage summary'!$D$40,'Patronage summary'!$D$41,'Patronage summary'!$D$42)</f>
        <v>#DIV/0!</v>
      </c>
      <c r="F24" s="528" t="e">
        <f>F6/SUM('Patronage summary'!$D$48,'Patronage summary'!$D$50,'Patronage summary'!$D$52,'Patronage summary'!$D$54,'Patronage summary'!$D$55,'Patronage summary'!$D$56)</f>
        <v>#DIV/0!</v>
      </c>
    </row>
    <row r="25" spans="2:6">
      <c r="B25" s="153" t="s">
        <v>678</v>
      </c>
      <c r="C25" s="528" t="e">
        <f>C7/SUM('Patronage summary'!$D$5,'Patronage summary'!$D$7,'Patronage summary'!$D$9,'Patronage summary'!$D$11)</f>
        <v>#DIV/0!</v>
      </c>
      <c r="D25" s="528" t="e">
        <f>D7/SUM('Patronage summary'!$D$19,'Patronage summary'!$D$21,'Patronage summary'!$D$23,'Patronage summary'!$D$25)</f>
        <v>#DIV/0!</v>
      </c>
      <c r="E25" s="528" t="e">
        <f>E7/SUM('Patronage summary'!$D$33,'Patronage summary'!$D$35,'Patronage summary'!$D$37,'Patronage summary'!$D$39)</f>
        <v>#DIV/0!</v>
      </c>
      <c r="F25" s="528" t="e">
        <f>F7/SUM('Patronage summary'!$D$47,'Patronage summary'!$D$49,'Patronage summary'!$D$51,'Patronage summary'!$D$53)</f>
        <v>#DIV/0!</v>
      </c>
    </row>
    <row r="26" spans="2:6">
      <c r="B26" s="153" t="s">
        <v>687</v>
      </c>
      <c r="C26" s="528" t="e">
        <f>C8/SUM('Patronage summary'!$D$6,'Patronage summary'!$D$8,'Patronage summary'!$D$10,'Patronage summary'!$D$12,'Patronage summary'!$D$13,'Patronage summary'!$D$14)</f>
        <v>#N/A</v>
      </c>
      <c r="D26" s="528" t="e">
        <f>D8/SUM('Patronage summary'!$D$20,'Patronage summary'!$D$22,'Patronage summary'!$D$24,'Patronage summary'!$D$26,'Patronage summary'!$D$27,'Patronage summary'!$D$28)</f>
        <v>#N/A</v>
      </c>
      <c r="E26" s="528" t="e">
        <f>E8/SUM('Patronage summary'!$D$34,'Patronage summary'!$D$36,'Patronage summary'!$D$38,'Patronage summary'!$D$40,'Patronage summary'!$D$41,'Patronage summary'!$D$42)</f>
        <v>#N/A</v>
      </c>
      <c r="F26" s="528" t="e">
        <f>F8/SUM('Patronage summary'!$D$48,'Patronage summary'!$D$50,'Patronage summary'!$D$52,'Patronage summary'!$D$54,'Patronage summary'!$D$55,'Patronage summary'!$D$56)</f>
        <v>#N/A</v>
      </c>
    </row>
    <row r="28" spans="2:6">
      <c r="B28" s="101" t="s">
        <v>679</v>
      </c>
      <c r="C28" s="99"/>
      <c r="D28" s="99"/>
      <c r="E28" s="99"/>
      <c r="F28" s="99"/>
    </row>
    <row r="29" spans="2:6">
      <c r="B29" s="106"/>
      <c r="C29" s="107"/>
      <c r="D29" s="23" t="s">
        <v>124</v>
      </c>
      <c r="E29" s="23" t="s">
        <v>125</v>
      </c>
      <c r="F29" s="23" t="s">
        <v>126</v>
      </c>
    </row>
    <row r="30" spans="2:6">
      <c r="B30" s="106"/>
      <c r="C30" s="153" t="s">
        <v>674</v>
      </c>
      <c r="D30" s="529" t="e">
        <f>(D24-$C24)*100</f>
        <v>#DIV/0!</v>
      </c>
      <c r="E30" s="529" t="e">
        <f t="shared" ref="E30:F32" si="1">(E24-$C24)*100</f>
        <v>#DIV/0!</v>
      </c>
      <c r="F30" s="529" t="e">
        <f t="shared" si="1"/>
        <v>#DIV/0!</v>
      </c>
    </row>
    <row r="31" spans="2:6">
      <c r="B31" s="106"/>
      <c r="C31" s="153" t="s">
        <v>675</v>
      </c>
      <c r="D31" s="529" t="e">
        <f>(D25-$C25)*100</f>
        <v>#DIV/0!</v>
      </c>
      <c r="E31" s="529" t="e">
        <f t="shared" si="1"/>
        <v>#DIV/0!</v>
      </c>
      <c r="F31" s="529" t="e">
        <f t="shared" si="1"/>
        <v>#DIV/0!</v>
      </c>
    </row>
    <row r="32" spans="2:6">
      <c r="B32" s="106"/>
      <c r="C32" s="153" t="s">
        <v>686</v>
      </c>
      <c r="D32" s="529" t="e">
        <f>(D26-$C26)*100</f>
        <v>#N/A</v>
      </c>
      <c r="E32" s="529" t="e">
        <f t="shared" si="1"/>
        <v>#N/A</v>
      </c>
      <c r="F32" s="529" t="e">
        <f t="shared" si="1"/>
        <v>#N/A</v>
      </c>
    </row>
    <row r="34" spans="2:6">
      <c r="B34" s="101" t="s">
        <v>601</v>
      </c>
      <c r="C34" s="99"/>
      <c r="D34" s="99"/>
      <c r="E34" s="99"/>
      <c r="F34" s="99"/>
    </row>
    <row r="35" spans="2:6">
      <c r="B35" s="106"/>
      <c r="C35" s="107"/>
      <c r="D35" s="23" t="s">
        <v>124</v>
      </c>
      <c r="E35" s="23" t="s">
        <v>125</v>
      </c>
      <c r="F35" s="23" t="s">
        <v>126</v>
      </c>
    </row>
    <row r="36" spans="2:6">
      <c r="B36" s="23"/>
      <c r="C36" s="153" t="s">
        <v>684</v>
      </c>
      <c r="D36" s="150" t="e">
        <f>IF(Option1="No","",D18*D30*'EEM values'!$C$10*'EEM values'!$C$7)</f>
        <v>#DIV/0!</v>
      </c>
      <c r="E36" s="150" t="e">
        <f>IF(Option1="No","",E18*E30*'EEM values'!$C$10*'EEM values'!$C$7)</f>
        <v>#DIV/0!</v>
      </c>
      <c r="F36" s="150" t="e">
        <f>IF(Option1="No","",F18*F30*'EEM values'!$C$10*'EEM values'!$C$7)</f>
        <v>#DIV/0!</v>
      </c>
    </row>
    <row r="37" spans="2:6">
      <c r="B37" s="23"/>
      <c r="C37" s="153" t="s">
        <v>688</v>
      </c>
      <c r="D37" s="150" t="e">
        <f>IF(Option1="No","",(D20*D32*'EEM values'!$C$10*'EEM values'!$C$7)+(D19*D31*'EEM values'!$C$10*'EEM values'!$C$7))</f>
        <v>#N/A</v>
      </c>
      <c r="E37" s="150" t="e">
        <f>IF(Option1="No","",(E20*E32*'EEM values'!$C$10*'EEM values'!$C$7)+(E19*E31*'EEM values'!$C$10*'EEM values'!$C$7))</f>
        <v>#N/A</v>
      </c>
      <c r="F37" s="150" t="e">
        <f>IF(Option1="No","",(F20*F32*'EEM values'!$C$10*'EEM values'!$C$7)+(F19*F31*'EEM values'!$C$10*'EEM values'!$C$7))</f>
        <v>#N/A</v>
      </c>
    </row>
  </sheetData>
  <sheetProtection password="EA07"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FFFF00"/>
  </sheetPr>
  <dimension ref="A2:F22"/>
  <sheetViews>
    <sheetView workbookViewId="0">
      <selection activeCell="D22" sqref="D22"/>
    </sheetView>
  </sheetViews>
  <sheetFormatPr defaultColWidth="9.140625" defaultRowHeight="15"/>
  <cols>
    <col min="1" max="1" width="11.140625" style="1" customWidth="1"/>
    <col min="2" max="2" width="39.85546875" style="1" customWidth="1"/>
    <col min="3" max="3" width="13.5703125" style="1" customWidth="1"/>
    <col min="4" max="6" width="13.140625" style="1" customWidth="1"/>
    <col min="7" max="16384" width="9.140625" style="1"/>
  </cols>
  <sheetData>
    <row r="2" spans="1:6">
      <c r="B2" s="155" t="s">
        <v>241</v>
      </c>
      <c r="C2" s="156"/>
    </row>
    <row r="4" spans="1:6" ht="15.75">
      <c r="A4" s="60"/>
      <c r="B4" s="157" t="s">
        <v>240</v>
      </c>
      <c r="C4" s="195"/>
      <c r="D4" s="156"/>
    </row>
    <row r="6" spans="1:6">
      <c r="B6" s="101" t="s">
        <v>651</v>
      </c>
      <c r="C6" s="99"/>
      <c r="D6" s="99"/>
      <c r="E6" s="99"/>
      <c r="F6" s="99"/>
    </row>
    <row r="7" spans="1:6">
      <c r="B7" s="105"/>
      <c r="C7" s="121"/>
      <c r="D7" s="23" t="s">
        <v>124</v>
      </c>
      <c r="E7" s="23" t="s">
        <v>125</v>
      </c>
      <c r="F7" s="23" t="s">
        <v>126</v>
      </c>
    </row>
    <row r="8" spans="1:6">
      <c r="B8" s="152" t="s">
        <v>116</v>
      </c>
      <c r="C8" s="198"/>
      <c r="D8" s="196">
        <f>IF(Option1="No","",IF('Station parameters'!$C$8="Rural",'Reduction in car usage'!$D$21,0))</f>
        <v>0</v>
      </c>
      <c r="E8" s="196">
        <f>IF(Option2="No","",IF('Station parameters'!$C$8="Rural",'Reduction in car usage'!$E$21,0))</f>
        <v>0</v>
      </c>
      <c r="F8" s="196">
        <f>IF(Option3="No","",IF('Station parameters'!$C$8="Rural",'Reduction in car usage'!$F$21,0))</f>
        <v>0</v>
      </c>
    </row>
    <row r="9" spans="1:6">
      <c r="B9" s="152" t="s">
        <v>117</v>
      </c>
      <c r="C9" s="198"/>
      <c r="D9" s="197" t="e">
        <f>IF(Option1="No","",IF('Station parameters'!$C$8="Rural",0,(1-'Reduction in car usage'!$C$40)*'Reduction in car usage'!$D$21))</f>
        <v>#DIV/0!</v>
      </c>
      <c r="E9" s="197" t="e">
        <f>IF(Option2="No","",IF('Station parameters'!$C$8="Rural",0,(1-'Reduction in car usage'!$C$40)*'Reduction in car usage'!$E$21))</f>
        <v>#DIV/0!</v>
      </c>
      <c r="F9" s="197" t="e">
        <f>IF(Option3="No","",IF('Station parameters'!$C$8="Rural",0,(1-'Reduction in car usage'!$C$40)*'Reduction in car usage'!$F$21))</f>
        <v>#DIV/0!</v>
      </c>
    </row>
    <row r="10" spans="1:6">
      <c r="B10" s="152" t="s">
        <v>118</v>
      </c>
      <c r="C10" s="198"/>
      <c r="D10" s="197" t="e">
        <f>IF(Option1="No","",IF('Station parameters'!$C$8="Rural",0,'Reduction in car usage'!$C$40*'Reduction in car usage'!$D$21))</f>
        <v>#DIV/0!</v>
      </c>
      <c r="E10" s="197" t="e">
        <f>IF(Option2="No","",IF('Station parameters'!$C$8="Rural",0,'Reduction in car usage'!$C$40*'Reduction in car usage'!$E$21))</f>
        <v>#DIV/0!</v>
      </c>
      <c r="F10" s="197" t="e">
        <f>IF(Option3="No","",IF('Station parameters'!$C$8="Rural",0,'Reduction in car usage'!$C$40*'Reduction in car usage'!$F$21))</f>
        <v>#DIV/0!</v>
      </c>
    </row>
    <row r="11" spans="1:6">
      <c r="B11" s="108"/>
      <c r="C11" s="126"/>
      <c r="D11" s="183"/>
      <c r="E11" s="126"/>
      <c r="F11" s="15"/>
    </row>
    <row r="12" spans="1:6">
      <c r="B12" s="101" t="s">
        <v>652</v>
      </c>
      <c r="C12" s="99"/>
      <c r="D12" s="99"/>
      <c r="E12" s="99"/>
      <c r="F12" s="99"/>
    </row>
    <row r="13" spans="1:6">
      <c r="B13" s="105"/>
      <c r="C13" s="121"/>
      <c r="D13" s="23" t="s">
        <v>124</v>
      </c>
      <c r="E13" s="23" t="s">
        <v>125</v>
      </c>
      <c r="F13" s="23" t="s">
        <v>126</v>
      </c>
    </row>
    <row r="14" spans="1:6">
      <c r="B14" s="152" t="s">
        <v>116</v>
      </c>
      <c r="C14" s="198"/>
      <c r="D14" s="196">
        <f>IF(Option1="No","",IF('Station parameters'!$C$8="Rural",('Route capacity parameters'!$C$12*'Patronage summary'!$G$27),0))</f>
        <v>0</v>
      </c>
      <c r="E14" s="196">
        <f>IF(Option2="No","",IF('Station parameters'!$C$8="Rural",('Route capacity parameters'!$C$12*'Patronage summary'!$G$41),0))</f>
        <v>0</v>
      </c>
      <c r="F14" s="196">
        <f>IF(Option3="No","",IF('Station parameters'!$C$8="Rural",('Route capacity parameters'!$C$12*'Patronage summary'!$G$55),0))</f>
        <v>0</v>
      </c>
    </row>
    <row r="15" spans="1:6">
      <c r="B15" s="152" t="s">
        <v>117</v>
      </c>
      <c r="C15" s="198"/>
      <c r="D15" s="197" t="e">
        <f>IF(Option1="No","",IF('Station parameters'!$C$8="Rural",0,(1-'Reduction in car usage'!$C$40)*('Route capacity parameters'!$C$12*'Patronage summary'!$G$27)))</f>
        <v>#DIV/0!</v>
      </c>
      <c r="E15" s="197" t="e">
        <f>IF(Option2="No","",IF('Station parameters'!$C$8="Rural",0,(1-'Reduction in car usage'!$C$40)*('Route capacity parameters'!$C$12*'Patronage summary'!$G$41)))</f>
        <v>#DIV/0!</v>
      </c>
      <c r="F15" s="197" t="e">
        <f>IF(Option3="No","",IF('Station parameters'!$C$8="Rural",0,(1-'Reduction in car usage'!$C$40)*('Route capacity parameters'!$C$12*'Patronage summary'!$G$55)))</f>
        <v>#DIV/0!</v>
      </c>
    </row>
    <row r="16" spans="1:6">
      <c r="B16" s="152" t="s">
        <v>118</v>
      </c>
      <c r="C16" s="198"/>
      <c r="D16" s="197" t="e">
        <f>IF(Option1="No","",IF('Station parameters'!$C$8="Rural",0,'Reduction in car usage'!$C$40*('Route capacity parameters'!$C$12*'Patronage summary'!$G$27)))</f>
        <v>#DIV/0!</v>
      </c>
      <c r="E16" s="197" t="e">
        <f>IF(Option2="No","",IF('Station parameters'!$C$8="Rural",0,'Reduction in car usage'!$C$40*('Route capacity parameters'!$C$12*'Patronage summary'!$G$41)))</f>
        <v>#DIV/0!</v>
      </c>
      <c r="F16" s="197" t="e">
        <f>IF(Option3="No","",IF('Station parameters'!$C$8="Rural",0,'Reduction in car usage'!$C$40*('Route capacity parameters'!$C$12*'Patronage summary'!$G$55)))</f>
        <v>#DIV/0!</v>
      </c>
    </row>
    <row r="17" spans="2:6">
      <c r="B17" s="108"/>
      <c r="C17" s="126"/>
      <c r="D17" s="183"/>
      <c r="E17" s="126"/>
      <c r="F17" s="15"/>
    </row>
    <row r="18" spans="2:6">
      <c r="B18" s="101" t="s">
        <v>601</v>
      </c>
      <c r="C18" s="99"/>
      <c r="D18" s="99"/>
      <c r="E18" s="99"/>
      <c r="F18" s="99"/>
    </row>
    <row r="19" spans="2:6">
      <c r="B19" s="106"/>
      <c r="C19" s="107"/>
      <c r="D19" s="23" t="s">
        <v>124</v>
      </c>
      <c r="E19" s="23" t="s">
        <v>125</v>
      </c>
      <c r="F19" s="23" t="s">
        <v>126</v>
      </c>
    </row>
    <row r="20" spans="2:6">
      <c r="B20" s="23"/>
      <c r="C20" s="153" t="s">
        <v>654</v>
      </c>
      <c r="D20" s="150" t="e">
        <f>IF(Option1="No","",-((D8*'EEM values'!$C$74)+(D14*'EEM values'!$E$74)+(D9*'EEM values'!$C$75)+(D15*'EEM values'!$E$75)+(D10*'EEM values'!$C$76)+(D16*'EEM values'!$E$76))*'EEM values'!$C$71)</f>
        <v>#DIV/0!</v>
      </c>
      <c r="E20" s="150" t="e">
        <f>IF(Option2="No","",-((E8*'EEM values'!$C$74)+(E14*'EEM values'!$E$74)+(E9*'EEM values'!$C$75)+(E15*'EEM values'!$E$75)+(E10*'EEM values'!$C$76)+(E16*'EEM values'!$E$76))*'EEM values'!$C$71)</f>
        <v>#DIV/0!</v>
      </c>
      <c r="F20" s="150" t="e">
        <f>IF(Option3="No","",-((F8*'EEM values'!$C$74)+(F14*'EEM values'!$E$74)+(F9*'EEM values'!$C$75)+(F15*'EEM values'!$E$75)+(F10*'EEM values'!$C$76)+(F16*'EEM values'!$E$76))*'EEM values'!$C$71)</f>
        <v>#DIV/0!</v>
      </c>
    </row>
    <row r="21" spans="2:6">
      <c r="B21" s="106"/>
      <c r="C21" s="522" t="s">
        <v>653</v>
      </c>
      <c r="D21" s="455"/>
      <c r="E21" s="455"/>
      <c r="F21" s="455"/>
    </row>
    <row r="22" spans="2:6">
      <c r="B22" s="106"/>
      <c r="C22" s="522" t="s">
        <v>11</v>
      </c>
      <c r="D22" s="150" t="e">
        <f>SUM(D20:D21)</f>
        <v>#DIV/0!</v>
      </c>
      <c r="E22" s="150" t="e">
        <f t="shared" ref="E22:F22" si="0">SUM(E20:E21)</f>
        <v>#DIV/0!</v>
      </c>
      <c r="F22" s="150" t="e">
        <f t="shared" si="0"/>
        <v>#DIV/0!</v>
      </c>
    </row>
  </sheetData>
  <sheetProtection password="EA07" sheet="1" objects="1" scenarios="1" formatColumns="0" formatRows="0"/>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sheetPr>
    <tabColor rgb="FFFFFF00"/>
  </sheetPr>
  <dimension ref="B2:F48"/>
  <sheetViews>
    <sheetView workbookViewId="0">
      <selection activeCell="B45" sqref="B45"/>
    </sheetView>
  </sheetViews>
  <sheetFormatPr defaultColWidth="9.140625" defaultRowHeight="15"/>
  <cols>
    <col min="1" max="1" width="7.85546875" style="1" customWidth="1"/>
    <col min="2" max="2" width="56.7109375" style="1" customWidth="1"/>
    <col min="3" max="6" width="15.28515625" style="1" customWidth="1"/>
    <col min="7" max="16384" width="9.140625" style="1"/>
  </cols>
  <sheetData>
    <row r="2" spans="2:6" ht="15.75">
      <c r="B2" s="157" t="s">
        <v>605</v>
      </c>
      <c r="C2" s="195"/>
      <c r="D2" s="156"/>
    </row>
    <row r="4" spans="2:6">
      <c r="B4" s="101" t="s">
        <v>207</v>
      </c>
      <c r="C4" s="99"/>
      <c r="D4" s="99"/>
      <c r="E4" s="99"/>
      <c r="F4" s="99"/>
    </row>
    <row r="5" spans="2:6">
      <c r="B5" s="23"/>
      <c r="C5" s="23" t="s">
        <v>130</v>
      </c>
      <c r="D5" s="23" t="s">
        <v>124</v>
      </c>
      <c r="E5" s="23" t="s">
        <v>125</v>
      </c>
      <c r="F5" s="23" t="s">
        <v>126</v>
      </c>
    </row>
    <row r="6" spans="2:6">
      <c r="B6" s="153" t="s">
        <v>532</v>
      </c>
      <c r="C6" s="150" t="e">
        <f>SUM('Patronage summary'!$F$9:$F$10)</f>
        <v>#DIV/0!</v>
      </c>
      <c r="D6" s="150" t="e">
        <f>IF(Option1="No","",SUM('Patronage summary'!$F$23:$F$24))</f>
        <v>#DIV/0!</v>
      </c>
      <c r="E6" s="150" t="e">
        <f>IF(Option2="No","",SUM('Patronage summary'!$F$37:$F$38))</f>
        <v>#DIV/0!</v>
      </c>
      <c r="F6" s="150" t="e">
        <f>IF(Option3="No","",SUM('Patronage summary'!$F$51:$F$52))</f>
        <v>#DIV/0!</v>
      </c>
    </row>
    <row r="7" spans="2:6">
      <c r="B7" s="153" t="s">
        <v>533</v>
      </c>
      <c r="C7" s="150" t="e">
        <f>SUM('Patronage summary'!$F$11:$F$12)</f>
        <v>#DIV/0!</v>
      </c>
      <c r="D7" s="150" t="e">
        <f>IF(Option1="No","",SUM('Patronage summary'!$F$25:$F$26))</f>
        <v>#DIV/0!</v>
      </c>
      <c r="E7" s="150" t="e">
        <f>IF(Option2="No","",SUM('Patronage summary'!$F$39:$F$40))</f>
        <v>#DIV/0!</v>
      </c>
      <c r="F7" s="150" t="e">
        <f>IF(Option3="No","",SUM('Patronage summary'!$F$53:$F$54))</f>
        <v>#DIV/0!</v>
      </c>
    </row>
    <row r="8" spans="2:6">
      <c r="B8" s="128"/>
      <c r="C8" s="15"/>
      <c r="D8" s="15"/>
      <c r="E8" s="15"/>
      <c r="F8" s="15"/>
    </row>
    <row r="9" spans="2:6">
      <c r="B9" s="101" t="s">
        <v>208</v>
      </c>
      <c r="C9" s="99"/>
      <c r="D9" s="99"/>
      <c r="E9" s="99"/>
      <c r="F9" s="99"/>
    </row>
    <row r="10" spans="2:6">
      <c r="B10" s="23"/>
      <c r="C10" s="23" t="s">
        <v>130</v>
      </c>
      <c r="D10" s="23" t="s">
        <v>124</v>
      </c>
      <c r="E10" s="23" t="s">
        <v>125</v>
      </c>
      <c r="F10" s="23" t="s">
        <v>126</v>
      </c>
    </row>
    <row r="11" spans="2:6">
      <c r="B11" s="153" t="s">
        <v>532</v>
      </c>
      <c r="C11" s="150" t="e">
        <f>C6*General!$C$29</f>
        <v>#DIV/0!</v>
      </c>
      <c r="D11" s="150" t="e">
        <f>IF(Option1="No","",D6*General!$C$29)</f>
        <v>#DIV/0!</v>
      </c>
      <c r="E11" s="150" t="e">
        <f>IF(Option2="No","",E6*General!$C$29)</f>
        <v>#DIV/0!</v>
      </c>
      <c r="F11" s="150" t="e">
        <f>IF(Option3="No","",F6*General!$C$29)</f>
        <v>#DIV/0!</v>
      </c>
    </row>
    <row r="12" spans="2:6">
      <c r="B12" s="153" t="s">
        <v>533</v>
      </c>
      <c r="C12" s="150" t="e">
        <f>C7*General!$C$29</f>
        <v>#DIV/0!</v>
      </c>
      <c r="D12" s="150" t="e">
        <f>IF(Option1="No","",D7*General!$C$29)</f>
        <v>#DIV/0!</v>
      </c>
      <c r="E12" s="150" t="e">
        <f>IF(Option2="No","",E7*General!$C$29)</f>
        <v>#DIV/0!</v>
      </c>
      <c r="F12" s="150" t="e">
        <f>IF(Option3="No","",F7*General!$C$29)</f>
        <v>#DIV/0!</v>
      </c>
    </row>
    <row r="13" spans="2:6">
      <c r="B13" s="153" t="s">
        <v>531</v>
      </c>
      <c r="C13" s="150" t="e">
        <f>C11+((1/Average_car_occupancy)*C12)</f>
        <v>#DIV/0!</v>
      </c>
      <c r="D13" s="150" t="e">
        <f>IF(Option1="No","",D11+((1/Average_car_occupancy)*D12))</f>
        <v>#DIV/0!</v>
      </c>
      <c r="E13" s="150" t="e">
        <f>IF(Option2="No","",E11+((1/Average_car_occupancy)*E12))</f>
        <v>#DIV/0!</v>
      </c>
      <c r="F13" s="150" t="e">
        <f>IF(Option3="No","",F11+((1/Average_car_occupancy)*F12))</f>
        <v>#DIV/0!</v>
      </c>
    </row>
    <row r="14" spans="2:6">
      <c r="B14" s="153" t="s">
        <v>534</v>
      </c>
      <c r="C14" s="150" t="e">
        <f>C11+C12</f>
        <v>#DIV/0!</v>
      </c>
      <c r="D14" s="150" t="e">
        <f>IF(Option1="No","",D11+D12)</f>
        <v>#DIV/0!</v>
      </c>
      <c r="E14" s="150" t="e">
        <f>IF(Option2="No","",E11+E12)</f>
        <v>#DIV/0!</v>
      </c>
      <c r="F14" s="150" t="e">
        <f>IF(Option3="No","",F11+F12)</f>
        <v>#DIV/0!</v>
      </c>
    </row>
    <row r="16" spans="2:6">
      <c r="B16" s="101" t="s">
        <v>103</v>
      </c>
      <c r="C16" s="99"/>
      <c r="D16" s="99"/>
      <c r="E16" s="99"/>
      <c r="F16" s="99"/>
    </row>
    <row r="17" spans="2:6">
      <c r="B17" s="106"/>
      <c r="C17" s="107"/>
      <c r="D17" s="23" t="s">
        <v>124</v>
      </c>
      <c r="E17" s="23" t="s">
        <v>125</v>
      </c>
      <c r="F17" s="23" t="s">
        <v>126</v>
      </c>
    </row>
    <row r="18" spans="2:6">
      <c r="B18" s="106"/>
      <c r="C18" s="153" t="s">
        <v>532</v>
      </c>
      <c r="D18" s="150" t="e">
        <f t="shared" ref="D18:F21" si="0">IF(Option1="No","",D11-$C11)</f>
        <v>#DIV/0!</v>
      </c>
      <c r="E18" s="150" t="e">
        <f t="shared" si="0"/>
        <v>#DIV/0!</v>
      </c>
      <c r="F18" s="150" t="e">
        <f t="shared" si="0"/>
        <v>#DIV/0!</v>
      </c>
    </row>
    <row r="19" spans="2:6">
      <c r="B19" s="106"/>
      <c r="C19" s="153" t="s">
        <v>533</v>
      </c>
      <c r="D19" s="150" t="e">
        <f t="shared" si="0"/>
        <v>#DIV/0!</v>
      </c>
      <c r="E19" s="150" t="e">
        <f t="shared" si="0"/>
        <v>#DIV/0!</v>
      </c>
      <c r="F19" s="150" t="e">
        <f t="shared" si="0"/>
        <v>#DIV/0!</v>
      </c>
    </row>
    <row r="20" spans="2:6">
      <c r="B20" s="23"/>
      <c r="C20" s="153" t="s">
        <v>531</v>
      </c>
      <c r="D20" s="150" t="e">
        <f t="shared" si="0"/>
        <v>#DIV/0!</v>
      </c>
      <c r="E20" s="150" t="e">
        <f t="shared" si="0"/>
        <v>#DIV/0!</v>
      </c>
      <c r="F20" s="150" t="e">
        <f t="shared" si="0"/>
        <v>#DIV/0!</v>
      </c>
    </row>
    <row r="21" spans="2:6">
      <c r="B21" s="23"/>
      <c r="C21" s="153" t="s">
        <v>534</v>
      </c>
      <c r="D21" s="150" t="e">
        <f t="shared" si="0"/>
        <v>#DIV/0!</v>
      </c>
      <c r="E21" s="150" t="e">
        <f t="shared" si="0"/>
        <v>#DIV/0!</v>
      </c>
      <c r="F21" s="150" t="e">
        <f t="shared" si="0"/>
        <v>#DIV/0!</v>
      </c>
    </row>
    <row r="22" spans="2:6">
      <c r="B22" s="15"/>
      <c r="C22" s="128"/>
      <c r="D22" s="154"/>
      <c r="E22" s="154"/>
      <c r="F22" s="154"/>
    </row>
    <row r="23" spans="2:6">
      <c r="B23" s="101" t="s">
        <v>658</v>
      </c>
      <c r="C23" s="99"/>
      <c r="D23" s="99"/>
      <c r="E23" s="99"/>
      <c r="F23" s="99"/>
    </row>
    <row r="24" spans="2:6">
      <c r="B24" s="23"/>
      <c r="C24" s="23" t="s">
        <v>130</v>
      </c>
      <c r="D24" s="23" t="s">
        <v>124</v>
      </c>
      <c r="E24" s="23" t="s">
        <v>125</v>
      </c>
      <c r="F24" s="23" t="s">
        <v>126</v>
      </c>
    </row>
    <row r="25" spans="2:6">
      <c r="B25" s="153" t="s">
        <v>660</v>
      </c>
      <c r="C25" s="150" t="e">
        <f>SUM('Patronage summary'!$D$9:$D$10)</f>
        <v>#DIV/0!</v>
      </c>
      <c r="D25" s="150" t="e">
        <f>IF(Option1="No","",SUM('Patronage summary'!$D$23:$D$24))</f>
        <v>#DIV/0!</v>
      </c>
      <c r="E25" s="150" t="e">
        <f>IF(Option2="No","",SUM('Patronage summary'!$D$37:$D$38))</f>
        <v>#DIV/0!</v>
      </c>
      <c r="F25" s="150" t="e">
        <f>IF(Option3="No","",SUM('Patronage summary'!$D$51:$D$52))</f>
        <v>#DIV/0!</v>
      </c>
    </row>
    <row r="26" spans="2:6">
      <c r="B26" s="153" t="s">
        <v>661</v>
      </c>
      <c r="C26" s="150" t="e">
        <f>SUM('Patronage summary'!$D$11:$D$12)</f>
        <v>#DIV/0!</v>
      </c>
      <c r="D26" s="150" t="e">
        <f>IF(Option1="No","",SUM('Patronage summary'!$D$25:$D$26))</f>
        <v>#DIV/0!</v>
      </c>
      <c r="E26" s="150" t="e">
        <f>IF(Option2="No","",SUM('Patronage summary'!$D$39:$D$40))</f>
        <v>#DIV/0!</v>
      </c>
      <c r="F26" s="150" t="e">
        <f>IF(Option3="No","",SUM('Patronage summary'!$D$53:$D$54))</f>
        <v>#DIV/0!</v>
      </c>
    </row>
    <row r="27" spans="2:6">
      <c r="B27" s="128"/>
      <c r="C27" s="15"/>
      <c r="D27" s="15"/>
      <c r="E27" s="15"/>
      <c r="F27" s="15"/>
    </row>
    <row r="28" spans="2:6">
      <c r="B28" s="101" t="s">
        <v>659</v>
      </c>
      <c r="C28" s="99"/>
      <c r="D28" s="99"/>
      <c r="E28" s="99"/>
      <c r="F28" s="99"/>
    </row>
    <row r="29" spans="2:6">
      <c r="B29" s="23"/>
      <c r="C29" s="23" t="s">
        <v>130</v>
      </c>
      <c r="D29" s="23" t="s">
        <v>124</v>
      </c>
      <c r="E29" s="23" t="s">
        <v>125</v>
      </c>
      <c r="F29" s="23" t="s">
        <v>126</v>
      </c>
    </row>
    <row r="30" spans="2:6">
      <c r="B30" s="153" t="s">
        <v>660</v>
      </c>
      <c r="C30" s="150" t="e">
        <f>C25*General!$C$29</f>
        <v>#DIV/0!</v>
      </c>
      <c r="D30" s="150" t="e">
        <f>IF(Option1="No","",D25*General!$C$29)</f>
        <v>#DIV/0!</v>
      </c>
      <c r="E30" s="150" t="e">
        <f>IF(Option2="No","",E25*General!$C$29)</f>
        <v>#DIV/0!</v>
      </c>
      <c r="F30" s="150" t="e">
        <f>IF(Option3="No","",F25*General!$C$29)</f>
        <v>#DIV/0!</v>
      </c>
    </row>
    <row r="31" spans="2:6">
      <c r="B31" s="153" t="s">
        <v>661</v>
      </c>
      <c r="C31" s="150" t="e">
        <f>C26*General!$C$29</f>
        <v>#DIV/0!</v>
      </c>
      <c r="D31" s="150" t="e">
        <f>IF(Option1="No","",D26*General!$C$29)</f>
        <v>#DIV/0!</v>
      </c>
      <c r="E31" s="150" t="e">
        <f>IF(Option2="No","",E26*General!$C$29)</f>
        <v>#DIV/0!</v>
      </c>
      <c r="F31" s="150" t="e">
        <f>IF(Option3="No","",F26*General!$C$29)</f>
        <v>#DIV/0!</v>
      </c>
    </row>
    <row r="32" spans="2:6">
      <c r="B32" s="153" t="s">
        <v>662</v>
      </c>
      <c r="C32" s="150" t="e">
        <f>C30+C31</f>
        <v>#DIV/0!</v>
      </c>
      <c r="D32" s="150" t="e">
        <f>IF(Option1="No","",D30+D31)</f>
        <v>#DIV/0!</v>
      </c>
      <c r="E32" s="150" t="e">
        <f>IF(Option2="No","",E30+E31)</f>
        <v>#DIV/0!</v>
      </c>
      <c r="F32" s="150" t="e">
        <f>IF(Option3="No","",F30+F31)</f>
        <v>#DIV/0!</v>
      </c>
    </row>
    <row r="33" spans="2:6">
      <c r="B33" s="15"/>
      <c r="C33" s="128"/>
      <c r="D33" s="154"/>
      <c r="E33" s="154"/>
      <c r="F33" s="154"/>
    </row>
    <row r="34" spans="2:6">
      <c r="B34" s="101" t="s">
        <v>663</v>
      </c>
      <c r="C34" s="99"/>
      <c r="D34" s="99"/>
      <c r="E34" s="99"/>
      <c r="F34" s="99"/>
    </row>
    <row r="35" spans="2:6">
      <c r="B35" s="106"/>
      <c r="C35" s="107"/>
      <c r="D35" s="23" t="s">
        <v>124</v>
      </c>
      <c r="E35" s="23" t="s">
        <v>125</v>
      </c>
      <c r="F35" s="23" t="s">
        <v>126</v>
      </c>
    </row>
    <row r="36" spans="2:6">
      <c r="B36" s="106"/>
      <c r="C36" s="153" t="s">
        <v>660</v>
      </c>
      <c r="D36" s="150" t="e">
        <f t="shared" ref="D36:F38" si="1">IF(Option1="No","",D30-$C30)</f>
        <v>#DIV/0!</v>
      </c>
      <c r="E36" s="150" t="e">
        <f t="shared" si="1"/>
        <v>#DIV/0!</v>
      </c>
      <c r="F36" s="150" t="e">
        <f t="shared" si="1"/>
        <v>#DIV/0!</v>
      </c>
    </row>
    <row r="37" spans="2:6">
      <c r="B37" s="106"/>
      <c r="C37" s="153" t="s">
        <v>661</v>
      </c>
      <c r="D37" s="150" t="e">
        <f t="shared" si="1"/>
        <v>#DIV/0!</v>
      </c>
      <c r="E37" s="150" t="e">
        <f t="shared" si="1"/>
        <v>#DIV/0!</v>
      </c>
      <c r="F37" s="150" t="e">
        <f t="shared" si="1"/>
        <v>#DIV/0!</v>
      </c>
    </row>
    <row r="38" spans="2:6">
      <c r="B38" s="106"/>
      <c r="C38" s="522" t="s">
        <v>662</v>
      </c>
      <c r="D38" s="150" t="e">
        <f t="shared" si="1"/>
        <v>#DIV/0!</v>
      </c>
      <c r="E38" s="150" t="e">
        <f t="shared" si="1"/>
        <v>#DIV/0!</v>
      </c>
      <c r="F38" s="150" t="e">
        <f t="shared" si="1"/>
        <v>#DIV/0!</v>
      </c>
    </row>
    <row r="39" spans="2:6">
      <c r="B39" s="15"/>
      <c r="C39" s="128"/>
      <c r="D39" s="154"/>
      <c r="E39" s="154"/>
      <c r="F39" s="154"/>
    </row>
    <row r="40" spans="2:6">
      <c r="B40" s="99" t="s">
        <v>209</v>
      </c>
      <c r="C40" s="168" t="e">
        <f>'Station parameters'!$E$39/'Station parameters'!$E$49</f>
        <v>#DIV/0!</v>
      </c>
      <c r="E40" s="154"/>
      <c r="F40" s="154"/>
    </row>
    <row r="41" spans="2:6">
      <c r="B41" s="99" t="s">
        <v>221</v>
      </c>
      <c r="C41" s="178" t="e">
        <f>IF(SUM(2)&gt;SUM(1),SUM('Station parameters'!$C$26:$C$29,'Station parameters'!$D$34:$D$37)/'Station parameters'!$E$49,SUM('Station parameters'!$D$26:$D$29,'Station parameters'!$C$34:$C$37)/'Station parameters'!$E$49)</f>
        <v>#DIV/0!</v>
      </c>
      <c r="E41" s="154"/>
      <c r="F41" s="154"/>
    </row>
    <row r="42" spans="2:6">
      <c r="B42" s="99" t="s">
        <v>64</v>
      </c>
      <c r="C42" s="131">
        <f>'Station parameters'!$C$8</f>
        <v>0</v>
      </c>
    </row>
    <row r="44" spans="2:6">
      <c r="B44" s="101" t="s">
        <v>601</v>
      </c>
      <c r="C44" s="99"/>
      <c r="D44" s="99"/>
      <c r="E44" s="99"/>
      <c r="F44" s="99"/>
    </row>
    <row r="45" spans="2:6">
      <c r="B45" s="106"/>
      <c r="C45" s="107"/>
      <c r="D45" s="23" t="s">
        <v>124</v>
      </c>
      <c r="E45" s="23" t="s">
        <v>125</v>
      </c>
      <c r="F45" s="23" t="s">
        <v>126</v>
      </c>
    </row>
    <row r="46" spans="2:6">
      <c r="B46" s="23"/>
      <c r="C46" s="153" t="s">
        <v>212</v>
      </c>
      <c r="D46" s="150" t="e">
        <f>IF(Option1="No","",-(D20*$C40*VLOOKUP($C42,'EEM values'!$C$41:$D$46,2,FALSE)*'EEM values'!$C$37))</f>
        <v>#DIV/0!</v>
      </c>
      <c r="E46" s="150" t="e">
        <f>IF(Option2="No","",-(E20*$C40*VLOOKUP($C42,'EEM values'!$C$41:$D$46,2,FALSE)*'EEM values'!$C$37))</f>
        <v>#DIV/0!</v>
      </c>
      <c r="F46" s="150" t="e">
        <f>IF(Option3="No","",-(F20*$C40*VLOOKUP($C42,'EEM values'!$C$41:$D$46,2,FALSE)*'EEM values'!$C$37))</f>
        <v>#DIV/0!</v>
      </c>
    </row>
    <row r="47" spans="2:6">
      <c r="B47" s="23"/>
      <c r="C47" s="153" t="s">
        <v>217</v>
      </c>
      <c r="D47" s="150" t="e">
        <f>IF(Option1="No","",-((D18*$C$40*'EEM values'!$C$55)+(D18*(1-$C$40)*'EEM values'!$C$56)+(D19*$C$40*'EEM values'!$D$55)+(D19*(1-$C$40)*'EEM values'!$D$56))*'EEM values'!$C$52)</f>
        <v>#DIV/0!</v>
      </c>
      <c r="E47" s="150" t="e">
        <f>IF(Option2="No","",-((E18*$C$40*'EEM values'!$C$55)+(E18*(1-$C$40)*'EEM values'!$C$56)+(E19*$C$40*'EEM values'!$D$55)+(E19*(1-$C$40)*'EEM values'!$D$56))*'EEM values'!$C$52)</f>
        <v>#DIV/0!</v>
      </c>
      <c r="F47" s="150" t="e">
        <f>IF(Option3="No","",-((F18*$C$40*'EEM values'!$C$55)+(F18*(1-$C$40)*'EEM values'!$C$56)+(F19*$C$40*'EEM values'!$D$55)+(F19*(1-$C$40)*'EEM values'!$D$56))*'EEM values'!$C$52)</f>
        <v>#DIV/0!</v>
      </c>
    </row>
    <row r="48" spans="2:6">
      <c r="B48" s="23"/>
      <c r="C48" s="153" t="s">
        <v>220</v>
      </c>
      <c r="D48" s="150" t="e">
        <f>IF(Option1="No","",-(IF($C$42="Auckland MUA",(D38*$C$41*'EEM values'!$C$65),IF($C$42="Wellington MUA",(D38*$C$41*'EEM values'!$D$65),(D38*$C$41*'EEM values'!$E$65))))*'EEM values'!$C$61)</f>
        <v>#DIV/0!</v>
      </c>
      <c r="E48" s="150" t="e">
        <f>IF(Option2="No","",-(IF($C$42="Auckland MUA",(E38*$C$41*'EEM values'!$C$65),IF($C$42="Wellington MUA",(E38*$C$41*'EEM values'!$D$65),(E38*$C$41*'EEM values'!$E$65))))*'EEM values'!$C$61)</f>
        <v>#DIV/0!</v>
      </c>
      <c r="F48" s="150" t="e">
        <f>IF(Option3="No","",-(IF($C$42="Auckland MUA",(F38*$C$41*'EEM values'!$C$65),IF($C$42="Wellington MUA",(F38*$C$41*'EEM values'!$D$65),(F38*$C$41*'EEM values'!$E$65))))*'EEM values'!$C$61)</f>
        <v>#DIV/0!</v>
      </c>
    </row>
  </sheetData>
  <sheetProtection password="EA07" sheet="1" objects="1" scenarios="1" formatColumns="0" formatRows="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B2:I58"/>
  <sheetViews>
    <sheetView topLeftCell="A4" zoomScaleNormal="100" workbookViewId="0">
      <selection activeCell="C2" sqref="C2"/>
    </sheetView>
  </sheetViews>
  <sheetFormatPr defaultColWidth="9.140625" defaultRowHeight="15"/>
  <cols>
    <col min="1" max="1" width="9.140625" style="8"/>
    <col min="2" max="2" width="24" style="8" customWidth="1"/>
    <col min="3" max="3" width="24.140625" style="8" customWidth="1"/>
    <col min="4" max="7" width="14.42578125" style="8" customWidth="1"/>
    <col min="8" max="8" width="11.7109375" style="8" customWidth="1"/>
    <col min="9" max="9" width="11.28515625" style="8" customWidth="1"/>
    <col min="10" max="16384" width="9.140625" style="8"/>
  </cols>
  <sheetData>
    <row r="2" spans="2:9">
      <c r="D2" s="14" t="s">
        <v>91</v>
      </c>
    </row>
    <row r="3" spans="2:9">
      <c r="C3" s="14" t="s">
        <v>144</v>
      </c>
      <c r="D3" s="570" t="s">
        <v>90</v>
      </c>
      <c r="E3" s="571"/>
      <c r="F3" s="572" t="s">
        <v>610</v>
      </c>
      <c r="G3" s="573"/>
      <c r="H3" s="25"/>
    </row>
    <row r="4" spans="2:9">
      <c r="D4" s="33" t="s">
        <v>130</v>
      </c>
      <c r="E4" s="33"/>
      <c r="F4" s="33" t="s">
        <v>130</v>
      </c>
      <c r="G4" s="33"/>
    </row>
    <row r="5" spans="2:9">
      <c r="B5" s="42" t="s">
        <v>42</v>
      </c>
      <c r="C5" s="23" t="s">
        <v>655</v>
      </c>
      <c r="D5" s="148" t="e">
        <f>SUMIF('Diversion (option 1)'!$G$19:$G$24,'Patronage summary'!$B5,'Diversion (option 1)'!$I$19:$I$24)/0.75+SUMIF('Diversion (option 1)'!$L$30:$L$35,'Patronage summary'!$B5,'Diversion (option 1)'!$N$30:$N$35)/0.75</f>
        <v>#DIV/0!</v>
      </c>
      <c r="E5" s="109"/>
      <c r="F5" s="149" t="e">
        <f>SUMIF('Diversion (option 1)'!$G$19:$G$24,'Patronage summary'!$B5,'Diversion (option 1)'!$K$19:$K$24)/0.75+SUMIF('Diversion (option 1)'!$L$30:$L$35,'Patronage summary'!$B5,'Diversion (option 1)'!$P$30:$P$35)/0.75</f>
        <v>#DIV/0!</v>
      </c>
      <c r="G5" s="109"/>
    </row>
    <row r="6" spans="2:9">
      <c r="B6" s="151"/>
      <c r="C6" s="109" t="s">
        <v>47</v>
      </c>
      <c r="D6" s="148" t="e">
        <f>SUMIF('Diversion (option 1)'!$B$30:$B$35,'Patronage summary'!$B5,'Diversion (option 1)'!$D$30:$D$35)/0.75</f>
        <v>#N/A</v>
      </c>
      <c r="E6" s="109"/>
      <c r="F6" s="149" t="e">
        <f>SUMIF('Diversion (option 1)'!$B$30:$B$35,'Patronage summary'!$B5,'Diversion (option 1)'!$F$30:$F$35)/0.75</f>
        <v>#N/A</v>
      </c>
      <c r="G6" s="109"/>
    </row>
    <row r="7" spans="2:9">
      <c r="B7" s="42" t="s">
        <v>40</v>
      </c>
      <c r="C7" s="23" t="s">
        <v>655</v>
      </c>
      <c r="D7" s="148" t="e">
        <f>SUMIF('Diversion (option 1)'!$G$19:$G$24,'Patronage summary'!$B7,'Diversion (option 1)'!$I$19:$I$24)/0.75+SUMIF('Diversion (option 1)'!$L$30:$L$35,'Patronage summary'!$B7,'Diversion (option 1)'!$N$30:$N$35)/0.75</f>
        <v>#DIV/0!</v>
      </c>
      <c r="E7" s="109"/>
      <c r="F7" s="149" t="e">
        <f>SUMIF('Diversion (option 1)'!$G$19:$G$24,'Patronage summary'!$B7,'Diversion (option 1)'!$K$19:$K$24)/0.75+SUMIF('Diversion (option 1)'!$L$30:$L$35,'Patronage summary'!$B7,'Diversion (option 1)'!$P$30:$P$35)/0.75</f>
        <v>#DIV/0!</v>
      </c>
      <c r="G7" s="109"/>
    </row>
    <row r="8" spans="2:9">
      <c r="B8" s="151"/>
      <c r="C8" s="109" t="s">
        <v>47</v>
      </c>
      <c r="D8" s="148" t="e">
        <f>SUMIF('Diversion (option 1)'!$B$30:$B$35,'Patronage summary'!$B7,'Diversion (option 1)'!$D$30:$D$35)/0.75</f>
        <v>#N/A</v>
      </c>
      <c r="E8" s="109"/>
      <c r="F8" s="149" t="e">
        <f>SUMIF('Diversion (option 1)'!$B$30:$B$35,'Patronage summary'!$B7,'Diversion (option 1)'!$F$30:$F$35)/0.75</f>
        <v>#N/A</v>
      </c>
      <c r="G8" s="109"/>
    </row>
    <row r="9" spans="2:9">
      <c r="B9" s="42" t="s">
        <v>157</v>
      </c>
      <c r="C9" s="23" t="s">
        <v>655</v>
      </c>
      <c r="D9" s="148" t="e">
        <f>SUMIF('Diversion (option 1)'!$G$19:$G$24,'Patronage summary'!$B9,'Diversion (option 1)'!$I$19:$I$24)/0.75+SUMIF('Diversion (option 1)'!$L$30:$L$35,'Patronage summary'!$B9,'Diversion (option 1)'!$N$30:$N$35)/0.75</f>
        <v>#DIV/0!</v>
      </c>
      <c r="E9" s="109"/>
      <c r="F9" s="149" t="e">
        <f>SUMIF('Diversion (option 1)'!$G$19:$G$24,'Patronage summary'!$B9,'Diversion (option 1)'!$K$19:$K$24)/0.75+SUMIF('Diversion (option 1)'!$L$30:$L$35,'Patronage summary'!$B9,'Diversion (option 1)'!$P$30:$P$35)/0.75</f>
        <v>#DIV/0!</v>
      </c>
      <c r="G9" s="109"/>
    </row>
    <row r="10" spans="2:9">
      <c r="B10" s="151"/>
      <c r="C10" s="109" t="s">
        <v>47</v>
      </c>
      <c r="D10" s="148" t="e">
        <f>SUMIF('Diversion (option 1)'!$B$30:$B$35,'Patronage summary'!$B9,'Diversion (option 1)'!$D$30:$D$35)/0.75</f>
        <v>#N/A</v>
      </c>
      <c r="E10" s="109"/>
      <c r="F10" s="149" t="e">
        <f>SUMIF('Diversion (option 1)'!$B$30:$B$35,'Patronage summary'!$B9,'Diversion (option 1)'!$F$30:$F$35)/0.75</f>
        <v>#N/A</v>
      </c>
      <c r="G10" s="109"/>
    </row>
    <row r="11" spans="2:9">
      <c r="B11" s="42" t="s">
        <v>158</v>
      </c>
      <c r="C11" s="23" t="s">
        <v>655</v>
      </c>
      <c r="D11" s="148" t="e">
        <f>SUMIF('Diversion (option 1)'!$G$19:$G$24,'Patronage summary'!$B11,'Diversion (option 1)'!$I$19:$I$24)/0.75+SUMIF('Diversion (option 1)'!$L$30:$L$35,'Patronage summary'!$B11,'Diversion (option 1)'!$N$30:$N$35)/0.75</f>
        <v>#DIV/0!</v>
      </c>
      <c r="E11" s="109"/>
      <c r="F11" s="149" t="e">
        <f>SUMIF('Diversion (option 1)'!$G$19:$G$24,'Patronage summary'!$B11,'Diversion (option 1)'!$K$19:$K$24)/0.75+SUMIF('Diversion (option 1)'!$L$30:$L$35,'Patronage summary'!$B11,'Diversion (option 1)'!$P$30:$P$35)/0.75</f>
        <v>#DIV/0!</v>
      </c>
      <c r="G11" s="109"/>
    </row>
    <row r="12" spans="2:9">
      <c r="B12" s="151"/>
      <c r="C12" s="109" t="s">
        <v>47</v>
      </c>
      <c r="D12" s="148" t="e">
        <f>SUMIF('Diversion (option 1)'!$B$30:$B$35,'Patronage summary'!$B11,'Diversion (option 1)'!$D$30:$D$35)/0.75</f>
        <v>#N/A</v>
      </c>
      <c r="E12" s="109"/>
      <c r="F12" s="149" t="e">
        <f>SUMIF('Diversion (option 1)'!$B$30:$B$35,'Patronage summary'!$B11,'Diversion (option 1)'!$F$30:$F$35)/0.75</f>
        <v>#N/A</v>
      </c>
      <c r="G12" s="109"/>
    </row>
    <row r="13" spans="2:9">
      <c r="B13" s="23" t="s">
        <v>199</v>
      </c>
      <c r="C13" s="109"/>
      <c r="D13" s="148" t="e">
        <f>SUMIF('Diversion (option 1)'!$B$30:$B$35,"All PT combinations",'Diversion (option 1)'!$D$30:$D$35)/0.75</f>
        <v>#DIV/0!</v>
      </c>
      <c r="E13" s="109"/>
      <c r="F13" s="149" t="e">
        <f>SUMIF('Diversion (option 1)'!$B$30:$B$35,"All PT combinations",'Diversion (option 1)'!$F$30:$F$35)/0.75</f>
        <v>#DIV/0!</v>
      </c>
      <c r="G13" s="109"/>
    </row>
    <row r="14" spans="2:9">
      <c r="B14" s="152" t="s">
        <v>25</v>
      </c>
      <c r="C14" s="121"/>
      <c r="D14" s="148" t="e">
        <f>SUMIF('Diversion (option 1)'!$B$30:$B$35,'Patronage summary'!$B14,'Diversion (option 1)'!$D$30:$D$35)/0.75</f>
        <v>#N/A</v>
      </c>
      <c r="E14" s="109"/>
      <c r="F14" s="149" t="e">
        <f>SUMIF('Diversion (option 1)'!$B$30:$B$35,'Patronage summary'!$B14,'Diversion (option 1)'!$F$30:$F$35)/0.75</f>
        <v>#N/A</v>
      </c>
      <c r="G14" s="109"/>
    </row>
    <row r="15" spans="2:9">
      <c r="I15" s="524"/>
    </row>
    <row r="16" spans="2:9">
      <c r="D16" s="14" t="s">
        <v>91</v>
      </c>
    </row>
    <row r="17" spans="2:8">
      <c r="C17" s="14" t="s">
        <v>121</v>
      </c>
      <c r="D17" s="570" t="s">
        <v>90</v>
      </c>
      <c r="E17" s="571"/>
      <c r="F17" s="572" t="s">
        <v>610</v>
      </c>
      <c r="G17" s="573"/>
      <c r="H17" s="25"/>
    </row>
    <row r="18" spans="2:8">
      <c r="D18" s="33" t="s">
        <v>196</v>
      </c>
      <c r="E18" s="33" t="s">
        <v>92</v>
      </c>
      <c r="F18" s="33" t="s">
        <v>196</v>
      </c>
      <c r="G18" s="33" t="s">
        <v>92</v>
      </c>
    </row>
    <row r="19" spans="2:8">
      <c r="B19" s="42" t="s">
        <v>42</v>
      </c>
      <c r="C19" s="23" t="s">
        <v>655</v>
      </c>
      <c r="D19" s="148" t="e">
        <f>SUMIF('Diversion (option 1)'!$G$171:$G$176,'Patronage summary'!$B19,'Diversion (option 1)'!$I$171:$I$176)/0.75+SUMIF('Diversion (option 1)'!$L$171:$L$176,'Patronage summary'!$B19,'Diversion (option 1)'!$N$171:$N$176)/0.75</f>
        <v>#DIV/0!</v>
      </c>
      <c r="E19" s="148" t="e">
        <f>D19-D$5</f>
        <v>#DIV/0!</v>
      </c>
      <c r="F19" s="149" t="e">
        <f>SUMIF('Diversion (option 1)'!$G$171:$G$176,'Patronage summary'!$B19,'Diversion (option 1)'!$K$171:$K$176)/0.75+SUMIF('Diversion (option 1)'!$L$171:$L$176,'Patronage summary'!$B19,'Diversion (option 1)'!$P$171:$P$176)/0.75</f>
        <v>#DIV/0!</v>
      </c>
      <c r="G19" s="149" t="e">
        <f>F19-F$5</f>
        <v>#DIV/0!</v>
      </c>
    </row>
    <row r="20" spans="2:8">
      <c r="B20" s="151"/>
      <c r="C20" s="109" t="s">
        <v>47</v>
      </c>
      <c r="D20" s="148" t="e">
        <f>SUMIF('Diversion (option 1)'!$B$171:$B$176,'Patronage summary'!$B19,'Diversion (option 1)'!$D$171:$D$176)/0.75</f>
        <v>#N/A</v>
      </c>
      <c r="E20" s="148" t="e">
        <f>D20-D$6</f>
        <v>#N/A</v>
      </c>
      <c r="F20" s="149" t="e">
        <f>SUMIF('Diversion (option 1)'!$B$171:$B$176,'Patronage summary'!$B19,'Diversion (option 1)'!$F$171:$F$176)/0.75</f>
        <v>#N/A</v>
      </c>
      <c r="G20" s="149" t="e">
        <f>F20-F$6</f>
        <v>#N/A</v>
      </c>
    </row>
    <row r="21" spans="2:8">
      <c r="B21" s="42" t="s">
        <v>40</v>
      </c>
      <c r="C21" s="23" t="s">
        <v>655</v>
      </c>
      <c r="D21" s="148" t="e">
        <f>SUMIF('Diversion (option 1)'!$G$171:$G$176,'Patronage summary'!$B21,'Diversion (option 1)'!$I$171:$I$176)/0.75+SUMIF('Diversion (option 1)'!$L$171:$L$176,'Patronage summary'!$B21,'Diversion (option 1)'!$N$171:$N$176)/0.75</f>
        <v>#DIV/0!</v>
      </c>
      <c r="E21" s="148" t="e">
        <f>D21-D$7</f>
        <v>#DIV/0!</v>
      </c>
      <c r="F21" s="149" t="e">
        <f>SUMIF('Diversion (option 1)'!$G$171:$G$176,'Patronage summary'!$B21,'Diversion (option 1)'!$K$171:$K$176)/0.75+SUMIF('Diversion (option 1)'!$L$171:$L$176,'Patronage summary'!$B21,'Diversion (option 1)'!$P$171:$P$176)/0.75</f>
        <v>#DIV/0!</v>
      </c>
      <c r="G21" s="149" t="e">
        <f>F21-F$7</f>
        <v>#DIV/0!</v>
      </c>
    </row>
    <row r="22" spans="2:8">
      <c r="B22" s="151"/>
      <c r="C22" s="109" t="s">
        <v>47</v>
      </c>
      <c r="D22" s="148" t="e">
        <f>SUMIF('Diversion (option 1)'!$B$171:$B$176,'Patronage summary'!$B21,'Diversion (option 1)'!$D$171:$D$176)/0.75</f>
        <v>#N/A</v>
      </c>
      <c r="E22" s="148" t="e">
        <f>D22-D$8</f>
        <v>#N/A</v>
      </c>
      <c r="F22" s="149" t="e">
        <f>SUMIF('Diversion (option 1)'!$B$171:$B$176,'Patronage summary'!$B21,'Diversion (option 1)'!$F$171:$F$176)/0.75</f>
        <v>#N/A</v>
      </c>
      <c r="G22" s="149" t="e">
        <f>F22-F$8</f>
        <v>#N/A</v>
      </c>
    </row>
    <row r="23" spans="2:8">
      <c r="B23" s="42" t="s">
        <v>157</v>
      </c>
      <c r="C23" s="23" t="s">
        <v>655</v>
      </c>
      <c r="D23" s="148" t="e">
        <f>SUMIF('Diversion (option 1)'!$G$171:$G$176,'Patronage summary'!$B23,'Diversion (option 1)'!$I$171:$I$176)/0.75+SUMIF('Diversion (option 1)'!$L$171:$L$176,'Patronage summary'!$B23,'Diversion (option 1)'!$N$171:$N$176)/0.75</f>
        <v>#DIV/0!</v>
      </c>
      <c r="E23" s="148" t="e">
        <f>D23-D$9</f>
        <v>#DIV/0!</v>
      </c>
      <c r="F23" s="149" t="e">
        <f>SUMIF('Diversion (option 1)'!$G$171:$G$176,'Patronage summary'!$B23,'Diversion (option 1)'!$K$171:$K$176)/0.75+SUMIF('Diversion (option 1)'!$L$171:$L$176,'Patronage summary'!$B23,'Diversion (option 1)'!$P$171:$P$176)/0.75</f>
        <v>#DIV/0!</v>
      </c>
      <c r="G23" s="149" t="e">
        <f>F23-F$9</f>
        <v>#DIV/0!</v>
      </c>
    </row>
    <row r="24" spans="2:8">
      <c r="B24" s="151"/>
      <c r="C24" s="109" t="s">
        <v>47</v>
      </c>
      <c r="D24" s="148" t="e">
        <f>SUMIF('Diversion (option 1)'!$B$171:$B$176,'Patronage summary'!$B23,'Diversion (option 1)'!$D$171:$D$176)/0.75</f>
        <v>#N/A</v>
      </c>
      <c r="E24" s="148" t="e">
        <f>D24-D$10</f>
        <v>#N/A</v>
      </c>
      <c r="F24" s="149" t="e">
        <f>SUMIF('Diversion (option 1)'!$B$171:$B$176,'Patronage summary'!$B23,'Diversion (option 1)'!$F$171:$F$176)/0.75</f>
        <v>#N/A</v>
      </c>
      <c r="G24" s="149" t="e">
        <f>F24-F$10</f>
        <v>#N/A</v>
      </c>
    </row>
    <row r="25" spans="2:8">
      <c r="B25" s="42" t="s">
        <v>158</v>
      </c>
      <c r="C25" s="23" t="s">
        <v>655</v>
      </c>
      <c r="D25" s="148" t="e">
        <f>SUMIF('Diversion (option 1)'!$G$171:$G$176,'Patronage summary'!$B25,'Diversion (option 1)'!$I$171:$I$176)/0.75+SUMIF('Diversion (option 1)'!$L$171:$L$176,'Patronage summary'!$B25,'Diversion (option 1)'!$N$171:$N$176)/0.75</f>
        <v>#DIV/0!</v>
      </c>
      <c r="E25" s="148" t="e">
        <f>D25-D$11</f>
        <v>#DIV/0!</v>
      </c>
      <c r="F25" s="149" t="e">
        <f>SUMIF('Diversion (option 1)'!$G$171:$G$176,'Patronage summary'!$B25,'Diversion (option 1)'!$K$171:$K$176)/0.75+SUMIF('Diversion (option 1)'!$L$171:$L$176,'Patronage summary'!$B25,'Diversion (option 1)'!$P$171:$P$176)/0.75</f>
        <v>#DIV/0!</v>
      </c>
      <c r="G25" s="149" t="e">
        <f>F25-F$11</f>
        <v>#DIV/0!</v>
      </c>
    </row>
    <row r="26" spans="2:8">
      <c r="B26" s="151"/>
      <c r="C26" s="109" t="s">
        <v>47</v>
      </c>
      <c r="D26" s="148" t="e">
        <f>SUMIF('Diversion (option 1)'!$B$171:$B$176,'Patronage summary'!$B25,'Diversion (option 1)'!$D$171:$D$176)/0.75</f>
        <v>#N/A</v>
      </c>
      <c r="E26" s="148" t="e">
        <f>D26-D$12</f>
        <v>#N/A</v>
      </c>
      <c r="F26" s="149" t="e">
        <f>SUMIF('Diversion (option 1)'!$B$171:$B$176,'Patronage summary'!$B25,'Diversion (option 1)'!$F$171:$F$176)/0.75</f>
        <v>#N/A</v>
      </c>
      <c r="G26" s="149" t="e">
        <f>F26-F$12</f>
        <v>#N/A</v>
      </c>
    </row>
    <row r="27" spans="2:8">
      <c r="B27" s="23" t="s">
        <v>199</v>
      </c>
      <c r="C27" s="109"/>
      <c r="D27" s="148" t="e">
        <f>SUMIF('Diversion (option 1)'!$B$171:$B$176,"All PT combinations",'Diversion (option 1)'!$D$171:$D$176)/0.75</f>
        <v>#DIV/0!</v>
      </c>
      <c r="E27" s="148" t="e">
        <f>D27-D$13</f>
        <v>#DIV/0!</v>
      </c>
      <c r="F27" s="149" t="e">
        <f>SUMIF('Diversion (option 1)'!$B$171:$B$176,"All PT combinations",'Diversion (option 1)'!$F$171:$F$176)/0.75</f>
        <v>#DIV/0!</v>
      </c>
      <c r="G27" s="149" t="e">
        <f>F27-F$13</f>
        <v>#DIV/0!</v>
      </c>
    </row>
    <row r="28" spans="2:8">
      <c r="B28" s="152" t="s">
        <v>25</v>
      </c>
      <c r="C28" s="121"/>
      <c r="D28" s="148" t="e">
        <f>SUMIF('Diversion (option 1)'!$B$171:$B$176,'Patronage summary'!$B28,'Diversion (option 1)'!$D$171:$D$176)/0.75</f>
        <v>#N/A</v>
      </c>
      <c r="E28" s="148" t="e">
        <f>D28-D$14</f>
        <v>#N/A</v>
      </c>
      <c r="F28" s="149" t="e">
        <f>SUMIF('Diversion (option 1)'!$B$171:$B$176,'Patronage summary'!$B28,'Diversion (option 1)'!$F$171:$F$176)/0.75</f>
        <v>#N/A</v>
      </c>
      <c r="G28" s="149" t="e">
        <f>F28-F$14</f>
        <v>#N/A</v>
      </c>
    </row>
    <row r="30" spans="2:8">
      <c r="D30" s="14" t="s">
        <v>91</v>
      </c>
    </row>
    <row r="31" spans="2:8">
      <c r="C31" s="14" t="s">
        <v>122</v>
      </c>
      <c r="D31" s="570" t="s">
        <v>90</v>
      </c>
      <c r="E31" s="571"/>
      <c r="F31" s="572" t="s">
        <v>610</v>
      </c>
      <c r="G31" s="573"/>
      <c r="H31" s="25"/>
    </row>
    <row r="32" spans="2:8">
      <c r="D32" s="33" t="s">
        <v>196</v>
      </c>
      <c r="E32" s="33" t="s">
        <v>92</v>
      </c>
      <c r="F32" s="33" t="s">
        <v>196</v>
      </c>
      <c r="G32" s="33" t="s">
        <v>92</v>
      </c>
    </row>
    <row r="33" spans="2:8">
      <c r="B33" s="42" t="s">
        <v>42</v>
      </c>
      <c r="C33" s="23" t="s">
        <v>655</v>
      </c>
      <c r="D33" s="148" t="e">
        <f>SUMIF('Diversion (option 2)'!$G$171:$G$176,'Patronage summary'!$B33,'Diversion (option 2)'!$I$171:$I$176)/0.75+SUMIF('Diversion (option 2)'!$L$171:$L$176,'Patronage summary'!$B33,'Diversion (option 2)'!$N$171:$N$176)/0.75</f>
        <v>#DIV/0!</v>
      </c>
      <c r="E33" s="148" t="e">
        <f>D33-D$5</f>
        <v>#DIV/0!</v>
      </c>
      <c r="F33" s="149" t="e">
        <f>SUMIF('Diversion (option 2)'!$G$171:$G$176,'Patronage summary'!$B33,'Diversion (option 2)'!$K$171:$K$176)/0.75+SUMIF('Diversion (option 2)'!$L$171:$L$176,'Patronage summary'!$B33,'Diversion (option 2)'!$P$171:$P$176)/0.75</f>
        <v>#DIV/0!</v>
      </c>
      <c r="G33" s="149" t="e">
        <f>F33-F$5</f>
        <v>#DIV/0!</v>
      </c>
    </row>
    <row r="34" spans="2:8">
      <c r="B34" s="151"/>
      <c r="C34" s="109" t="s">
        <v>47</v>
      </c>
      <c r="D34" s="148" t="e">
        <f>SUMIF('Diversion (option 2)'!$B$171:$B$176,'Patronage summary'!$B33,'Diversion (option 2)'!$D$171:$D$176)/0.75</f>
        <v>#N/A</v>
      </c>
      <c r="E34" s="148" t="e">
        <f>D34-D$6</f>
        <v>#N/A</v>
      </c>
      <c r="F34" s="149" t="e">
        <f>SUMIF('Diversion (option 2)'!$B$171:$B$176,'Patronage summary'!$B33,'Diversion (option 2)'!$F$171:$F$176)/0.75</f>
        <v>#N/A</v>
      </c>
      <c r="G34" s="149" t="e">
        <f>F34-F$6</f>
        <v>#N/A</v>
      </c>
    </row>
    <row r="35" spans="2:8">
      <c r="B35" s="42" t="s">
        <v>40</v>
      </c>
      <c r="C35" s="23" t="s">
        <v>655</v>
      </c>
      <c r="D35" s="148" t="e">
        <f>SUMIF('Diversion (option 2)'!$G$171:$G$176,'Patronage summary'!$B35,'Diversion (option 2)'!$I$171:$I$176)/0.75+SUMIF('Diversion (option 2)'!$L$171:$L$176,'Patronage summary'!$B35,'Diversion (option 2)'!$N$171:$N$176)/0.75</f>
        <v>#DIV/0!</v>
      </c>
      <c r="E35" s="148" t="e">
        <f>D35-D$7</f>
        <v>#DIV/0!</v>
      </c>
      <c r="F35" s="149" t="e">
        <f>SUMIF('Diversion (option 2)'!$G$171:$G$176,'Patronage summary'!$B35,'Diversion (option 2)'!$K$171:$K$176)/0.75+SUMIF('Diversion (option 2)'!$L$171:$L$176,'Patronage summary'!$B35,'Diversion (option 2)'!$P$171:$P$176)/0.75</f>
        <v>#DIV/0!</v>
      </c>
      <c r="G35" s="149" t="e">
        <f>F35-F$7</f>
        <v>#DIV/0!</v>
      </c>
    </row>
    <row r="36" spans="2:8">
      <c r="B36" s="151"/>
      <c r="C36" s="109" t="s">
        <v>47</v>
      </c>
      <c r="D36" s="148" t="e">
        <f>SUMIF('Diversion (option 2)'!$B$171:$B$176,'Patronage summary'!$B35,'Diversion (option 2)'!$D$171:$D$176)/0.75</f>
        <v>#N/A</v>
      </c>
      <c r="E36" s="148" t="e">
        <f>D36-D$8</f>
        <v>#N/A</v>
      </c>
      <c r="F36" s="149" t="e">
        <f>SUMIF('Diversion (option 2)'!$B$171:$B$176,'Patronage summary'!$B35,'Diversion (option 2)'!$F$171:$F$176)/0.75</f>
        <v>#N/A</v>
      </c>
      <c r="G36" s="149" t="e">
        <f>F36-F$8</f>
        <v>#N/A</v>
      </c>
    </row>
    <row r="37" spans="2:8">
      <c r="B37" s="42" t="s">
        <v>157</v>
      </c>
      <c r="C37" s="23" t="s">
        <v>655</v>
      </c>
      <c r="D37" s="148" t="e">
        <f>SUMIF('Diversion (option 2)'!$G$171:$G$176,'Patronage summary'!$B37,'Diversion (option 2)'!$I$171:$I$176)/0.75+SUMIF('Diversion (option 2)'!$L$171:$L$176,'Patronage summary'!$B37,'Diversion (option 2)'!$N$171:$N$176)/0.75</f>
        <v>#DIV/0!</v>
      </c>
      <c r="E37" s="148" t="e">
        <f>D37-D$9</f>
        <v>#DIV/0!</v>
      </c>
      <c r="F37" s="149" t="e">
        <f>SUMIF('Diversion (option 2)'!$G$171:$G$176,'Patronage summary'!$B37,'Diversion (option 2)'!$K$171:$K$176)/0.75+SUMIF('Diversion (option 2)'!$L$171:$L$176,'Patronage summary'!$B37,'Diversion (option 2)'!$P$171:$P$176)/0.75</f>
        <v>#DIV/0!</v>
      </c>
      <c r="G37" s="149" t="e">
        <f>F37-F$9</f>
        <v>#DIV/0!</v>
      </c>
    </row>
    <row r="38" spans="2:8">
      <c r="B38" s="151"/>
      <c r="C38" s="109" t="s">
        <v>47</v>
      </c>
      <c r="D38" s="148" t="e">
        <f>SUMIF('Diversion (option 2)'!$B$171:$B$176,'Patronage summary'!$B37,'Diversion (option 2)'!$D$171:$D$176)/0.75</f>
        <v>#N/A</v>
      </c>
      <c r="E38" s="148" t="e">
        <f>D38-D$10</f>
        <v>#N/A</v>
      </c>
      <c r="F38" s="149" t="e">
        <f>SUMIF('Diversion (option 2)'!$B$171:$B$176,'Patronage summary'!$B37,'Diversion (option 2)'!$F$171:$F$176)/0.75</f>
        <v>#N/A</v>
      </c>
      <c r="G38" s="149" t="e">
        <f>F38-F$10</f>
        <v>#N/A</v>
      </c>
    </row>
    <row r="39" spans="2:8">
      <c r="B39" s="42" t="s">
        <v>158</v>
      </c>
      <c r="C39" s="23" t="s">
        <v>655</v>
      </c>
      <c r="D39" s="148" t="e">
        <f>SUMIF('Diversion (option 2)'!$G$171:$G$176,'Patronage summary'!$B39,'Diversion (option 2)'!$I$171:$I$176)/0.75+SUMIF('Diversion (option 2)'!$L$171:$L$176,'Patronage summary'!$B39,'Diversion (option 2)'!$N$171:$N$176)/0.75</f>
        <v>#DIV/0!</v>
      </c>
      <c r="E39" s="148" t="e">
        <f>D39-D$11</f>
        <v>#DIV/0!</v>
      </c>
      <c r="F39" s="149" t="e">
        <f>SUMIF('Diversion (option 2)'!$G$171:$G$176,'Patronage summary'!$B39,'Diversion (option 2)'!$K$171:$K$176)/0.75+SUMIF('Diversion (option 2)'!$L$171:$L$176,'Patronage summary'!$B39,'Diversion (option 2)'!$P$171:$P$176)/0.75</f>
        <v>#DIV/0!</v>
      </c>
      <c r="G39" s="149" t="e">
        <f>F39-F$11</f>
        <v>#DIV/0!</v>
      </c>
    </row>
    <row r="40" spans="2:8">
      <c r="B40" s="151"/>
      <c r="C40" s="109" t="s">
        <v>47</v>
      </c>
      <c r="D40" s="148" t="e">
        <f>SUMIF('Diversion (option 2)'!$B$171:$B$176,'Patronage summary'!$B39,'Diversion (option 2)'!$D$171:$D$176)/0.75</f>
        <v>#N/A</v>
      </c>
      <c r="E40" s="148" t="e">
        <f>D40-D$12</f>
        <v>#N/A</v>
      </c>
      <c r="F40" s="149" t="e">
        <f>SUMIF('Diversion (option 2)'!$B$171:$B$176,'Patronage summary'!$B39,'Diversion (option 2)'!$F$171:$F$176)/0.75</f>
        <v>#N/A</v>
      </c>
      <c r="G40" s="149" t="e">
        <f>F40-F$12</f>
        <v>#N/A</v>
      </c>
    </row>
    <row r="41" spans="2:8">
      <c r="B41" s="23" t="s">
        <v>199</v>
      </c>
      <c r="C41" s="109"/>
      <c r="D41" s="148" t="e">
        <f>SUMIF('Diversion (option 2)'!$B$171:$B$176,"All PT combinations",'Diversion (option 2)'!$D$171:$D$176)/0.75</f>
        <v>#DIV/0!</v>
      </c>
      <c r="E41" s="148" t="e">
        <f>D41-D$13</f>
        <v>#DIV/0!</v>
      </c>
      <c r="F41" s="149" t="e">
        <f>SUMIF('Diversion (option 2)'!$B$171:$B$176,"All PT combinations",'Diversion (option 2)'!$F$171:$F$176)/0.75</f>
        <v>#DIV/0!</v>
      </c>
      <c r="G41" s="149" t="e">
        <f>F41-F$13</f>
        <v>#DIV/0!</v>
      </c>
    </row>
    <row r="42" spans="2:8">
      <c r="B42" s="152" t="s">
        <v>25</v>
      </c>
      <c r="C42" s="121"/>
      <c r="D42" s="148" t="e">
        <f>SUMIF('Diversion (option 2)'!$B$171:$B$176,'Patronage summary'!$B42,'Diversion (option 2)'!$D$171:$D$176)/0.75</f>
        <v>#N/A</v>
      </c>
      <c r="E42" s="148" t="e">
        <f>D42-D$14</f>
        <v>#N/A</v>
      </c>
      <c r="F42" s="149" t="e">
        <f>SUMIF('Diversion (option 2)'!$B$171:$B$176,'Patronage summary'!$B42,'Diversion (option 2)'!$F$171:$F$176)/0.75</f>
        <v>#N/A</v>
      </c>
      <c r="G42" s="149" t="e">
        <f>F42-F$14</f>
        <v>#N/A</v>
      </c>
    </row>
    <row r="43" spans="2:8">
      <c r="D43" s="108"/>
      <c r="E43" s="108"/>
      <c r="F43" s="108"/>
      <c r="G43" s="108"/>
    </row>
    <row r="44" spans="2:8">
      <c r="D44" s="14" t="s">
        <v>91</v>
      </c>
    </row>
    <row r="45" spans="2:8">
      <c r="C45" s="14" t="s">
        <v>123</v>
      </c>
      <c r="D45" s="570" t="s">
        <v>90</v>
      </c>
      <c r="E45" s="571"/>
      <c r="F45" s="572" t="s">
        <v>610</v>
      </c>
      <c r="G45" s="573"/>
      <c r="H45" s="25"/>
    </row>
    <row r="46" spans="2:8">
      <c r="D46" s="33" t="s">
        <v>196</v>
      </c>
      <c r="E46" s="33" t="s">
        <v>92</v>
      </c>
      <c r="F46" s="33" t="s">
        <v>196</v>
      </c>
      <c r="G46" s="33" t="s">
        <v>92</v>
      </c>
    </row>
    <row r="47" spans="2:8">
      <c r="B47" s="42" t="s">
        <v>42</v>
      </c>
      <c r="C47" s="23" t="s">
        <v>655</v>
      </c>
      <c r="D47" s="148" t="e">
        <f>SUMIF('Diversion (option 3)'!$G$171:$G$176,'Patronage summary'!$B47,'Diversion (option 3)'!$I$171:$I$176)/0.75+SUMIF('Diversion (option 3)'!$L$171:$L$176,'Patronage summary'!$B47,'Diversion (option 3)'!$N$171:$N$176)/0.75</f>
        <v>#DIV/0!</v>
      </c>
      <c r="E47" s="148" t="e">
        <f>D47-D$5</f>
        <v>#DIV/0!</v>
      </c>
      <c r="F47" s="149" t="e">
        <f>SUMIF('Diversion (option 3)'!$G$171:$G$176,'Patronage summary'!$B47,'Diversion (option 3)'!$K$171:$K$176)/0.75+SUMIF('Diversion (option 3)'!$L$171:$L$176,'Patronage summary'!$B47,'Diversion (option 3)'!$P$171:$P$176)/0.75</f>
        <v>#DIV/0!</v>
      </c>
      <c r="G47" s="149" t="e">
        <f>F47-F$5</f>
        <v>#DIV/0!</v>
      </c>
    </row>
    <row r="48" spans="2:8">
      <c r="B48" s="151"/>
      <c r="C48" s="109" t="s">
        <v>47</v>
      </c>
      <c r="D48" s="148" t="e">
        <f>SUMIF('Diversion (option 3)'!$B$171:$B$176,'Patronage summary'!$B47,'Diversion (option 3)'!$D$171:$D$176)/0.75</f>
        <v>#N/A</v>
      </c>
      <c r="E48" s="148" t="e">
        <f>D48-D$6</f>
        <v>#N/A</v>
      </c>
      <c r="F48" s="149" t="e">
        <f>SUMIF('Diversion (option 3)'!$B$171:$B$176,'Patronage summary'!$B47,'Diversion (option 3)'!$F$171:$F$176)/0.75</f>
        <v>#N/A</v>
      </c>
      <c r="G48" s="149" t="e">
        <f>F48-F$6</f>
        <v>#N/A</v>
      </c>
    </row>
    <row r="49" spans="2:7">
      <c r="B49" s="42" t="s">
        <v>40</v>
      </c>
      <c r="C49" s="23" t="s">
        <v>655</v>
      </c>
      <c r="D49" s="148" t="e">
        <f>SUMIF('Diversion (option 3)'!$G$171:$G$176,'Patronage summary'!$B49,'Diversion (option 3)'!$I$171:$I$176)/0.75+SUMIF('Diversion (option 3)'!$L$171:$L$176,'Patronage summary'!$B49,'Diversion (option 3)'!$N$171:$N$176)/0.75</f>
        <v>#DIV/0!</v>
      </c>
      <c r="E49" s="148" t="e">
        <f>D49-D$7</f>
        <v>#DIV/0!</v>
      </c>
      <c r="F49" s="149" t="e">
        <f>SUMIF('Diversion (option 3)'!$G$171:$G$176,'Patronage summary'!$B49,'Diversion (option 3)'!$K$171:$K$176)/0.75+SUMIF('Diversion (option 3)'!$L$171:$L$176,'Patronage summary'!$B49,'Diversion (option 3)'!$P$171:$P$176)/0.75</f>
        <v>#DIV/0!</v>
      </c>
      <c r="G49" s="149" t="e">
        <f>F49-F$7</f>
        <v>#DIV/0!</v>
      </c>
    </row>
    <row r="50" spans="2:7">
      <c r="B50" s="151"/>
      <c r="C50" s="109" t="s">
        <v>47</v>
      </c>
      <c r="D50" s="148" t="e">
        <f>SUMIF('Diversion (option 3)'!$B$171:$B$176,'Patronage summary'!$B49,'Diversion (option 3)'!$D$171:$D$176)/0.75</f>
        <v>#N/A</v>
      </c>
      <c r="E50" s="148" t="e">
        <f>D50-D$8</f>
        <v>#N/A</v>
      </c>
      <c r="F50" s="149" t="e">
        <f>SUMIF('Diversion (option 3)'!$B$171:$B$176,'Patronage summary'!$B49,'Diversion (option 3)'!$F$171:$F$176)/0.75</f>
        <v>#N/A</v>
      </c>
      <c r="G50" s="149" t="e">
        <f>F50-F$8</f>
        <v>#N/A</v>
      </c>
    </row>
    <row r="51" spans="2:7">
      <c r="B51" s="42" t="s">
        <v>157</v>
      </c>
      <c r="C51" s="23" t="s">
        <v>655</v>
      </c>
      <c r="D51" s="148" t="e">
        <f>SUMIF('Diversion (option 3)'!$G$171:$G$176,'Patronage summary'!$B51,'Diversion (option 3)'!$I$171:$I$176)/0.75+SUMIF('Diversion (option 3)'!$L$171:$L$176,'Patronage summary'!$B51,'Diversion (option 3)'!$N$171:$N$176)/0.75</f>
        <v>#DIV/0!</v>
      </c>
      <c r="E51" s="148" t="e">
        <f>D51-D$9</f>
        <v>#DIV/0!</v>
      </c>
      <c r="F51" s="149" t="e">
        <f>SUMIF('Diversion (option 3)'!$G$171:$G$176,'Patronage summary'!$B51,'Diversion (option 3)'!$K$171:$K$176)/0.75+SUMIF('Diversion (option 3)'!$L$171:$L$176,'Patronage summary'!$B51,'Diversion (option 3)'!$P$171:$P$176)/0.75</f>
        <v>#DIV/0!</v>
      </c>
      <c r="G51" s="149" t="e">
        <f>F51-F$9</f>
        <v>#DIV/0!</v>
      </c>
    </row>
    <row r="52" spans="2:7">
      <c r="B52" s="151"/>
      <c r="C52" s="109" t="s">
        <v>47</v>
      </c>
      <c r="D52" s="148" t="e">
        <f>SUMIF('Diversion (option 3)'!$B$171:$B$176,'Patronage summary'!$B51,'Diversion (option 3)'!$D$171:$D$176)/0.75</f>
        <v>#N/A</v>
      </c>
      <c r="E52" s="148" t="e">
        <f>D52-D$10</f>
        <v>#N/A</v>
      </c>
      <c r="F52" s="149" t="e">
        <f>SUMIF('Diversion (option 3)'!$B$171:$B$176,'Patronage summary'!$B51,'Diversion (option 3)'!$F$171:$F$176)/0.75</f>
        <v>#N/A</v>
      </c>
      <c r="G52" s="149" t="e">
        <f>F52-F$10</f>
        <v>#N/A</v>
      </c>
    </row>
    <row r="53" spans="2:7">
      <c r="B53" s="42" t="s">
        <v>158</v>
      </c>
      <c r="C53" s="23" t="s">
        <v>655</v>
      </c>
      <c r="D53" s="148" t="e">
        <f>SUMIF('Diversion (option 3)'!$G$171:$G$176,'Patronage summary'!$B53,'Diversion (option 3)'!$I$171:$I$176)/0.75+SUMIF('Diversion (option 3)'!$L$171:$L$176,'Patronage summary'!$B53,'Diversion (option 3)'!$N$171:$N$176)/0.75</f>
        <v>#DIV/0!</v>
      </c>
      <c r="E53" s="148" t="e">
        <f>D53-D$11</f>
        <v>#DIV/0!</v>
      </c>
      <c r="F53" s="149" t="e">
        <f>SUMIF('Diversion (option 3)'!$G$171:$G$176,'Patronage summary'!$B53,'Diversion (option 3)'!$K$171:$K$176)/0.75+SUMIF('Diversion (option 3)'!$L$171:$L$176,'Patronage summary'!$B53,'Diversion (option 3)'!$P$171:$P$176)/0.75</f>
        <v>#DIV/0!</v>
      </c>
      <c r="G53" s="149" t="e">
        <f>F53-F$11</f>
        <v>#DIV/0!</v>
      </c>
    </row>
    <row r="54" spans="2:7">
      <c r="B54" s="151"/>
      <c r="C54" s="109" t="s">
        <v>47</v>
      </c>
      <c r="D54" s="148" t="e">
        <f>SUMIF('Diversion (option 3)'!$B$171:$B$176,'Patronage summary'!$B53,'Diversion (option 3)'!$D$171:$D$176)/0.75</f>
        <v>#N/A</v>
      </c>
      <c r="E54" s="148" t="e">
        <f>D54-D$12</f>
        <v>#N/A</v>
      </c>
      <c r="F54" s="149" t="e">
        <f>SUMIF('Diversion (option 3)'!$B$171:$B$176,'Patronage summary'!$B53,'Diversion (option 3)'!$F$171:$F$176)/0.75</f>
        <v>#N/A</v>
      </c>
      <c r="G54" s="149" t="e">
        <f>F54-F$12</f>
        <v>#N/A</v>
      </c>
    </row>
    <row r="55" spans="2:7">
      <c r="B55" s="23" t="s">
        <v>199</v>
      </c>
      <c r="C55" s="109"/>
      <c r="D55" s="148" t="e">
        <f>SUMIF('Diversion (option 3)'!$B$171:$B$176,"All PT combinations",'Diversion (option 3)'!$D$171:$D$176)/0.75</f>
        <v>#DIV/0!</v>
      </c>
      <c r="E55" s="148" t="e">
        <f>D55-D$13</f>
        <v>#DIV/0!</v>
      </c>
      <c r="F55" s="149" t="e">
        <f>SUMIF('Diversion (option 3)'!$B$171:$B$176,"All PT combinations",'Diversion (option 3)'!$F$171:$F$176)/0.75</f>
        <v>#DIV/0!</v>
      </c>
      <c r="G55" s="149" t="e">
        <f>F55-F$13</f>
        <v>#DIV/0!</v>
      </c>
    </row>
    <row r="56" spans="2:7">
      <c r="B56" s="152" t="s">
        <v>25</v>
      </c>
      <c r="C56" s="121"/>
      <c r="D56" s="148" t="e">
        <f>SUMIF('Diversion (option 3)'!$B$171:$B$176,'Patronage summary'!$B56,'Diversion (option 3)'!$D$171:$D$176)/0.75</f>
        <v>#N/A</v>
      </c>
      <c r="E56" s="148" t="e">
        <f>D56-D$14</f>
        <v>#N/A</v>
      </c>
      <c r="F56" s="149" t="e">
        <f>SUMIF('Diversion (option 3)'!$B$171:$B$176,'Patronage summary'!$B56,'Diversion (option 3)'!$F$171:$F$176)/0.75</f>
        <v>#N/A</v>
      </c>
      <c r="G56" s="149" t="e">
        <f>F56-F$14</f>
        <v>#N/A</v>
      </c>
    </row>
    <row r="57" spans="2:7">
      <c r="D57" s="108"/>
      <c r="E57" s="108"/>
      <c r="F57" s="108"/>
      <c r="G57" s="108"/>
    </row>
    <row r="58" spans="2:7">
      <c r="D58" s="108"/>
      <c r="E58" s="108"/>
      <c r="F58" s="108"/>
      <c r="G58" s="108"/>
    </row>
  </sheetData>
  <sheetProtection password="EA07" sheet="1" objects="1" scenarios="1"/>
  <mergeCells count="8">
    <mergeCell ref="D45:E45"/>
    <mergeCell ref="F45:G45"/>
    <mergeCell ref="D3:E3"/>
    <mergeCell ref="F3:G3"/>
    <mergeCell ref="D17:E17"/>
    <mergeCell ref="F17:G17"/>
    <mergeCell ref="D31:E31"/>
    <mergeCell ref="F31:G3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theme="6"/>
  </sheetPr>
  <dimension ref="B2:J29"/>
  <sheetViews>
    <sheetView workbookViewId="0">
      <selection activeCell="B3" sqref="B3"/>
    </sheetView>
  </sheetViews>
  <sheetFormatPr defaultColWidth="9.140625" defaultRowHeight="15"/>
  <cols>
    <col min="1" max="1" width="9.140625" style="8"/>
    <col min="2" max="2" width="34.28515625" style="8" customWidth="1"/>
    <col min="3" max="3" width="15.28515625" style="8" customWidth="1"/>
    <col min="4" max="4" width="9.140625" style="8"/>
    <col min="5" max="5" width="34.28515625" style="8" customWidth="1"/>
    <col min="6" max="6" width="15.28515625" style="8" customWidth="1"/>
    <col min="7" max="7" width="9.140625" style="8"/>
    <col min="8" max="8" width="34.28515625" style="8" customWidth="1"/>
    <col min="9" max="9" width="15.28515625" style="8" customWidth="1"/>
    <col min="10" max="16384" width="9.140625" style="8"/>
  </cols>
  <sheetData>
    <row r="2" spans="2:9" ht="15.75">
      <c r="B2" s="216" t="s">
        <v>26</v>
      </c>
    </row>
    <row r="5" spans="2:9" ht="60">
      <c r="B5" s="33" t="s">
        <v>121</v>
      </c>
      <c r="C5" s="104" t="s">
        <v>606</v>
      </c>
      <c r="E5" s="33" t="s">
        <v>122</v>
      </c>
      <c r="F5" s="104" t="s">
        <v>606</v>
      </c>
      <c r="H5" s="33" t="s">
        <v>123</v>
      </c>
      <c r="I5" s="104" t="s">
        <v>606</v>
      </c>
    </row>
    <row r="6" spans="2:9">
      <c r="B6" s="175" t="s">
        <v>95</v>
      </c>
      <c r="C6" s="193">
        <f>IF(Option1="No","",SUM('Time-series worksheet_8'!$D$8:$D$85,'Time-series worksheet_8'!$F$8:$F$85))</f>
        <v>0</v>
      </c>
      <c r="E6" s="175" t="s">
        <v>95</v>
      </c>
      <c r="F6" s="193">
        <f>IF(Option2="No","",SUM('Time-series worksheet_8'!$T$8:$T$85,'Time-series worksheet_8'!$V$8:$V$85))</f>
        <v>0</v>
      </c>
      <c r="H6" s="175" t="s">
        <v>95</v>
      </c>
      <c r="I6" s="193">
        <f>IF(Option3="No","",SUM('Time-series worksheet_8'!$AJ$8:$AJ$85,'Time-series worksheet_8'!$AL$8:$AL$85))</f>
        <v>0</v>
      </c>
    </row>
    <row r="7" spans="2:9">
      <c r="B7" s="175" t="s">
        <v>96</v>
      </c>
      <c r="C7" s="193" t="e">
        <f>IF(Option1="No","",SUM('Time-series worksheet_8'!$E$8:$E$85))</f>
        <v>#VALUE!</v>
      </c>
      <c r="E7" s="175" t="s">
        <v>96</v>
      </c>
      <c r="F7" s="193" t="e">
        <f>IF(Option2="No","",SUM('Time-series worksheet_8'!$U$8:$U$85))</f>
        <v>#VALUE!</v>
      </c>
      <c r="H7" s="175" t="s">
        <v>96</v>
      </c>
      <c r="I7" s="193" t="e">
        <f>IF(Option3="No","",SUM('Time-series worksheet_8'!$AK$8:$AK$85))</f>
        <v>#VALUE!</v>
      </c>
    </row>
    <row r="8" spans="2:9">
      <c r="B8" s="33" t="s">
        <v>97</v>
      </c>
      <c r="C8" s="191" t="e">
        <f>IF(Option1="No","",SUM(C6:C7))</f>
        <v>#VALUE!</v>
      </c>
      <c r="E8" s="33" t="s">
        <v>97</v>
      </c>
      <c r="F8" s="191" t="e">
        <f>IF(Option2="No","",SUM(F6:F7))</f>
        <v>#VALUE!</v>
      </c>
      <c r="H8" s="33" t="s">
        <v>97</v>
      </c>
      <c r="I8" s="191" t="e">
        <f>IF(Option3="No","",SUM(I6:I7))</f>
        <v>#VALUE!</v>
      </c>
    </row>
    <row r="9" spans="2:9">
      <c r="B9" s="92" t="s">
        <v>228</v>
      </c>
      <c r="C9" s="192">
        <f>IF(Option1="No","",SUM('Time-series worksheet_8'!$G$8:$G$85))</f>
        <v>0</v>
      </c>
      <c r="E9" s="92" t="s">
        <v>228</v>
      </c>
      <c r="F9" s="192">
        <f>IF(Option2="No","",SUM('Time-series worksheet_8'!$W$8:$W$85))</f>
        <v>0</v>
      </c>
      <c r="H9" s="92" t="s">
        <v>228</v>
      </c>
      <c r="I9" s="192">
        <f>IF(Option3="No","",SUM('Time-series worksheet_8'!$AM$8:$AM$85))</f>
        <v>0</v>
      </c>
    </row>
    <row r="10" spans="2:9">
      <c r="B10" s="92" t="s">
        <v>229</v>
      </c>
      <c r="C10" s="192">
        <f>IF(Option1="No","",SUM('Time-series worksheet_8'!$H$8:$H$86))</f>
        <v>0</v>
      </c>
      <c r="E10" s="92" t="s">
        <v>229</v>
      </c>
      <c r="F10" s="192">
        <f>IF(Option2="No","",SUM('Time-series worksheet_8'!$X$8:$X$85))</f>
        <v>0</v>
      </c>
      <c r="H10" s="92" t="s">
        <v>229</v>
      </c>
      <c r="I10" s="192">
        <f>IF(Option3="No","",SUM('Time-series worksheet_8'!$AN$8:$AN$85))</f>
        <v>0</v>
      </c>
    </row>
    <row r="11" spans="2:9">
      <c r="B11" s="92" t="s">
        <v>230</v>
      </c>
      <c r="C11" s="192">
        <f>IF(Option1="No","",SUM('Time-series worksheet_8'!$I$8:$I$86))</f>
        <v>0</v>
      </c>
      <c r="E11" s="92" t="s">
        <v>230</v>
      </c>
      <c r="F11" s="192">
        <f>IF(Option2="No","",SUM('Time-series worksheet_8'!$Y$8:$Y$85))</f>
        <v>0</v>
      </c>
      <c r="H11" s="92" t="s">
        <v>230</v>
      </c>
      <c r="I11" s="192">
        <f>IF(Option3="No","",SUM('Time-series worksheet_8'!$AO$8:$AO$85))</f>
        <v>0</v>
      </c>
    </row>
    <row r="12" spans="2:9">
      <c r="B12" s="92" t="s">
        <v>231</v>
      </c>
      <c r="C12" s="192">
        <f>IF(Option1="No","",SUM('Time-series worksheet_8'!$J$8:$J$86))</f>
        <v>0</v>
      </c>
      <c r="E12" s="92" t="s">
        <v>231</v>
      </c>
      <c r="F12" s="192">
        <f>IF(Option2="No","",SUM('Time-series worksheet_8'!$Z$8:$Z$85))</f>
        <v>0</v>
      </c>
      <c r="H12" s="92" t="s">
        <v>231</v>
      </c>
      <c r="I12" s="192">
        <f>IF(Option3="No","",SUM('Time-series worksheet_8'!$AP$8:$AP$85))</f>
        <v>0</v>
      </c>
    </row>
    <row r="13" spans="2:9">
      <c r="B13" s="92" t="s">
        <v>595</v>
      </c>
      <c r="C13" s="192">
        <f>IF(Option1="No","",SUM('Time-series worksheet_8'!$K$8:$K$86))</f>
        <v>0</v>
      </c>
      <c r="E13" s="92" t="s">
        <v>595</v>
      </c>
      <c r="F13" s="192">
        <f>IF(Option2="No","",SUM('Time-series worksheet_8'!$AA$8:$AA$85))</f>
        <v>0</v>
      </c>
      <c r="H13" s="92" t="s">
        <v>595</v>
      </c>
      <c r="I13" s="192">
        <f>IF(Option3="No","",SUM('Time-series worksheet_8'!$AQ$8:$AQ$85))</f>
        <v>0</v>
      </c>
    </row>
    <row r="14" spans="2:9">
      <c r="B14" s="92" t="s">
        <v>596</v>
      </c>
      <c r="C14" s="192">
        <f>IF(Option1="No","",SUM('Time-series worksheet_8'!$L$8:$L$86))</f>
        <v>0</v>
      </c>
      <c r="E14" s="92" t="s">
        <v>596</v>
      </c>
      <c r="F14" s="192">
        <f>IF(Option2="No","",SUM('Time-series worksheet_8'!$AB$8:$AB$85))</f>
        <v>0</v>
      </c>
      <c r="H14" s="92" t="s">
        <v>596</v>
      </c>
      <c r="I14" s="192">
        <f>IF(Option3="No","",SUM('Time-series worksheet_8'!$AR$8:$AR$85))</f>
        <v>0</v>
      </c>
    </row>
    <row r="15" spans="2:9">
      <c r="B15" s="92" t="s">
        <v>689</v>
      </c>
      <c r="C15" s="192">
        <f>IF(Option1="No","",SUM('Time-series worksheet_8'!$M$8:$M$86))</f>
        <v>0</v>
      </c>
      <c r="E15" s="92" t="s">
        <v>689</v>
      </c>
      <c r="F15" s="192">
        <f>IF(Option2="No","",SUM('Time-series worksheet_8'!$AC$8:$AC$85))</f>
        <v>0</v>
      </c>
      <c r="H15" s="92" t="s">
        <v>689</v>
      </c>
      <c r="I15" s="192">
        <f>IF(Option3="No","",SUM('Time-series worksheet_8'!$AS$8:$AS$85))</f>
        <v>0</v>
      </c>
    </row>
    <row r="16" spans="2:9">
      <c r="B16" s="92" t="s">
        <v>690</v>
      </c>
      <c r="C16" s="192">
        <f>IF(Option1="No","",SUM('Time-series worksheet_8'!$N$8:$N$86))</f>
        <v>0</v>
      </c>
      <c r="E16" s="92" t="s">
        <v>690</v>
      </c>
      <c r="F16" s="192">
        <f>IF(Option2="No","",SUM('Time-series worksheet_8'!$AD$8:$AD$85))</f>
        <v>0</v>
      </c>
      <c r="H16" s="92" t="s">
        <v>690</v>
      </c>
      <c r="I16" s="192">
        <f>IF(Option3="No","",SUM('Time-series worksheet_8'!$AT$8:$AT$85))</f>
        <v>0</v>
      </c>
    </row>
    <row r="17" spans="2:10">
      <c r="B17" s="175" t="s">
        <v>6</v>
      </c>
      <c r="C17" s="192">
        <f>IF(Option1="No","",SUM('Time-series worksheet_8'!$O$12:$O$90))</f>
        <v>0</v>
      </c>
      <c r="E17" s="175" t="s">
        <v>6</v>
      </c>
      <c r="F17" s="192">
        <f>IF(Option2="No","",SUM('Time-series worksheet_8'!$AE$8:$AE$85))</f>
        <v>0</v>
      </c>
      <c r="H17" s="175" t="s">
        <v>6</v>
      </c>
      <c r="I17" s="192">
        <f>IF(Option3="No","",SUM('Time-series worksheet_8'!$AU$8:$AU$85))</f>
        <v>0</v>
      </c>
    </row>
    <row r="18" spans="2:10">
      <c r="B18" s="175" t="s">
        <v>7</v>
      </c>
      <c r="C18" s="192">
        <f>IF(Option1="No","",SUM('Time-series worksheet_8'!$P$12:$P$90))</f>
        <v>0</v>
      </c>
      <c r="E18" s="175" t="s">
        <v>7</v>
      </c>
      <c r="F18" s="192">
        <f>IF(Option2="No","",SUM('Time-series worksheet_8'!$AF$8:$AF$85))</f>
        <v>0</v>
      </c>
      <c r="H18" s="175" t="s">
        <v>7</v>
      </c>
      <c r="I18" s="192">
        <f>IF(Option3="No","",SUM('Time-series worksheet_8'!$AV$8:$AV$85))</f>
        <v>0</v>
      </c>
    </row>
    <row r="19" spans="2:10">
      <c r="B19" s="92" t="s">
        <v>234</v>
      </c>
      <c r="C19" s="192">
        <f>IF(Option1="No","",SUM('Time-series worksheet_8'!$Q$13:$Q$91))</f>
        <v>0</v>
      </c>
      <c r="E19" s="92" t="s">
        <v>234</v>
      </c>
      <c r="F19" s="192">
        <f>IF(Option2="No","",SUM('Time-series worksheet_8'!$AG$8:$AG$85))</f>
        <v>0</v>
      </c>
      <c r="H19" s="92" t="s">
        <v>234</v>
      </c>
      <c r="I19" s="192">
        <f>IF(Option3="No","",SUM('Time-series worksheet_8'!$AW$8:$AW$85))</f>
        <v>0</v>
      </c>
    </row>
    <row r="20" spans="2:10">
      <c r="B20" s="175" t="s">
        <v>8</v>
      </c>
      <c r="C20" s="192">
        <f>IF(Option1="No","",SUM('Time-series worksheet_8'!$R$14:$R$92))</f>
        <v>0</v>
      </c>
      <c r="E20" s="175" t="s">
        <v>8</v>
      </c>
      <c r="F20" s="192">
        <f>IF(Option2="No","",SUM('Time-series worksheet_8'!$AH$8:$AH$85))</f>
        <v>0</v>
      </c>
      <c r="H20" s="175" t="s">
        <v>8</v>
      </c>
      <c r="I20" s="192">
        <f>IF(Option3="No","",SUM('Time-series worksheet_8'!$AX$8:$AX$85))</f>
        <v>0</v>
      </c>
    </row>
    <row r="21" spans="2:10">
      <c r="B21" s="33" t="s">
        <v>98</v>
      </c>
      <c r="C21" s="215">
        <f>IF(Option1="No","",SUM(C9:C20))</f>
        <v>0</v>
      </c>
      <c r="E21" s="33" t="s">
        <v>98</v>
      </c>
      <c r="F21" s="215">
        <f>IF(Option2="No","",SUM(F9:F20))</f>
        <v>0</v>
      </c>
      <c r="H21" s="33" t="s">
        <v>98</v>
      </c>
      <c r="I21" s="215">
        <f>IF(Option3="No","",SUM(I9:I20))</f>
        <v>0</v>
      </c>
    </row>
    <row r="22" spans="2:10">
      <c r="B22" s="108"/>
      <c r="C22" s="108"/>
      <c r="E22" s="108"/>
      <c r="F22" s="108"/>
      <c r="H22" s="108"/>
      <c r="I22" s="108"/>
    </row>
    <row r="23" spans="2:10">
      <c r="B23" s="501" t="s">
        <v>607</v>
      </c>
      <c r="C23" s="334" t="e">
        <f>IF(Option1="No","",C21/C8)</f>
        <v>#VALUE!</v>
      </c>
      <c r="D23" s="1" t="s">
        <v>235</v>
      </c>
      <c r="E23" s="501" t="s">
        <v>607</v>
      </c>
      <c r="F23" s="334" t="e">
        <f>IF(Option2="No","",F21/F8)</f>
        <v>#VALUE!</v>
      </c>
      <c r="G23" s="1" t="s">
        <v>235</v>
      </c>
      <c r="H23" s="501" t="s">
        <v>607</v>
      </c>
      <c r="I23" s="334" t="e">
        <f>IF(Option3="No","",I21/I8)</f>
        <v>#VALUE!</v>
      </c>
      <c r="J23" s="1" t="s">
        <v>235</v>
      </c>
    </row>
    <row r="26" spans="2:10">
      <c r="B26" s="117"/>
    </row>
    <row r="27" spans="2:10">
      <c r="B27" s="501" t="s">
        <v>608</v>
      </c>
      <c r="C27" s="334" t="e">
        <f>IF(Option1="No","",SUM('Time-series worksheet_6'!$G$8:$R$85)/SUM('Time-series worksheet_6'!$D$8:$F$85))</f>
        <v>#VALUE!</v>
      </c>
      <c r="D27" s="1" t="s">
        <v>235</v>
      </c>
      <c r="E27" s="501" t="s">
        <v>608</v>
      </c>
      <c r="F27" s="334" t="e">
        <f>IF(Option2="No","",SUM('Time-series worksheet_6'!$W$8:$AH$85)/SUM('Time-series worksheet_6'!$T$8:$V$85))</f>
        <v>#VALUE!</v>
      </c>
      <c r="G27" s="1" t="s">
        <v>235</v>
      </c>
      <c r="H27" s="501" t="s">
        <v>608</v>
      </c>
      <c r="I27" s="334" t="e">
        <f>IF(Option3="No","",SUM('Time-series worksheet_6'!$AM$8:$AX$85)/SUM('Time-series worksheet_6'!$AJ$8:$AL$85))</f>
        <v>#VALUE!</v>
      </c>
      <c r="J27" s="1" t="s">
        <v>235</v>
      </c>
    </row>
    <row r="29" spans="2:10">
      <c r="B29" s="501" t="s">
        <v>609</v>
      </c>
      <c r="C29" s="334" t="e">
        <f>IF(Option1="No","",SUM('Time-series worksheet_4'!$G$8:$R$85)/SUM('Time-series worksheet_4'!$D$8:$F$85))</f>
        <v>#VALUE!</v>
      </c>
      <c r="D29" s="1" t="s">
        <v>235</v>
      </c>
      <c r="E29" s="501" t="s">
        <v>609</v>
      </c>
      <c r="F29" s="334" t="e">
        <f>IF(Option2="No","",SUM('Time-series worksheet_4'!$W$8:$AH$85)/SUM('Time-series worksheet_4'!$T$8:$V$85))</f>
        <v>#VALUE!</v>
      </c>
      <c r="G29" s="1" t="s">
        <v>235</v>
      </c>
      <c r="H29" s="501" t="s">
        <v>609</v>
      </c>
      <c r="I29" s="334" t="e">
        <f>IF(Option3="No","",SUM('Time-series worksheet_4'!$AM$8:$AX$85)/SUM('Time-series worksheet_4'!$AJ$8:$AL$85))</f>
        <v>#VALUE!</v>
      </c>
      <c r="J29" s="1" t="s">
        <v>235</v>
      </c>
    </row>
  </sheetData>
  <sheetProtection password="EA07" sheet="1" objects="1" scenarios="1" formatColumns="0"/>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6"/>
  </sheetPr>
  <dimension ref="B2:AG42"/>
  <sheetViews>
    <sheetView workbookViewId="0">
      <selection activeCell="J23" sqref="J23"/>
    </sheetView>
  </sheetViews>
  <sheetFormatPr defaultColWidth="9.140625" defaultRowHeight="15"/>
  <cols>
    <col min="1" max="1" width="4.28515625" style="1" customWidth="1"/>
    <col min="2" max="2" width="42.85546875" style="1" customWidth="1"/>
    <col min="3" max="3" width="14.5703125" style="1" customWidth="1"/>
    <col min="4" max="4" width="13.42578125" style="1" customWidth="1"/>
    <col min="5" max="5" width="20.85546875" style="1" customWidth="1"/>
    <col min="6" max="6" width="15.28515625" style="1" customWidth="1"/>
    <col min="7" max="19" width="11.85546875" style="1" customWidth="1"/>
    <col min="20" max="20" width="10.140625" style="1" customWidth="1"/>
    <col min="21" max="33" width="9.140625" style="1" customWidth="1"/>
    <col min="34" max="16384" width="9.140625" style="1"/>
  </cols>
  <sheetData>
    <row r="2" spans="2:33" ht="15.75">
      <c r="B2" s="216" t="s">
        <v>554</v>
      </c>
      <c r="C2" s="130"/>
    </row>
    <row r="3" spans="2:33">
      <c r="B3" s="8"/>
      <c r="C3" s="8"/>
    </row>
    <row r="4" spans="2:33">
      <c r="B4" s="369" t="s">
        <v>509</v>
      </c>
      <c r="C4" s="370"/>
      <c r="D4" s="370"/>
      <c r="E4" s="370"/>
      <c r="F4" s="370"/>
      <c r="G4" s="370"/>
      <c r="H4" s="370"/>
      <c r="I4" s="389"/>
      <c r="J4" s="389"/>
      <c r="K4" s="389"/>
      <c r="L4" s="389"/>
      <c r="M4" s="389"/>
      <c r="N4" s="389"/>
      <c r="O4" s="389"/>
      <c r="P4" s="389"/>
      <c r="Q4" s="389"/>
      <c r="R4" s="389"/>
      <c r="S4" s="389"/>
      <c r="U4" s="23"/>
      <c r="V4" s="574" t="s">
        <v>634</v>
      </c>
      <c r="W4" s="575"/>
      <c r="X4" s="575"/>
      <c r="Y4" s="576"/>
      <c r="Z4" s="574" t="s">
        <v>156</v>
      </c>
      <c r="AA4" s="575"/>
      <c r="AB4" s="575"/>
      <c r="AC4" s="576"/>
    </row>
    <row r="5" spans="2:33">
      <c r="B5" s="185"/>
      <c r="C5" s="8"/>
      <c r="D5" s="8"/>
      <c r="E5" s="8"/>
      <c r="F5" s="8"/>
      <c r="G5" s="8"/>
      <c r="H5" s="8"/>
      <c r="I5" s="112"/>
      <c r="J5" s="158"/>
      <c r="K5" s="112"/>
      <c r="L5" s="112"/>
      <c r="M5" s="112"/>
      <c r="N5" s="112"/>
      <c r="O5" s="112"/>
      <c r="P5" s="112"/>
      <c r="Q5" s="112"/>
      <c r="R5" s="112"/>
      <c r="S5" s="158"/>
      <c r="T5" s="158"/>
      <c r="U5" s="33"/>
      <c r="V5" s="23" t="s">
        <v>515</v>
      </c>
      <c r="W5" s="23" t="s">
        <v>124</v>
      </c>
      <c r="X5" s="23" t="s">
        <v>125</v>
      </c>
      <c r="Y5" s="23" t="s">
        <v>126</v>
      </c>
      <c r="Z5" s="23" t="s">
        <v>515</v>
      </c>
      <c r="AA5" s="23" t="s">
        <v>124</v>
      </c>
      <c r="AB5" s="23" t="s">
        <v>125</v>
      </c>
      <c r="AC5" s="23" t="s">
        <v>126</v>
      </c>
    </row>
    <row r="6" spans="2:33" ht="15.75">
      <c r="B6" s="8"/>
      <c r="C6" s="373" t="s">
        <v>142</v>
      </c>
      <c r="D6" s="286" t="s">
        <v>124</v>
      </c>
      <c r="E6" s="286" t="s">
        <v>125</v>
      </c>
      <c r="F6" s="286" t="s">
        <v>126</v>
      </c>
      <c r="G6" s="130"/>
      <c r="H6" s="112"/>
      <c r="I6" s="112"/>
      <c r="J6" s="158"/>
      <c r="K6" s="112"/>
      <c r="L6" s="112"/>
      <c r="M6" s="112"/>
      <c r="N6" s="112"/>
      <c r="O6" s="112"/>
      <c r="P6" s="112"/>
      <c r="Q6" s="112"/>
      <c r="R6" s="112"/>
      <c r="S6" s="158"/>
      <c r="T6" s="158"/>
      <c r="U6" s="379" t="s">
        <v>59</v>
      </c>
      <c r="V6" s="252" t="e">
        <f>'Diversion (option 1)'!$E$95</f>
        <v>#DIV/0!</v>
      </c>
      <c r="W6" s="252" t="e">
        <f>IF(AND('Diversion (option 1)'!$C$112&gt;0,'Diversion (option 1)'!$C$114&gt;0),'Diversion (option 1)'!$G$95-(0.5*'Diversion (option 1)'!$C$112),'Diversion (option 1)'!$G$95)</f>
        <v>#DIV/0!</v>
      </c>
      <c r="X6" s="252" t="e">
        <f>IF(AND('Diversion (option 2)'!$C$112&gt;0,'Diversion (option 2)'!$C$114&gt;0),'Diversion (option 2)'!$G$95-(0.5*'Diversion (option 2)'!$C$112),'Diversion (option 2)'!$G$95)</f>
        <v>#DIV/0!</v>
      </c>
      <c r="Y6" s="252" t="e">
        <f>IF(AND('Diversion (option 3)'!$C$112&gt;0,'Diversion (option 3)'!$C$114&gt;0),'Diversion (option 3)'!$G$95-(0.5*'Diversion (option 3)'!$C$112),'Diversion (option 3)'!$G$95)</f>
        <v>#DIV/0!</v>
      </c>
      <c r="Z6" s="252" t="e">
        <f>'Diversion (option 1)'!$E$95</f>
        <v>#DIV/0!</v>
      </c>
      <c r="AA6" s="252" t="e">
        <f>IF(AND('Diversion (option 1)'!$D$112&gt;0,'Diversion (option 1)'!$D$113&gt;0),'Diversion (option 1)'!$G$95-(0.5*'Diversion (option 1)'!$D$112),'Diversion (option 1)'!$G$95)</f>
        <v>#DIV/0!</v>
      </c>
      <c r="AB6" s="252" t="e">
        <f>IF(AND('Diversion (option 2)'!$D$112&gt;0,'Diversion (option 2)'!$D$113&gt;0),'Diversion (option 2)'!$G$95-(0.5*'Diversion (option 2)'!$D$112),'Diversion (option 2)'!$G$95)</f>
        <v>#DIV/0!</v>
      </c>
      <c r="AC6" s="252" t="e">
        <f>IF(AND('Diversion (option 3)'!$D$112&gt;0,'Diversion (option 3)'!$D$113&gt;0),'Diversion (option 3)'!$G$95-(0.5*'Diversion (option 3)'!$D$112),'Diversion (option 3)'!$G$95)</f>
        <v>#DIV/0!</v>
      </c>
    </row>
    <row r="7" spans="2:33" ht="15.75">
      <c r="B7" s="286" t="s">
        <v>145</v>
      </c>
      <c r="C7" s="476">
        <f>'Project details'!C17</f>
        <v>0</v>
      </c>
      <c r="D7" s="476">
        <f>IF(Option1="No","",'Project details'!D17)</f>
        <v>0</v>
      </c>
      <c r="E7" s="476">
        <f>IF(Option2="No","",'Project details'!E17)</f>
        <v>0</v>
      </c>
      <c r="F7" s="476">
        <f>IF(Option3="No","",'Project details'!F17)</f>
        <v>0</v>
      </c>
      <c r="G7" s="180"/>
      <c r="H7" s="108"/>
      <c r="I7" s="112"/>
      <c r="J7" s="158"/>
      <c r="K7" s="112"/>
      <c r="L7" s="112"/>
      <c r="M7" s="112"/>
      <c r="N7" s="112"/>
      <c r="O7" s="112"/>
      <c r="P7" s="112"/>
      <c r="Q7" s="112"/>
      <c r="R7" s="112"/>
      <c r="S7" s="158"/>
      <c r="T7" s="158"/>
      <c r="U7" s="379" t="s">
        <v>372</v>
      </c>
      <c r="V7" s="368">
        <v>0</v>
      </c>
      <c r="W7" s="368">
        <v>0</v>
      </c>
      <c r="X7" s="368">
        <v>0</v>
      </c>
      <c r="Y7" s="368">
        <v>0</v>
      </c>
      <c r="Z7" s="252">
        <f>'Diversion (option 1)'!$D$100</f>
        <v>0</v>
      </c>
      <c r="AA7" s="252">
        <f>'Diversion (option 1)'!$F$100</f>
        <v>0</v>
      </c>
      <c r="AB7" s="252">
        <f>'Diversion (option 2)'!$F$100</f>
        <v>0</v>
      </c>
      <c r="AC7" s="252">
        <f>'Diversion (option 3)'!$F$100</f>
        <v>0</v>
      </c>
    </row>
    <row r="8" spans="2:33" ht="15.75">
      <c r="B8" s="371" t="s">
        <v>146</v>
      </c>
      <c r="C8" s="372">
        <f>'Project details'!C18</f>
        <v>0</v>
      </c>
      <c r="D8" s="372">
        <f>IF(Option1="No","",'Project details'!D18)</f>
        <v>0</v>
      </c>
      <c r="E8" s="372">
        <f>IF(Option2="No","",'Project details'!E18)</f>
        <v>0</v>
      </c>
      <c r="F8" s="372">
        <f>IF(Option3="No","",'Project details'!F18)</f>
        <v>0</v>
      </c>
      <c r="G8" s="181"/>
      <c r="H8" s="129"/>
      <c r="I8" s="112"/>
      <c r="J8" s="158"/>
      <c r="K8" s="112"/>
      <c r="L8" s="112"/>
      <c r="M8" s="112"/>
      <c r="N8" s="112"/>
      <c r="O8" s="112"/>
      <c r="P8" s="112"/>
      <c r="Q8" s="112"/>
      <c r="R8" s="112"/>
      <c r="S8" s="158"/>
      <c r="T8" s="158"/>
      <c r="U8" s="379" t="s">
        <v>140</v>
      </c>
      <c r="V8" s="252">
        <f>'Diversion (option 1)'!$D$106</f>
        <v>0</v>
      </c>
      <c r="W8" s="252">
        <f>'Diversion (option 1)'!$F$106</f>
        <v>0</v>
      </c>
      <c r="X8" s="252">
        <f>'Diversion (option 2)'!$F$106</f>
        <v>0</v>
      </c>
      <c r="Y8" s="252">
        <f>'Diversion (option 3)'!$F$106</f>
        <v>0</v>
      </c>
      <c r="Z8" s="368">
        <v>0</v>
      </c>
      <c r="AA8" s="368">
        <v>0</v>
      </c>
      <c r="AB8" s="368">
        <v>0</v>
      </c>
      <c r="AC8" s="368">
        <v>0</v>
      </c>
    </row>
    <row r="9" spans="2:33">
      <c r="B9" s="286" t="s">
        <v>510</v>
      </c>
      <c r="C9" s="382" t="e">
        <f>(V8*(SUM('Diversion (option 1)'!$I$30:$I$35)/0.75))+(Z8*(SUM('Diversion (option 1)'!$N$30:$N$35)/0.75))</f>
        <v>#DIV/0!</v>
      </c>
      <c r="D9" s="382">
        <f>IF(Option1="No","",IF(W8=0,0,(W8*(SUM('Diversion (option 1)'!$I$171:$I$176)/0.75)))+IF(AA8=0,0,(AA8*(SUM('Diversion (option 1)'!$N$171:$N$176)/0.75))))</f>
        <v>0</v>
      </c>
      <c r="E9" s="382">
        <f>IF(Option2="No","",IF(X8=0,0,(X8*(SUM('Diversion (option 2)'!$I$171:$I$176)/0.75)))+IF(AB8=0,0,(AB8*(SUM('Diversion (option 2)'!$N$171:$N$176)/0.75))))</f>
        <v>0</v>
      </c>
      <c r="F9" s="382">
        <f>IF(Option3="No","",IF(Y8=0,0,(Y8*(SUM('Diversion (option 3)'!$I$171:$I$176)/0.75)))+IF(AC8=0,0,(AC8*(SUM('Diversion (option 3)'!$N$171:$N$176)/0.75))))</f>
        <v>0</v>
      </c>
      <c r="G9" s="202"/>
      <c r="H9" s="108"/>
      <c r="I9" s="112"/>
      <c r="J9" s="158"/>
      <c r="K9" s="112"/>
      <c r="L9" s="112"/>
      <c r="M9" s="112"/>
      <c r="N9" s="112"/>
      <c r="O9" s="112"/>
      <c r="P9" s="112"/>
      <c r="Q9" s="112"/>
      <c r="R9" s="112"/>
      <c r="S9" s="158"/>
      <c r="T9" s="158"/>
      <c r="U9" s="33" t="s">
        <v>11</v>
      </c>
      <c r="V9" s="381" t="e">
        <f>SUM(V6:V8)</f>
        <v>#DIV/0!</v>
      </c>
      <c r="W9" s="381" t="e">
        <f t="shared" ref="W9:AC9" si="0">SUM(W6:W8)</f>
        <v>#DIV/0!</v>
      </c>
      <c r="X9" s="381" t="e">
        <f t="shared" si="0"/>
        <v>#DIV/0!</v>
      </c>
      <c r="Y9" s="381" t="e">
        <f t="shared" si="0"/>
        <v>#DIV/0!</v>
      </c>
      <c r="Z9" s="381" t="e">
        <f t="shared" si="0"/>
        <v>#DIV/0!</v>
      </c>
      <c r="AA9" s="381" t="e">
        <f t="shared" si="0"/>
        <v>#DIV/0!</v>
      </c>
      <c r="AB9" s="381" t="e">
        <f t="shared" si="0"/>
        <v>#DIV/0!</v>
      </c>
      <c r="AC9" s="381" t="e">
        <f t="shared" si="0"/>
        <v>#DIV/0!</v>
      </c>
    </row>
    <row r="11" spans="2:33" s="8" customFormat="1">
      <c r="B11" s="369" t="s">
        <v>511</v>
      </c>
      <c r="C11" s="370"/>
      <c r="D11" s="370"/>
      <c r="E11" s="370"/>
      <c r="F11" s="370"/>
      <c r="G11" s="370"/>
      <c r="H11" s="370"/>
      <c r="I11" s="370"/>
      <c r="J11" s="370"/>
      <c r="K11" s="370"/>
      <c r="L11" s="370"/>
      <c r="M11" s="370"/>
      <c r="N11" s="370"/>
      <c r="O11" s="370"/>
      <c r="P11" s="370"/>
      <c r="Q11" s="370"/>
      <c r="R11" s="370"/>
      <c r="S11" s="370"/>
      <c r="AG11" s="109" t="s">
        <v>46</v>
      </c>
    </row>
    <row r="12" spans="2:33" s="8" customFormat="1">
      <c r="B12" s="185"/>
      <c r="AG12" s="108"/>
    </row>
    <row r="13" spans="2:33" s="8" customFormat="1">
      <c r="C13" s="373" t="s">
        <v>142</v>
      </c>
      <c r="D13" s="286" t="s">
        <v>124</v>
      </c>
      <c r="E13" s="286" t="s">
        <v>125</v>
      </c>
      <c r="F13" s="286" t="s">
        <v>126</v>
      </c>
      <c r="G13" s="112"/>
    </row>
    <row r="14" spans="2:33" s="8" customFormat="1">
      <c r="B14" s="286" t="s">
        <v>145</v>
      </c>
      <c r="C14" s="378">
        <f>'Project details'!C25</f>
        <v>0</v>
      </c>
      <c r="D14" s="378">
        <f>IF(Option1="No","",'Project details'!D25)</f>
        <v>0</v>
      </c>
      <c r="E14" s="378">
        <f>IF(Option2="No","",'Project details'!E25)</f>
        <v>0</v>
      </c>
      <c r="F14" s="378">
        <f>IF(Option3="No","",'Project details'!F25)</f>
        <v>0</v>
      </c>
      <c r="G14" s="108"/>
    </row>
    <row r="15" spans="2:33" s="8" customFormat="1">
      <c r="B15" s="287" t="s">
        <v>502</v>
      </c>
      <c r="C15" s="378">
        <f>'Project details'!C26</f>
        <v>0</v>
      </c>
      <c r="D15" s="378">
        <f>IF(Option1="No","",'Project details'!D26)</f>
        <v>0</v>
      </c>
      <c r="E15" s="378">
        <f>IF(Option2="No","",'Project details'!E26)</f>
        <v>0</v>
      </c>
      <c r="F15" s="378">
        <f>IF(Option3="No","",'Project details'!F26)</f>
        <v>0</v>
      </c>
      <c r="G15" s="129"/>
    </row>
    <row r="16" spans="2:33" s="8" customFormat="1">
      <c r="B16" s="286" t="s">
        <v>537</v>
      </c>
      <c r="C16" s="382" t="e">
        <f>(V7*(SUM('Diversion (option 1)'!$I$30:$I$35)/0.75))+(Z7*(SUM('Diversion (option 1)'!$N$30:$N$35)/0.75))</f>
        <v>#DIV/0!</v>
      </c>
      <c r="D16" s="382">
        <f>IF(Option1="No","",IF(W7=0,0,(W7*(SUM('Diversion (option 1)'!$I$171:$I$176)/0.75)))+IF(AA7=0,0,(AA7*(SUM('Diversion (option 1)'!$N$171:$N$176)/0.75))))</f>
        <v>0</v>
      </c>
      <c r="E16" s="382">
        <f>IF(Option2="No","",IF(X7=0,0,(X7*(SUM('Diversion (option 2)'!$I$171:$I$176)/0.75)))+IF(AB7=0,0,(AB7*(SUM('Diversion (option 2)'!$N$171:$N$176)/0.75))))</f>
        <v>0</v>
      </c>
      <c r="F16" s="382">
        <f>IF(Option3="No","",IF(Y7=0,0,(Y7*(SUM('Diversion (option 3)'!$I$171:$I$176)/0.75)))+IF(AC7=0,0,(AC7*(SUM('Diversion (option 3)'!$N$171:$N$176)/0.75))))</f>
        <v>0</v>
      </c>
      <c r="G16" s="183"/>
    </row>
    <row r="17" spans="2:24" s="8" customFormat="1">
      <c r="B17" s="112"/>
      <c r="C17" s="228"/>
      <c r="D17" s="183"/>
      <c r="E17" s="183"/>
      <c r="F17" s="183"/>
      <c r="G17" s="183"/>
    </row>
    <row r="18" spans="2:24" s="8" customFormat="1">
      <c r="B18" s="369" t="s">
        <v>520</v>
      </c>
      <c r="C18" s="392"/>
      <c r="D18" s="393"/>
      <c r="E18" s="393"/>
      <c r="F18" s="393"/>
      <c r="G18" s="393"/>
      <c r="H18" s="370"/>
      <c r="I18" s="370"/>
      <c r="J18" s="370"/>
      <c r="K18" s="370"/>
      <c r="L18" s="370"/>
      <c r="M18" s="370"/>
      <c r="N18" s="370"/>
      <c r="O18" s="370"/>
      <c r="P18" s="370"/>
      <c r="Q18" s="370"/>
      <c r="R18" s="370"/>
      <c r="S18" s="370"/>
    </row>
    <row r="20" spans="2:24">
      <c r="G20" s="286" t="s">
        <v>130</v>
      </c>
      <c r="H20" s="383" t="s">
        <v>124</v>
      </c>
      <c r="I20" s="384"/>
      <c r="J20" s="384"/>
      <c r="K20" s="385"/>
      <c r="L20" s="383" t="s">
        <v>125</v>
      </c>
      <c r="M20" s="384"/>
      <c r="N20" s="384"/>
      <c r="O20" s="385"/>
      <c r="P20" s="383" t="s">
        <v>126</v>
      </c>
      <c r="Q20" s="384"/>
      <c r="R20" s="384"/>
      <c r="S20" s="385"/>
      <c r="T20" s="112"/>
    </row>
    <row r="21" spans="2:24">
      <c r="G21" s="286" t="s">
        <v>513</v>
      </c>
      <c r="H21" s="383" t="s">
        <v>516</v>
      </c>
      <c r="I21" s="385"/>
      <c r="J21" s="383" t="s">
        <v>512</v>
      </c>
      <c r="K21" s="385"/>
      <c r="L21" s="383" t="s">
        <v>516</v>
      </c>
      <c r="M21" s="385"/>
      <c r="N21" s="383" t="s">
        <v>512</v>
      </c>
      <c r="O21" s="385"/>
      <c r="P21" s="383" t="s">
        <v>516</v>
      </c>
      <c r="Q21" s="385"/>
      <c r="R21" s="383" t="s">
        <v>512</v>
      </c>
      <c r="S21" s="385"/>
      <c r="T21" s="112"/>
    </row>
    <row r="22" spans="2:24" ht="75.75" customHeight="1">
      <c r="B22" s="287" t="s">
        <v>304</v>
      </c>
      <c r="C22" s="386" t="s">
        <v>305</v>
      </c>
      <c r="D22" s="287" t="s">
        <v>307</v>
      </c>
      <c r="E22" s="287" t="s">
        <v>508</v>
      </c>
      <c r="F22" s="386" t="s">
        <v>306</v>
      </c>
      <c r="G22" s="287" t="s">
        <v>519</v>
      </c>
      <c r="H22" s="388" t="s">
        <v>517</v>
      </c>
      <c r="I22" s="287" t="s">
        <v>504</v>
      </c>
      <c r="J22" s="388" t="s">
        <v>518</v>
      </c>
      <c r="K22" s="287" t="s">
        <v>519</v>
      </c>
      <c r="L22" s="388" t="s">
        <v>517</v>
      </c>
      <c r="M22" s="287" t="s">
        <v>504</v>
      </c>
      <c r="N22" s="388" t="s">
        <v>518</v>
      </c>
      <c r="O22" s="287" t="s">
        <v>519</v>
      </c>
      <c r="P22" s="388" t="s">
        <v>517</v>
      </c>
      <c r="Q22" s="287" t="s">
        <v>504</v>
      </c>
      <c r="R22" s="388" t="s">
        <v>518</v>
      </c>
      <c r="S22" s="287" t="s">
        <v>519</v>
      </c>
      <c r="T22" s="158"/>
      <c r="V22" s="14"/>
      <c r="W22" s="14"/>
      <c r="X22" s="14"/>
    </row>
    <row r="23" spans="2:24">
      <c r="B23" s="387" t="str">
        <f>IF(ISBLANK('Route capacity parameters'!B17),"",'Route capacity parameters'!B17)</f>
        <v/>
      </c>
      <c r="C23" s="387" t="str">
        <f>IF(ISBLANK('Route capacity parameters'!C17),"",'Route capacity parameters'!C17)</f>
        <v/>
      </c>
      <c r="D23" s="387" t="str">
        <f>IF(ISBLANK('Route capacity parameters'!D17),"",'Route capacity parameters'!D17)</f>
        <v/>
      </c>
      <c r="E23" s="387" t="str">
        <f>IF(ISBLANK('Route capacity parameters'!E17),"",'Route capacity parameters'!E17)</f>
        <v/>
      </c>
      <c r="F23" s="387" t="str">
        <f>IF(ISBLANK('Route capacity parameters'!F17),"",'Route capacity parameters'!F17)</f>
        <v/>
      </c>
      <c r="G23" s="376" t="str">
        <f>IF(B23="","",(IF(VLOOKUP($C23,'Project details'!$B$34:$J$37,2,FALSE)="Yes",VLOOKUP($C23,'Project details'!$B$34:$J$37,3,FALSE),0)*$F23)-(IF($V$6=0,0,(($V$6*(SUM('Diversion (option 1)'!$I$30:$I$35)/0.75)))+IF($Z$6=0,0,($Z$6*(SUM('Diversion (option 1)'!$N$30:$N$35)/0.75)))*$V23)))</f>
        <v/>
      </c>
      <c r="H23" s="376" t="str">
        <f>IF(Option1="No","",IF($B23="","",('Route capacity parameters'!$H17+('Patronage summary'!$E$27*$V23))-'Route capacity parameters'!$H17))</f>
        <v/>
      </c>
      <c r="I23" s="377" t="str">
        <f>IF(Option1="No","",IF($B23="","",'Route capacity parameters'!$I17-'Capacity check'!H23/$F23))</f>
        <v/>
      </c>
      <c r="J23" s="376" t="str">
        <f>IF(Option1="No","",IF($B23="","",(IF($W$6=0,0,($W$6*(SUM('Diversion (option 1)'!$I$171:$I$176)/0.75)))+IF($AA$6=0,0,($AA$6*(SUM('Diversion (option 1)'!$N$171:$N$176)/0.75))))*$V23))</f>
        <v/>
      </c>
      <c r="K23" s="391" t="str">
        <f>IF(Option1="No","",IF(B23="","",(IF(VLOOKUP($C23,'Project details'!$B$34:$J$37,4,FALSE)="Yes",VLOOKUP($C23,'Project details'!$B$34:$J$37,5,FALSE),0)*$F23)-(IF($W$6=0,0,(($W$6*(SUM('Diversion (option 1)'!$I$30:$I$35)/0.75)))+IF($AA$6=0,0,($AA$6*(SUM('Diversion (option 1)'!$N$30:$N$35)/0.75)))*$V23))))</f>
        <v/>
      </c>
      <c r="L23" s="376" t="str">
        <f>IF(Option2="No","",IF($B23="","",('Route capacity parameters'!$H17+('Patronage summary'!$E$41*$V23))-'Route capacity parameters'!$H17))</f>
        <v/>
      </c>
      <c r="M23" s="377" t="str">
        <f>IF(Option2="No","",IF($B23="","",'Route capacity parameters'!$I17-'Capacity check'!L23/$F23))</f>
        <v/>
      </c>
      <c r="N23" s="376" t="str">
        <f>IF(Option2="No","",IF($B23="","",(IF($X$6=0,0,($X$6*(SUM('Diversion (option 2)'!$I$171:$I$176)/0.75)))+IF($AB$6=0,0,($AB$6*(SUM('Diversion (option 2)'!$N$171:$N$176)/0.75))))*$V23))</f>
        <v/>
      </c>
      <c r="O23" s="391" t="str">
        <f>IF(Option2="No","",IF(B23="","",(IF(VLOOKUP($C23,'Project details'!$B$34:$J$37,6,FALSE)="Yes",VLOOKUP($C23,'Project details'!$B$34:$J$37,7,FALSE),0)*$F23)-(IF($X$6=0,0,(($X$6*(SUM('Diversion (option 2)'!$I$30:$I$35)/0.75)))+IF($AB$6=0,0,($AB$6*(SUM('Diversion (option 2)'!$N$30:$N$35)/0.75)))*$V23))))</f>
        <v/>
      </c>
      <c r="P23" s="376" t="str">
        <f>IF(Option3="No","",IF($B23="","",('Route capacity parameters'!$H17+('Patronage summary'!$E$55*$V23))-'Route capacity parameters'!$H17))</f>
        <v/>
      </c>
      <c r="Q23" s="377" t="str">
        <f>IF(Option3="No","",IF($B23="","",'Route capacity parameters'!$I17-'Capacity check'!P23/$F23))</f>
        <v/>
      </c>
      <c r="R23" s="376" t="str">
        <f>IF(Option3="No","",IF($B23="","",(IF($Y$6=0,0,($Y$6*(SUM('Diversion (option 3)'!$I$171:$I$176)/0.75)))+IF($AC$6=0,0,($AC$6*(SUM('Diversion (option 3)'!$N$171:$N$176)/0.75))))*$V23))</f>
        <v/>
      </c>
      <c r="S23" s="391" t="str">
        <f>IF(Option3="No","",IF(F23="","",(IF(VLOOKUP($C23,'Project details'!$B$34:$J$37,8,FALSE)="Yes",VLOOKUP($C23,'Project details'!$B$34:$J$37,9,FALSE),0)*$F23)-(IF($Z$6=0,0,(($Z$6*(SUM('Diversion (option 3)'!$I$30:$I$35)/0.75)))+IF($AC$6=0,0,($AC$6*(SUM('Diversion (option 3)'!$N$30:$N$35)/0.75)))*$V23))))</f>
        <v/>
      </c>
      <c r="T23" s="154"/>
      <c r="V23" s="375" t="e">
        <f>('Route capacity parameters'!H17/'Station parameters'!$E$49)*VLOOKUP($C23,'Route capacity parameters'!$B$9:$C$12,2,FALSE)</f>
        <v>#DIV/0!</v>
      </c>
      <c r="W23" s="474"/>
      <c r="X23" s="475"/>
    </row>
    <row r="24" spans="2:24">
      <c r="B24" s="387" t="str">
        <f>IF(ISBLANK('Route capacity parameters'!B18),"",'Route capacity parameters'!B18)</f>
        <v/>
      </c>
      <c r="C24" s="387" t="str">
        <f>IF(ISBLANK('Route capacity parameters'!C18),"",'Route capacity parameters'!C18)</f>
        <v/>
      </c>
      <c r="D24" s="387" t="str">
        <f>IF(ISBLANK('Route capacity parameters'!D18),"",'Route capacity parameters'!D18)</f>
        <v/>
      </c>
      <c r="E24" s="387" t="str">
        <f>IF(ISBLANK('Route capacity parameters'!E18),"",'Route capacity parameters'!E18)</f>
        <v/>
      </c>
      <c r="F24" s="387" t="str">
        <f>IF(ISBLANK('Route capacity parameters'!F18),"",'Route capacity parameters'!F18)</f>
        <v/>
      </c>
      <c r="G24" s="376" t="str">
        <f>IF(B24="","",(IF(VLOOKUP($C24,'Project details'!$B$34:$J$37,2,FALSE)="Yes",VLOOKUP($C24,'Project details'!$B$34:$J$37,3,FALSE),0)*$F24)-(IF($V$6=0,0,(($V$6*(SUM('Diversion (option 1)'!$I$30:$I$35)/0.75)))+IF($Z$6=0,0,($Z$6*(SUM('Diversion (option 1)'!$N$30:$N$35)/0.75)))*$V24)))</f>
        <v/>
      </c>
      <c r="H24" s="376" t="str">
        <f>IF(Option1="No","",IF(B24="","",('Route capacity parameters'!H18+('Patronage summary'!$E$27*V24))-'Route capacity parameters'!H18))</f>
        <v/>
      </c>
      <c r="I24" s="377" t="str">
        <f>IF(Option1="No","",IF(B24="","",'Route capacity parameters'!I18-'Capacity check'!H24/F24))</f>
        <v/>
      </c>
      <c r="J24" s="376" t="str">
        <f>IF(Option1="No","",IF($B24="","",(IF($W$6=0,0,($W$6*(SUM('Diversion (option 1)'!$I$171:$I$176)/0.75)))+IF($AA$6=0,0,($AA$6*(SUM('Diversion (option 1)'!$N$171:$N$176)/0.75))))*$V24))</f>
        <v/>
      </c>
      <c r="K24" s="391" t="str">
        <f>IF(Option1="No","",IF(B24="","",(IF(VLOOKUP($C24,'Project details'!$B$34:$J$37,4,FALSE)="Yes",VLOOKUP($C24,'Project details'!$B$34:$J$37,5,FALSE),0)*$F24)-(IF($W$6=0,0,(($W$6*(SUM('Diversion (option 1)'!$I$30:$I$35)/0.75)))+IF($AA$6=0,0,($AA$6*(SUM('Diversion (option 1)'!$N$30:$N$35)/0.75)))*$V24))))</f>
        <v/>
      </c>
      <c r="L24" s="376" t="str">
        <f>IF(Option2="No","",IF($B24="","",('Route capacity parameters'!$H18+('Patronage summary'!$E$41*$V24))-'Route capacity parameters'!$H18))</f>
        <v/>
      </c>
      <c r="M24" s="377" t="str">
        <f>IF(Option2="No","",IF($B24="","",'Route capacity parameters'!$I18-'Capacity check'!L24/$F24))</f>
        <v/>
      </c>
      <c r="N24" s="376" t="str">
        <f>IF(Option2="No","",IF($B24="","",(IF($X$6=0,0,($X$6*(SUM('Diversion (option 2)'!$I$171:$I$176)/0.75)))+IF($AB$6=0,0,($AB$6*(SUM('Diversion (option 2)'!$N$171:$N$176)/0.75))))*$V24))</f>
        <v/>
      </c>
      <c r="O24" s="391" t="str">
        <f>IF(Option2="No","",IF(B24="","",(IF(VLOOKUP($C24,'Project details'!$B$34:$J$37,6,FALSE)="Yes",VLOOKUP($C24,'Project details'!$B$34:$J$37,7,FALSE),0)*$F24)-(IF($X$6=0,0,(($X$6*(SUM('Diversion (option 2)'!$I$30:$I$35)/0.75)))+IF($AB$6=0,0,($AB$6*(SUM('Diversion (option 2)'!$N$30:$N$35)/0.75)))*$V24))))</f>
        <v/>
      </c>
      <c r="P24" s="376" t="str">
        <f>IF(Option3="No","",IF($B24="","",('Route capacity parameters'!$H18+('Patronage summary'!$E$55*$V24))-'Route capacity parameters'!$H18))</f>
        <v/>
      </c>
      <c r="Q24" s="377" t="str">
        <f>IF(Option3="No","",IF($B24="","",'Route capacity parameters'!$I18-'Capacity check'!P24/$F24))</f>
        <v/>
      </c>
      <c r="R24" s="376" t="str">
        <f>IF(Option3="No","",IF($B24="","",(IF($Y$6=0,0,($Y$6*(SUM('Diversion (option 3)'!$I$171:$I$176)/0.75)))+IF($AC$6=0,0,($AC$6*(SUM('Diversion (option 3)'!$N$171:$N$176)/0.75))))*$V24))</f>
        <v/>
      </c>
      <c r="S24" s="391" t="str">
        <f>IF(Option3="No","",IF(F24="","",(IF(VLOOKUP($C24,'Project details'!$B$34:$J$37,8,FALSE)="Yes",VLOOKUP($C24,'Project details'!$B$34:$J$37,9,FALSE),0)*$F24)-(IF($Z$6=0,0,(($Z$6*(SUM('Diversion (option 3)'!$I$30:$I$35)/0.75)))+IF($AC$6=0,0,($AC$6*(SUM('Diversion (option 3)'!$N$30:$N$35)/0.75)))*$V24))))</f>
        <v/>
      </c>
      <c r="T24" s="154"/>
      <c r="V24" s="375" t="e">
        <f>('Route capacity parameters'!H18/'Station parameters'!$E$49)*VLOOKUP($C24,'Route capacity parameters'!$B$9:$C$12,2,FALSE)</f>
        <v>#DIV/0!</v>
      </c>
      <c r="W24" s="474"/>
      <c r="X24" s="475"/>
    </row>
    <row r="25" spans="2:24">
      <c r="B25" s="387" t="str">
        <f>IF(ISBLANK('Route capacity parameters'!B19),"",'Route capacity parameters'!B19)</f>
        <v/>
      </c>
      <c r="C25" s="387" t="str">
        <f>IF(ISBLANK('Route capacity parameters'!C19),"",'Route capacity parameters'!C19)</f>
        <v/>
      </c>
      <c r="D25" s="387" t="str">
        <f>IF(ISBLANK('Route capacity parameters'!D19),"",'Route capacity parameters'!D19)</f>
        <v/>
      </c>
      <c r="E25" s="387" t="str">
        <f>IF(ISBLANK('Route capacity parameters'!E19),"",'Route capacity parameters'!E19)</f>
        <v/>
      </c>
      <c r="F25" s="387" t="str">
        <f>IF(ISBLANK('Route capacity parameters'!F19),"",'Route capacity parameters'!F19)</f>
        <v/>
      </c>
      <c r="G25" s="376" t="str">
        <f>IF(B25="","",(IF(VLOOKUP($C25,'Project details'!$B$34:$J$37,2,FALSE)="Yes",VLOOKUP($C25,'Project details'!$B$34:$J$37,3,FALSE),0)*$F25)-(IF($V$6=0,0,(($V$6*(SUM('Diversion (option 1)'!$I$30:$I$35)/0.75)))+IF($Z$6=0,0,($Z$6*(SUM('Diversion (option 1)'!$N$30:$N$35)/0.75)))*$V25)))</f>
        <v/>
      </c>
      <c r="H25" s="376" t="str">
        <f>IF(Option1="No","",IF(B25="","",('Route capacity parameters'!H19+('Patronage summary'!$E$27*V25))-'Route capacity parameters'!H19))</f>
        <v/>
      </c>
      <c r="I25" s="377" t="str">
        <f>IF(Option1="No","",IF(B25="","",'Route capacity parameters'!I19-'Capacity check'!H25/F25))</f>
        <v/>
      </c>
      <c r="J25" s="376" t="str">
        <f>IF(Option1="No","",IF($B25="","",(IF($W$6=0,0,($W$6*(SUM('Diversion (option 1)'!$I$171:$I$176)/0.75)))+IF($AA$6=0,0,($AA$6*(SUM('Diversion (option 1)'!$N$171:$N$176)/0.75))))*$V25))</f>
        <v/>
      </c>
      <c r="K25" s="391" t="str">
        <f>IF(Option1="No","",IF(B25="","",(IF(VLOOKUP($C25,'Project details'!$B$34:$J$37,4,FALSE)="Yes",VLOOKUP($C25,'Project details'!$B$34:$J$37,5,FALSE),0)*$F25)-(IF($W$6=0,0,(($W$6*(SUM('Diversion (option 1)'!$I$30:$I$35)/0.75)))+IF($AA$6=0,0,($AA$6*(SUM('Diversion (option 1)'!$N$30:$N$35)/0.75)))*$V25))))</f>
        <v/>
      </c>
      <c r="L25" s="376" t="str">
        <f>IF(Option2="No","",IF($B25="","",('Route capacity parameters'!$H19+('Patronage summary'!$E$41*$V25))-'Route capacity parameters'!$H19))</f>
        <v/>
      </c>
      <c r="M25" s="377" t="str">
        <f>IF(Option2="No","",IF($B25="","",'Route capacity parameters'!$I19-'Capacity check'!L25/$F25))</f>
        <v/>
      </c>
      <c r="N25" s="376" t="str">
        <f>IF(Option2="No","",IF($B25="","",(IF($X$6=0,0,($X$6*(SUM('Diversion (option 2)'!$I$171:$I$176)/0.75)))+IF($AB$6=0,0,($AB$6*(SUM('Diversion (option 2)'!$N$171:$N$176)/0.75))))*$V25))</f>
        <v/>
      </c>
      <c r="O25" s="391" t="str">
        <f>IF(Option2="No","",IF(B25="","",(IF(VLOOKUP($C25,'Project details'!$B$34:$J$37,6,FALSE)="Yes",VLOOKUP($C25,'Project details'!$B$34:$J$37,7,FALSE),0)*$F25)-(IF($X$6=0,0,(($X$6*(SUM('Diversion (option 2)'!$I$30:$I$35)/0.75)))+IF($AB$6=0,0,($AB$6*(SUM('Diversion (option 2)'!$N$30:$N$35)/0.75)))*$V25))))</f>
        <v/>
      </c>
      <c r="P25" s="376" t="str">
        <f>IF(Option3="No","",IF($B25="","",('Route capacity parameters'!$H19+('Patronage summary'!$E$55*$V25))-'Route capacity parameters'!$H19))</f>
        <v/>
      </c>
      <c r="Q25" s="377" t="str">
        <f>IF(Option3="No","",IF($B25="","",'Route capacity parameters'!$I19-'Capacity check'!P25/$F25))</f>
        <v/>
      </c>
      <c r="R25" s="376" t="str">
        <f>IF(Option3="No","",IF($B25="","",(IF($Y$6=0,0,($Y$6*(SUM('Diversion (option 3)'!$I$171:$I$176)/0.75)))+IF($AC$6=0,0,($AC$6*(SUM('Diversion (option 3)'!$N$171:$N$176)/0.75))))*$V25))</f>
        <v/>
      </c>
      <c r="S25" s="391" t="str">
        <f>IF(Option3="No","",IF(F25="","",(IF(VLOOKUP($C25,'Project details'!$B$34:$J$37,8,FALSE)="Yes",VLOOKUP($C25,'Project details'!$B$34:$J$37,9,FALSE),0)*$F25)-(IF($Z$6=0,0,(($Z$6*(SUM('Diversion (option 3)'!$I$30:$I$35)/0.75)))+IF($AC$6=0,0,($AC$6*(SUM('Diversion (option 3)'!$N$30:$N$35)/0.75)))*$V25))))</f>
        <v/>
      </c>
      <c r="T25" s="154"/>
      <c r="V25" s="375" t="e">
        <f>('Route capacity parameters'!H19/'Station parameters'!$E$49)*VLOOKUP($C25,'Route capacity parameters'!$B$9:$C$12,2,FALSE)</f>
        <v>#DIV/0!</v>
      </c>
      <c r="W25" s="474"/>
      <c r="X25" s="475"/>
    </row>
    <row r="26" spans="2:24">
      <c r="B26" s="387" t="str">
        <f>IF(ISBLANK('Route capacity parameters'!B20),"",'Route capacity parameters'!B20)</f>
        <v/>
      </c>
      <c r="C26" s="387" t="str">
        <f>IF(ISBLANK('Route capacity parameters'!C20),"",'Route capacity parameters'!C20)</f>
        <v/>
      </c>
      <c r="D26" s="387" t="str">
        <f>IF(ISBLANK('Route capacity parameters'!D20),"",'Route capacity parameters'!D20)</f>
        <v/>
      </c>
      <c r="E26" s="387" t="str">
        <f>IF(ISBLANK('Route capacity parameters'!E20),"",'Route capacity parameters'!E20)</f>
        <v/>
      </c>
      <c r="F26" s="387" t="str">
        <f>IF(ISBLANK('Route capacity parameters'!F20),"",'Route capacity parameters'!F20)</f>
        <v/>
      </c>
      <c r="G26" s="376" t="str">
        <f>IF(B26="","",(IF(VLOOKUP($C26,'Project details'!$B$34:$J$37,2,FALSE)="Yes",VLOOKUP($C26,'Project details'!$B$34:$J$37,3,FALSE),0)*$F26)-(IF($V$6=0,0,(($V$6*(SUM('Diversion (option 1)'!$I$30:$I$35)/0.75)))+IF($Z$6=0,0,($Z$6*(SUM('Diversion (option 1)'!$N$30:$N$35)/0.75)))*$V26)))</f>
        <v/>
      </c>
      <c r="H26" s="376" t="str">
        <f>IF(Option1="No","",IF(B26="","",('Route capacity parameters'!H20+('Patronage summary'!$E$27*V26))-'Route capacity parameters'!H20))</f>
        <v/>
      </c>
      <c r="I26" s="377" t="str">
        <f>IF(Option1="No","",IF(B26="","",'Route capacity parameters'!I20-'Capacity check'!H26/F26))</f>
        <v/>
      </c>
      <c r="J26" s="376" t="str">
        <f>IF(Option1="No","",IF($B26="","",(IF($W$6=0,0,($W$6*(SUM('Diversion (option 1)'!$I$171:$I$176)/0.75)))+IF($AA$6=0,0,($AA$6*(SUM('Diversion (option 1)'!$N$171:$N$176)/0.75))))*$V26))</f>
        <v/>
      </c>
      <c r="K26" s="391" t="str">
        <f>IF(Option1="No","",IF(B26="","",(IF(VLOOKUP($C26,'Project details'!$B$34:$J$37,4,FALSE)="Yes",VLOOKUP($C26,'Project details'!$B$34:$J$37,5,FALSE),0)*$F26)-(IF($W$6=0,0,(($W$6*(SUM('Diversion (option 1)'!$I$30:$I$35)/0.75)))+IF($AA$6=0,0,($AA$6*(SUM('Diversion (option 1)'!$N$30:$N$35)/0.75)))*$V26))))</f>
        <v/>
      </c>
      <c r="L26" s="376" t="str">
        <f>IF(Option2="No","",IF($B26="","",('Route capacity parameters'!$H20+('Patronage summary'!$E$41*$V26))-'Route capacity parameters'!$H20))</f>
        <v/>
      </c>
      <c r="M26" s="377" t="str">
        <f>IF(Option2="No","",IF($B26="","",'Route capacity parameters'!$I20-'Capacity check'!L26/$F26))</f>
        <v/>
      </c>
      <c r="N26" s="376" t="str">
        <f>IF(Option2="No","",IF($B26="","",(IF($X$6=0,0,($X$6*(SUM('Diversion (option 2)'!$I$171:$I$176)/0.75)))+IF($AB$6=0,0,($AB$6*(SUM('Diversion (option 2)'!$N$171:$N$176)/0.75))))*$V26))</f>
        <v/>
      </c>
      <c r="O26" s="391" t="str">
        <f>IF(Option2="No","",IF(B26="","",(IF(VLOOKUP($C26,'Project details'!$B$34:$J$37,6,FALSE)="Yes",VLOOKUP($C26,'Project details'!$B$34:$J$37,7,FALSE),0)*$F26)-(IF($X$6=0,0,(($X$6*(SUM('Diversion (option 2)'!$I$30:$I$35)/0.75)))+IF($AB$6=0,0,($AB$6*(SUM('Diversion (option 2)'!$N$30:$N$35)/0.75)))*$V26))))</f>
        <v/>
      </c>
      <c r="P26" s="376" t="str">
        <f>IF(Option3="No","",IF($B26="","",('Route capacity parameters'!$H20+('Patronage summary'!$E$55*$V26))-'Route capacity parameters'!$H20))</f>
        <v/>
      </c>
      <c r="Q26" s="377" t="str">
        <f>IF(Option3="No","",IF($B26="","",'Route capacity parameters'!$I20-'Capacity check'!P26/$F26))</f>
        <v/>
      </c>
      <c r="R26" s="376" t="str">
        <f>IF(Option3="No","",IF($B26="","",(IF($Y$6=0,0,($Y$6*(SUM('Diversion (option 3)'!$I$171:$I$176)/0.75)))+IF($AC$6=0,0,($AC$6*(SUM('Diversion (option 3)'!$N$171:$N$176)/0.75))))*$V26))</f>
        <v/>
      </c>
      <c r="S26" s="391" t="str">
        <f>IF(Option3="No","",IF(F26="","",(IF(VLOOKUP($C26,'Project details'!$B$34:$J$37,8,FALSE)="Yes",VLOOKUP($C26,'Project details'!$B$34:$J$37,9,FALSE),0)*$F26)-(IF($Z$6=0,0,(($Z$6*(SUM('Diversion (option 3)'!$I$30:$I$35)/0.75)))+IF($AC$6=0,0,($AC$6*(SUM('Diversion (option 3)'!$N$30:$N$35)/0.75)))*$V26))))</f>
        <v/>
      </c>
      <c r="T26" s="154"/>
      <c r="V26" s="375" t="e">
        <f>('Route capacity parameters'!H20/'Station parameters'!$E$49)*VLOOKUP($C26,'Route capacity parameters'!$B$9:$C$12,2,FALSE)</f>
        <v>#DIV/0!</v>
      </c>
      <c r="W26" s="474"/>
      <c r="X26" s="475"/>
    </row>
    <row r="27" spans="2:24">
      <c r="B27" s="387" t="str">
        <f>IF(ISBLANK('Route capacity parameters'!B21),"",'Route capacity parameters'!B21)</f>
        <v/>
      </c>
      <c r="C27" s="387" t="str">
        <f>IF(ISBLANK('Route capacity parameters'!C21),"",'Route capacity parameters'!C21)</f>
        <v/>
      </c>
      <c r="D27" s="387" t="str">
        <f>IF(ISBLANK('Route capacity parameters'!D21),"",'Route capacity parameters'!D21)</f>
        <v/>
      </c>
      <c r="E27" s="387" t="str">
        <f>IF(ISBLANK('Route capacity parameters'!E21),"",'Route capacity parameters'!E21)</f>
        <v/>
      </c>
      <c r="F27" s="387" t="str">
        <f>IF(ISBLANK('Route capacity parameters'!F21),"",'Route capacity parameters'!F21)</f>
        <v/>
      </c>
      <c r="G27" s="376" t="str">
        <f>IF(B27="","",(IF(VLOOKUP($C27,'Project details'!$B$34:$J$37,2,FALSE)="Yes",VLOOKUP($C27,'Project details'!$B$34:$J$37,3,FALSE),0)*$F27)-(IF($V$6=0,0,(($V$6*(SUM('Diversion (option 1)'!$I$30:$I$35)/0.75)))+IF($Z$6=0,0,($Z$6*(SUM('Diversion (option 1)'!$N$30:$N$35)/0.75)))*$V27)))</f>
        <v/>
      </c>
      <c r="H27" s="376" t="str">
        <f>IF(Option1="No","",IF(B27="","",('Route capacity parameters'!H21+('Patronage summary'!$E$27*V27))-'Route capacity parameters'!H21))</f>
        <v/>
      </c>
      <c r="I27" s="377" t="str">
        <f>IF(Option1="No","",IF(B27="","",'Route capacity parameters'!I21-'Capacity check'!H27/F27))</f>
        <v/>
      </c>
      <c r="J27" s="376" t="str">
        <f>IF(Option1="No","",IF($B27="","",(IF($W$6=0,0,($W$6*(SUM('Diversion (option 1)'!$I$171:$I$176)/0.75)))+IF($AA$6=0,0,($AA$6*(SUM('Diversion (option 1)'!$N$171:$N$176)/0.75))))*$V27))</f>
        <v/>
      </c>
      <c r="K27" s="391" t="str">
        <f>IF(Option1="No","",IF(B27="","",(IF(VLOOKUP($C27,'Project details'!$B$34:$J$37,4,FALSE)="Yes",VLOOKUP($C27,'Project details'!$B$34:$J$37,5,FALSE),0)*$F27)-(IF($W$6=0,0,(($W$6*(SUM('Diversion (option 1)'!$I$30:$I$35)/0.75)))+IF($AA$6=0,0,($AA$6*(SUM('Diversion (option 1)'!$N$30:$N$35)/0.75)))*$V27))))</f>
        <v/>
      </c>
      <c r="L27" s="376" t="str">
        <f>IF(Option2="No","",IF($B27="","",('Route capacity parameters'!$H21+('Patronage summary'!$E$41*$V27))-'Route capacity parameters'!$H21))</f>
        <v/>
      </c>
      <c r="M27" s="377" t="str">
        <f>IF(Option2="No","",IF($B27="","",'Route capacity parameters'!$I21-'Capacity check'!L27/$F27))</f>
        <v/>
      </c>
      <c r="N27" s="376" t="str">
        <f>IF(Option2="No","",IF($B27="","",(IF($X$6=0,0,($X$6*(SUM('Diversion (option 2)'!$I$171:$I$176)/0.75)))+IF($AB$6=0,0,($AB$6*(SUM('Diversion (option 2)'!$N$171:$N$176)/0.75))))*$V27))</f>
        <v/>
      </c>
      <c r="O27" s="391" t="str">
        <f>IF(Option2="No","",IF(B27="","",(IF(VLOOKUP($C27,'Project details'!$B$34:$J$37,6,FALSE)="Yes",VLOOKUP($C27,'Project details'!$B$34:$J$37,7,FALSE),0)*$F27)-(IF($X$6=0,0,(($X$6*(SUM('Diversion (option 2)'!$I$30:$I$35)/0.75)))+IF($AB$6=0,0,($AB$6*(SUM('Diversion (option 2)'!$N$30:$N$35)/0.75)))*$V27))))</f>
        <v/>
      </c>
      <c r="P27" s="376" t="str">
        <f>IF(Option3="No","",IF($B27="","",('Route capacity parameters'!$H21+('Patronage summary'!$E$55*$V27))-'Route capacity parameters'!$H21))</f>
        <v/>
      </c>
      <c r="Q27" s="377" t="str">
        <f>IF(Option3="No","",IF($B27="","",'Route capacity parameters'!$I21-'Capacity check'!P27/$F27))</f>
        <v/>
      </c>
      <c r="R27" s="376" t="str">
        <f>IF(Option3="No","",IF($B27="","",(IF($Y$6=0,0,($Y$6*(SUM('Diversion (option 3)'!$I$171:$I$176)/0.75)))+IF($AC$6=0,0,($AC$6*(SUM('Diversion (option 3)'!$N$171:$N$176)/0.75))))*$V27))</f>
        <v/>
      </c>
      <c r="S27" s="391" t="str">
        <f>IF(Option3="No","",IF(F27="","",(IF(VLOOKUP($C27,'Project details'!$B$34:$J$37,8,FALSE)="Yes",VLOOKUP($C27,'Project details'!$B$34:$J$37,9,FALSE),0)*$F27)-(IF($Z$6=0,0,(($Z$6*(SUM('Diversion (option 3)'!$I$30:$I$35)/0.75)))+IF($AC$6=0,0,($AC$6*(SUM('Diversion (option 3)'!$N$30:$N$35)/0.75)))*$V27))))</f>
        <v/>
      </c>
      <c r="T27" s="154"/>
      <c r="V27" s="375" t="e">
        <f>('Route capacity parameters'!H21/'Station parameters'!$E$49)*VLOOKUP($C27,'Route capacity parameters'!$B$9:$C$12,2,FALSE)</f>
        <v>#DIV/0!</v>
      </c>
      <c r="W27" s="474"/>
      <c r="X27" s="475"/>
    </row>
    <row r="28" spans="2:24">
      <c r="B28" s="387" t="str">
        <f>IF(ISBLANK('Route capacity parameters'!B22),"",'Route capacity parameters'!B22)</f>
        <v/>
      </c>
      <c r="C28" s="387" t="str">
        <f>IF(ISBLANK('Route capacity parameters'!C22),"",'Route capacity parameters'!C22)</f>
        <v/>
      </c>
      <c r="D28" s="387" t="str">
        <f>IF(ISBLANK('Route capacity parameters'!D22),"",'Route capacity parameters'!D22)</f>
        <v/>
      </c>
      <c r="E28" s="387" t="str">
        <f>IF(ISBLANK('Route capacity parameters'!E22),"",'Route capacity parameters'!E22)</f>
        <v/>
      </c>
      <c r="F28" s="387" t="str">
        <f>IF(ISBLANK('Route capacity parameters'!F22),"",'Route capacity parameters'!F22)</f>
        <v/>
      </c>
      <c r="G28" s="376" t="str">
        <f>IF(B28="","",(IF(VLOOKUP($C28,'Project details'!$B$34:$J$37,2,FALSE)="Yes",VLOOKUP($C28,'Project details'!$B$34:$J$37,3,FALSE),0)*$F28)-(IF($V$6=0,0,(($V$6*(SUM('Diversion (option 1)'!$I$30:$I$35)/0.75)))+IF($Z$6=0,0,($Z$6*(SUM('Diversion (option 1)'!$N$30:$N$35)/0.75)))*$V28)))</f>
        <v/>
      </c>
      <c r="H28" s="376" t="str">
        <f>IF(Option1="No","",IF(B28="","",('Route capacity parameters'!H22+('Patronage summary'!$E$27*V28))-'Route capacity parameters'!H22))</f>
        <v/>
      </c>
      <c r="I28" s="377" t="str">
        <f>IF(Option1="No","",IF(B28="","",'Route capacity parameters'!I22-'Capacity check'!H28/F28))</f>
        <v/>
      </c>
      <c r="J28" s="376" t="str">
        <f>IF(Option1="No","",IF($B28="","",(IF($W$6=0,0,($W$6*(SUM('Diversion (option 1)'!$I$171:$I$176)/0.75)))+IF($AA$6=0,0,($AA$6*(SUM('Diversion (option 1)'!$N$171:$N$176)/0.75))))*$V28))</f>
        <v/>
      </c>
      <c r="K28" s="391" t="str">
        <f>IF(Option1="No","",IF(B28="","",(IF(VLOOKUP($C28,'Project details'!$B$34:$J$37,4,FALSE)="Yes",VLOOKUP($C28,'Project details'!$B$34:$J$37,5,FALSE),0)*$F28)-(IF($W$6=0,0,(($W$6*(SUM('Diversion (option 1)'!$I$30:$I$35)/0.75)))+IF($AA$6=0,0,($AA$6*(SUM('Diversion (option 1)'!$N$30:$N$35)/0.75)))*$V28))))</f>
        <v/>
      </c>
      <c r="L28" s="376" t="str">
        <f>IF(Option2="No","",IF($B28="","",('Route capacity parameters'!$H22+('Patronage summary'!$E$41*$V28))-'Route capacity parameters'!$H22))</f>
        <v/>
      </c>
      <c r="M28" s="377" t="str">
        <f>IF(Option2="No","",IF($B28="","",'Route capacity parameters'!$I22-'Capacity check'!L28/$F28))</f>
        <v/>
      </c>
      <c r="N28" s="376" t="str">
        <f>IF(Option2="No","",IF($B28="","",(IF($X$6=0,0,($X$6*(SUM('Diversion (option 2)'!$I$171:$I$176)/0.75)))+IF($AB$6=0,0,($AB$6*(SUM('Diversion (option 2)'!$N$171:$N$176)/0.75))))*$V28))</f>
        <v/>
      </c>
      <c r="O28" s="391" t="str">
        <f>IF(Option2="No","",IF(B28="","",(IF(VLOOKUP($C28,'Project details'!$B$34:$J$37,6,FALSE)="Yes",VLOOKUP($C28,'Project details'!$B$34:$J$37,7,FALSE),0)*$F28)-(IF($X$6=0,0,(($X$6*(SUM('Diversion (option 2)'!$I$30:$I$35)/0.75)))+IF($AB$6=0,0,($AB$6*(SUM('Diversion (option 2)'!$N$30:$N$35)/0.75)))*$V28))))</f>
        <v/>
      </c>
      <c r="P28" s="376" t="str">
        <f>IF(Option3="No","",IF($B28="","",('Route capacity parameters'!$H22+('Patronage summary'!$E$55*$V28))-'Route capacity parameters'!$H22))</f>
        <v/>
      </c>
      <c r="Q28" s="377" t="str">
        <f>IF(Option3="No","",IF($B28="","",'Route capacity parameters'!$I22-'Capacity check'!P28/$F28))</f>
        <v/>
      </c>
      <c r="R28" s="376" t="str">
        <f>IF(Option3="No","",IF($B28="","",(IF($Y$6=0,0,($Y$6*(SUM('Diversion (option 3)'!$I$171:$I$176)/0.75)))+IF($AC$6=0,0,($AC$6*(SUM('Diversion (option 3)'!$N$171:$N$176)/0.75))))*$V28))</f>
        <v/>
      </c>
      <c r="S28" s="391" t="str">
        <f>IF(Option3="No","",IF(F28="","",(IF(VLOOKUP($C28,'Project details'!$B$34:$J$37,8,FALSE)="Yes",VLOOKUP($C28,'Project details'!$B$34:$J$37,9,FALSE),0)*$F28)-(IF($Z$6=0,0,(($Z$6*(SUM('Diversion (option 3)'!$I$30:$I$35)/0.75)))+IF($AC$6=0,0,($AC$6*(SUM('Diversion (option 3)'!$N$30:$N$35)/0.75)))*$V28))))</f>
        <v/>
      </c>
      <c r="T28" s="154"/>
      <c r="V28" s="375" t="e">
        <f>('Route capacity parameters'!H22/'Station parameters'!$E$49)*VLOOKUP($C28,'Route capacity parameters'!$B$9:$C$12,2,FALSE)</f>
        <v>#DIV/0!</v>
      </c>
      <c r="W28" s="474"/>
      <c r="X28" s="475"/>
    </row>
    <row r="29" spans="2:24">
      <c r="B29" s="387" t="str">
        <f>IF(ISBLANK('Route capacity parameters'!B23),"",'Route capacity parameters'!B23)</f>
        <v/>
      </c>
      <c r="C29" s="387" t="str">
        <f>IF(ISBLANK('Route capacity parameters'!C23),"",'Route capacity parameters'!C23)</f>
        <v/>
      </c>
      <c r="D29" s="387" t="str">
        <f>IF(ISBLANK('Route capacity parameters'!D23),"",'Route capacity parameters'!D23)</f>
        <v/>
      </c>
      <c r="E29" s="387" t="str">
        <f>IF(ISBLANK('Route capacity parameters'!E23),"",'Route capacity parameters'!E23)</f>
        <v/>
      </c>
      <c r="F29" s="387" t="str">
        <f>IF(ISBLANK('Route capacity parameters'!F23),"",'Route capacity parameters'!F23)</f>
        <v/>
      </c>
      <c r="G29" s="376" t="str">
        <f>IF(B29="","",(IF(VLOOKUP($C29,'Project details'!$B$34:$J$37,2,FALSE)="Yes",VLOOKUP($C29,'Project details'!$B$34:$J$37,3,FALSE),0)*$F29)-(IF($V$6=0,0,(($V$6*(SUM('Diversion (option 1)'!$I$30:$I$35)/0.75)))+IF($Z$6=0,0,($Z$6*(SUM('Diversion (option 1)'!$N$30:$N$35)/0.75)))*$V29)))</f>
        <v/>
      </c>
      <c r="H29" s="376" t="str">
        <f>IF(Option1="No","",IF(B29="","",('Route capacity parameters'!H23+('Patronage summary'!$E$27*V29))-'Route capacity parameters'!H23))</f>
        <v/>
      </c>
      <c r="I29" s="377" t="str">
        <f>IF(Option1="No","",IF(B29="","",'Route capacity parameters'!I23-'Capacity check'!H29/F29))</f>
        <v/>
      </c>
      <c r="J29" s="376" t="str">
        <f>IF(Option1="No","",IF($B29="","",(IF($W$6=0,0,($W$6*(SUM('Diversion (option 1)'!$I$171:$I$176)/0.75)))+IF($AA$6=0,0,($AA$6*(SUM('Diversion (option 1)'!$N$171:$N$176)/0.75))))*$V29))</f>
        <v/>
      </c>
      <c r="K29" s="391" t="str">
        <f>IF(Option1="No","",IF(B29="","",(IF(VLOOKUP($C29,'Project details'!$B$34:$J$37,4,FALSE)="Yes",VLOOKUP($C29,'Project details'!$B$34:$J$37,5,FALSE),0)*$F29)-(IF($W$6=0,0,(($W$6*(SUM('Diversion (option 1)'!$I$30:$I$35)/0.75)))+IF($AA$6=0,0,($AA$6*(SUM('Diversion (option 1)'!$N$30:$N$35)/0.75)))*$V29))))</f>
        <v/>
      </c>
      <c r="L29" s="376" t="str">
        <f>IF(Option2="No","",IF($B29="","",('Route capacity parameters'!$H23+('Patronage summary'!$E$41*$V29))-'Route capacity parameters'!$H23))</f>
        <v/>
      </c>
      <c r="M29" s="377" t="str">
        <f>IF(Option2="No","",IF($B29="","",'Route capacity parameters'!$I23-'Capacity check'!L29/$F29))</f>
        <v/>
      </c>
      <c r="N29" s="376" t="str">
        <f>IF(Option2="No","",IF($B29="","",(IF($X$6=0,0,($X$6*(SUM('Diversion (option 2)'!$I$171:$I$176)/0.75)))+IF($AB$6=0,0,($AB$6*(SUM('Diversion (option 2)'!$N$171:$N$176)/0.75))))*$V29))</f>
        <v/>
      </c>
      <c r="O29" s="391" t="str">
        <f>IF(Option2="No","",IF(B29="","",(IF(VLOOKUP($C29,'Project details'!$B$34:$J$37,6,FALSE)="Yes",VLOOKUP($C29,'Project details'!$B$34:$J$37,7,FALSE),0)*$F29)-(IF($X$6=0,0,(($X$6*(SUM('Diversion (option 2)'!$I$30:$I$35)/0.75)))+IF($AB$6=0,0,($AB$6*(SUM('Diversion (option 2)'!$N$30:$N$35)/0.75)))*$V29))))</f>
        <v/>
      </c>
      <c r="P29" s="376" t="str">
        <f>IF(Option3="No","",IF($B29="","",('Route capacity parameters'!$H23+('Patronage summary'!$E$55*$V29))-'Route capacity parameters'!$H23))</f>
        <v/>
      </c>
      <c r="Q29" s="377" t="str">
        <f>IF(Option3="No","",IF($B29="","",'Route capacity parameters'!$I23-'Capacity check'!P29/$F29))</f>
        <v/>
      </c>
      <c r="R29" s="376" t="str">
        <f>IF(Option3="No","",IF($B29="","",(IF($Y$6=0,0,($Y$6*(SUM('Diversion (option 3)'!$I$171:$I$176)/0.75)))+IF($AC$6=0,0,($AC$6*(SUM('Diversion (option 3)'!$N$171:$N$176)/0.75))))*$V29))</f>
        <v/>
      </c>
      <c r="S29" s="391" t="str">
        <f>IF(Option3="No","",IF(F29="","",(IF(VLOOKUP($C29,'Project details'!$B$34:$J$37,8,FALSE)="Yes",VLOOKUP($C29,'Project details'!$B$34:$J$37,9,FALSE),0)*$F29)-(IF($Z$6=0,0,(($Z$6*(SUM('Diversion (option 3)'!$I$30:$I$35)/0.75)))+IF($AC$6=0,0,($AC$6*(SUM('Diversion (option 3)'!$N$30:$N$35)/0.75)))*$V29))))</f>
        <v/>
      </c>
      <c r="T29" s="154"/>
      <c r="V29" s="375" t="e">
        <f>('Route capacity parameters'!H23/'Station parameters'!$E$49)*VLOOKUP($C29,'Route capacity parameters'!$B$9:$C$12,2,FALSE)</f>
        <v>#DIV/0!</v>
      </c>
      <c r="W29" s="474"/>
      <c r="X29" s="475"/>
    </row>
    <row r="30" spans="2:24">
      <c r="B30" s="387" t="str">
        <f>IF(ISBLANK('Route capacity parameters'!B24),"",'Route capacity parameters'!B24)</f>
        <v/>
      </c>
      <c r="C30" s="387" t="str">
        <f>IF(ISBLANK('Route capacity parameters'!C24),"",'Route capacity parameters'!C24)</f>
        <v/>
      </c>
      <c r="D30" s="387" t="str">
        <f>IF(ISBLANK('Route capacity parameters'!D24),"",'Route capacity parameters'!D24)</f>
        <v/>
      </c>
      <c r="E30" s="387" t="str">
        <f>IF(ISBLANK('Route capacity parameters'!E24),"",'Route capacity parameters'!E24)</f>
        <v/>
      </c>
      <c r="F30" s="387" t="str">
        <f>IF(ISBLANK('Route capacity parameters'!F24),"",'Route capacity parameters'!F24)</f>
        <v/>
      </c>
      <c r="G30" s="376" t="str">
        <f>IF(B30="","",(IF(VLOOKUP($C30,'Project details'!$B$34:$J$37,2,FALSE)="Yes",VLOOKUP($C30,'Project details'!$B$34:$J$37,3,FALSE),0)*$F30)-(IF($V$6=0,0,(($V$6*(SUM('Diversion (option 1)'!$I$30:$I$35)/0.75)))+IF($Z$6=0,0,($Z$6*(SUM('Diversion (option 1)'!$N$30:$N$35)/0.75)))*$V30)))</f>
        <v/>
      </c>
      <c r="H30" s="376" t="str">
        <f>IF(Option1="No","",IF(B30="","",('Route capacity parameters'!H24+('Patronage summary'!$E$27*V30))-'Route capacity parameters'!H24))</f>
        <v/>
      </c>
      <c r="I30" s="377" t="str">
        <f>IF(Option1="No","",IF(B30="","",'Route capacity parameters'!I24-'Capacity check'!H30/F30))</f>
        <v/>
      </c>
      <c r="J30" s="376" t="str">
        <f>IF(Option1="No","",IF($B30="","",(IF($W$6=0,0,($W$6*(SUM('Diversion (option 1)'!$I$171:$I$176)/0.75)))+IF($AA$6=0,0,($AA$6*(SUM('Diversion (option 1)'!$N$171:$N$176)/0.75))))*$V30))</f>
        <v/>
      </c>
      <c r="K30" s="391" t="str">
        <f>IF(Option1="No","",IF(B30="","",(IF(VLOOKUP($C30,'Project details'!$B$34:$J$37,4,FALSE)="Yes",VLOOKUP($C30,'Project details'!$B$34:$J$37,5,FALSE),0)*$F30)-(IF($W$6=0,0,(($W$6*(SUM('Diversion (option 1)'!$I$30:$I$35)/0.75)))+IF($AA$6=0,0,($AA$6*(SUM('Diversion (option 1)'!$N$30:$N$35)/0.75)))*$V30))))</f>
        <v/>
      </c>
      <c r="L30" s="376" t="str">
        <f>IF(Option2="No","",IF($B30="","",('Route capacity parameters'!$H24+('Patronage summary'!$E$41*$V30))-'Route capacity parameters'!$H24))</f>
        <v/>
      </c>
      <c r="M30" s="377" t="str">
        <f>IF(Option2="No","",IF($B30="","",'Route capacity parameters'!$I24-'Capacity check'!L30/$F30))</f>
        <v/>
      </c>
      <c r="N30" s="376" t="str">
        <f>IF(Option2="No","",IF($B30="","",(IF($X$6=0,0,($X$6*(SUM('Diversion (option 2)'!$I$171:$I$176)/0.75)))+IF($AB$6=0,0,($AB$6*(SUM('Diversion (option 2)'!$N$171:$N$176)/0.75))))*$V30))</f>
        <v/>
      </c>
      <c r="O30" s="391" t="str">
        <f>IF(Option2="No","",IF(B30="","",(IF(VLOOKUP($C30,'Project details'!$B$34:$J$37,6,FALSE)="Yes",VLOOKUP($C30,'Project details'!$B$34:$J$37,7,FALSE),0)*$F30)-(IF($X$6=0,0,(($X$6*(SUM('Diversion (option 2)'!$I$30:$I$35)/0.75)))+IF($AB$6=0,0,($AB$6*(SUM('Diversion (option 2)'!$N$30:$N$35)/0.75)))*$V30))))</f>
        <v/>
      </c>
      <c r="P30" s="376" t="str">
        <f>IF(Option3="No","",IF($B30="","",('Route capacity parameters'!$H24+('Patronage summary'!$E$55*$V30))-'Route capacity parameters'!$H24))</f>
        <v/>
      </c>
      <c r="Q30" s="377" t="str">
        <f>IF(Option3="No","",IF($B30="","",'Route capacity parameters'!$I24-'Capacity check'!P30/$F30))</f>
        <v/>
      </c>
      <c r="R30" s="376" t="str">
        <f>IF(Option3="No","",IF($B30="","",(IF($Y$6=0,0,($Y$6*(SUM('Diversion (option 3)'!$I$171:$I$176)/0.75)))+IF($AC$6=0,0,($AC$6*(SUM('Diversion (option 3)'!$N$171:$N$176)/0.75))))*$V30))</f>
        <v/>
      </c>
      <c r="S30" s="391" t="str">
        <f>IF(Option3="No","",IF(F30="","",(IF(VLOOKUP($C30,'Project details'!$B$34:$J$37,8,FALSE)="Yes",VLOOKUP($C30,'Project details'!$B$34:$J$37,9,FALSE),0)*$F30)-(IF($Z$6=0,0,(($Z$6*(SUM('Diversion (option 3)'!$I$30:$I$35)/0.75)))+IF($AC$6=0,0,($AC$6*(SUM('Diversion (option 3)'!$N$30:$N$35)/0.75)))*$V30))))</f>
        <v/>
      </c>
      <c r="T30" s="154"/>
      <c r="V30" s="375" t="e">
        <f>('Route capacity parameters'!H24/'Station parameters'!$E$49)*VLOOKUP($C30,'Route capacity parameters'!$B$9:$C$12,2,FALSE)</f>
        <v>#DIV/0!</v>
      </c>
      <c r="W30" s="474"/>
      <c r="X30" s="475"/>
    </row>
    <row r="31" spans="2:24">
      <c r="B31" s="387" t="str">
        <f>IF(ISBLANK('Route capacity parameters'!B25),"",'Route capacity parameters'!B25)</f>
        <v/>
      </c>
      <c r="C31" s="387" t="str">
        <f>IF(ISBLANK('Route capacity parameters'!C25),"",'Route capacity parameters'!C25)</f>
        <v/>
      </c>
      <c r="D31" s="387" t="str">
        <f>IF(ISBLANK('Route capacity parameters'!D25),"",'Route capacity parameters'!D25)</f>
        <v/>
      </c>
      <c r="E31" s="387" t="str">
        <f>IF(ISBLANK('Route capacity parameters'!E25),"",'Route capacity parameters'!E25)</f>
        <v/>
      </c>
      <c r="F31" s="387" t="str">
        <f>IF(ISBLANK('Route capacity parameters'!F25),"",'Route capacity parameters'!F25)</f>
        <v/>
      </c>
      <c r="G31" s="376" t="str">
        <f>IF(B31="","",(IF(VLOOKUP($C31,'Project details'!$B$34:$J$37,2,FALSE)="Yes",VLOOKUP($C31,'Project details'!$B$34:$J$37,3,FALSE),0)*$F31)-(IF($V$6=0,0,(($V$6*(SUM('Diversion (option 1)'!$I$30:$I$35)/0.75)))+IF($Z$6=0,0,($Z$6*(SUM('Diversion (option 1)'!$N$30:$N$35)/0.75)))*$V31)))</f>
        <v/>
      </c>
      <c r="H31" s="376" t="str">
        <f>IF(Option1="No","",IF(B31="","",('Route capacity parameters'!H25+('Patronage summary'!$E$27*V31))-'Route capacity parameters'!H25))</f>
        <v/>
      </c>
      <c r="I31" s="377" t="str">
        <f>IF(Option1="No","",IF(B31="","",'Route capacity parameters'!I25-'Capacity check'!H31/F31))</f>
        <v/>
      </c>
      <c r="J31" s="376" t="str">
        <f>IF(Option1="No","",IF($B31="","",(IF($W$6=0,0,($W$6*(SUM('Diversion (option 1)'!$I$171:$I$176)/0.75)))+IF($AA$6=0,0,($AA$6*(SUM('Diversion (option 1)'!$N$171:$N$176)/0.75))))*$V31))</f>
        <v/>
      </c>
      <c r="K31" s="391" t="str">
        <f>IF(Option1="No","",IF(B31="","",(IF(VLOOKUP($C31,'Project details'!$B$34:$J$37,4,FALSE)="Yes",VLOOKUP($C31,'Project details'!$B$34:$J$37,5,FALSE),0)*$F31)-(IF($W$6=0,0,(($W$6*(SUM('Diversion (option 1)'!$I$30:$I$35)/0.75)))+IF($AA$6=0,0,($AA$6*(SUM('Diversion (option 1)'!$N$30:$N$35)/0.75)))*$V31))))</f>
        <v/>
      </c>
      <c r="L31" s="376" t="str">
        <f>IF(Option2="No","",IF($B31="","",('Route capacity parameters'!$H25+('Patronage summary'!$E$41*$V31))-'Route capacity parameters'!$H25))</f>
        <v/>
      </c>
      <c r="M31" s="377" t="str">
        <f>IF(Option2="No","",IF($B31="","",'Route capacity parameters'!$I25-'Capacity check'!L31/$F31))</f>
        <v/>
      </c>
      <c r="N31" s="376" t="str">
        <f>IF(Option2="No","",IF($B31="","",(IF($X$6=0,0,($X$6*(SUM('Diversion (option 2)'!$I$171:$I$176)/0.75)))+IF($AB$6=0,0,($AB$6*(SUM('Diversion (option 2)'!$N$171:$N$176)/0.75))))*$V31))</f>
        <v/>
      </c>
      <c r="O31" s="391" t="str">
        <f>IF(Option2="No","",IF(B31="","",(IF(VLOOKUP($C31,'Project details'!$B$34:$J$37,6,FALSE)="Yes",VLOOKUP($C31,'Project details'!$B$34:$J$37,7,FALSE),0)*$F31)-(IF($X$6=0,0,(($X$6*(SUM('Diversion (option 2)'!$I$30:$I$35)/0.75)))+IF($AB$6=0,0,($AB$6*(SUM('Diversion (option 2)'!$N$30:$N$35)/0.75)))*$V31))))</f>
        <v/>
      </c>
      <c r="P31" s="376" t="str">
        <f>IF(Option3="No","",IF($B31="","",('Route capacity parameters'!$H25+('Patronage summary'!$E$55*$V31))-'Route capacity parameters'!$H25))</f>
        <v/>
      </c>
      <c r="Q31" s="377" t="str">
        <f>IF(Option3="No","",IF($B31="","",'Route capacity parameters'!$I25-'Capacity check'!P31/$F31))</f>
        <v/>
      </c>
      <c r="R31" s="376" t="str">
        <f>IF(Option3="No","",IF($B31="","",(IF($Y$6=0,0,($Y$6*(SUM('Diversion (option 3)'!$I$171:$I$176)/0.75)))+IF($AC$6=0,0,($AC$6*(SUM('Diversion (option 3)'!$N$171:$N$176)/0.75))))*$V31))</f>
        <v/>
      </c>
      <c r="S31" s="391" t="str">
        <f>IF(Option3="No","",IF(F31="","",(IF(VLOOKUP($C31,'Project details'!$B$34:$J$37,8,FALSE)="Yes",VLOOKUP($C31,'Project details'!$B$34:$J$37,9,FALSE),0)*$F31)-(IF($Z$6=0,0,(($Z$6*(SUM('Diversion (option 3)'!$I$30:$I$35)/0.75)))+IF($AC$6=0,0,($AC$6*(SUM('Diversion (option 3)'!$N$30:$N$35)/0.75)))*$V31))))</f>
        <v/>
      </c>
      <c r="T31" s="154"/>
      <c r="V31" s="375" t="e">
        <f>('Route capacity parameters'!H25/'Station parameters'!$E$49)*VLOOKUP($C31,'Route capacity parameters'!$B$9:$C$12,2,FALSE)</f>
        <v>#DIV/0!</v>
      </c>
      <c r="W31" s="474"/>
      <c r="X31" s="475"/>
    </row>
    <row r="32" spans="2:24">
      <c r="B32" s="387" t="str">
        <f>IF(ISBLANK('Route capacity parameters'!B26),"",'Route capacity parameters'!B26)</f>
        <v/>
      </c>
      <c r="C32" s="387" t="str">
        <f>IF(ISBLANK('Route capacity parameters'!C26),"",'Route capacity parameters'!C26)</f>
        <v/>
      </c>
      <c r="D32" s="387" t="str">
        <f>IF(ISBLANK('Route capacity parameters'!D26),"",'Route capacity parameters'!D26)</f>
        <v/>
      </c>
      <c r="E32" s="387" t="str">
        <f>IF(ISBLANK('Route capacity parameters'!E26),"",'Route capacity parameters'!E26)</f>
        <v/>
      </c>
      <c r="F32" s="387" t="str">
        <f>IF(ISBLANK('Route capacity parameters'!F26),"",'Route capacity parameters'!F26)</f>
        <v/>
      </c>
      <c r="G32" s="376" t="str">
        <f>IF(B32="","",(IF(VLOOKUP($C32,'Project details'!$B$34:$J$37,2,FALSE)="Yes",VLOOKUP($C32,'Project details'!$B$34:$J$37,3,FALSE),0)*$F32)-(IF($V$6=0,0,(($V$6*(SUM('Diversion (option 1)'!$I$30:$I$35)/0.75)))+IF($Z$6=0,0,($Z$6*(SUM('Diversion (option 1)'!$N$30:$N$35)/0.75)))*$V32)))</f>
        <v/>
      </c>
      <c r="H32" s="376" t="str">
        <f>IF(Option1="No","",IF(B32="","",('Route capacity parameters'!H26+('Patronage summary'!$E$27*V32))-'Route capacity parameters'!H26))</f>
        <v/>
      </c>
      <c r="I32" s="377" t="str">
        <f>IF(Option1="No","",IF(B32="","",'Route capacity parameters'!I26-'Capacity check'!H32/F32))</f>
        <v/>
      </c>
      <c r="J32" s="376" t="str">
        <f>IF(Option1="No","",IF($B32="","",(IF($W$6=0,0,($W$6*(SUM('Diversion (option 1)'!$I$171:$I$176)/0.75)))+IF($AA$6=0,0,($AA$6*(SUM('Diversion (option 1)'!$N$171:$N$176)/0.75))))*$V32))</f>
        <v/>
      </c>
      <c r="K32" s="391" t="str">
        <f>IF(Option1="No","",IF(B32="","",(IF(VLOOKUP($C32,'Project details'!$B$34:$J$37,4,FALSE)="Yes",VLOOKUP($C32,'Project details'!$B$34:$J$37,5,FALSE),0)*$F32)-(IF($W$6=0,0,(($W$6*(SUM('Diversion (option 1)'!$I$30:$I$35)/0.75)))+IF($AA$6=0,0,($AA$6*(SUM('Diversion (option 1)'!$N$30:$N$35)/0.75)))*$V32))))</f>
        <v/>
      </c>
      <c r="L32" s="376" t="str">
        <f>IF(Option2="No","",IF($B32="","",('Route capacity parameters'!$H26+('Patronage summary'!$E$41*$V32))-'Route capacity parameters'!$H26))</f>
        <v/>
      </c>
      <c r="M32" s="377" t="str">
        <f>IF(Option2="No","",IF($B32="","",'Route capacity parameters'!$I26-'Capacity check'!L32/$F32))</f>
        <v/>
      </c>
      <c r="N32" s="376" t="str">
        <f>IF(Option2="No","",IF($B32="","",(IF($X$6=0,0,($X$6*(SUM('Diversion (option 2)'!$I$171:$I$176)/0.75)))+IF($AB$6=0,0,($AB$6*(SUM('Diversion (option 2)'!$N$171:$N$176)/0.75))))*$V32))</f>
        <v/>
      </c>
      <c r="O32" s="391" t="str">
        <f>IF(Option2="No","",IF(B32="","",(IF(VLOOKUP($C32,'Project details'!$B$34:$J$37,6,FALSE)="Yes",VLOOKUP($C32,'Project details'!$B$34:$J$37,7,FALSE),0)*$F32)-(IF($X$6=0,0,(($X$6*(SUM('Diversion (option 2)'!$I$30:$I$35)/0.75)))+IF($AB$6=0,0,($AB$6*(SUM('Diversion (option 2)'!$N$30:$N$35)/0.75)))*$V32))))</f>
        <v/>
      </c>
      <c r="P32" s="376" t="str">
        <f>IF(Option3="No","",IF($B32="","",('Route capacity parameters'!$H26+('Patronage summary'!$E$55*$V32))-'Route capacity parameters'!$H26))</f>
        <v/>
      </c>
      <c r="Q32" s="377" t="str">
        <f>IF(Option3="No","",IF($B32="","",'Route capacity parameters'!$I26-'Capacity check'!P32/$F32))</f>
        <v/>
      </c>
      <c r="R32" s="376" t="str">
        <f>IF(Option3="No","",IF($B32="","",(IF($Y$6=0,0,($Y$6*(SUM('Diversion (option 3)'!$I$171:$I$176)/0.75)))+IF($AC$6=0,0,($AC$6*(SUM('Diversion (option 3)'!$N$171:$N$176)/0.75))))*$V32))</f>
        <v/>
      </c>
      <c r="S32" s="391" t="str">
        <f>IF(Option3="No","",IF(F32="","",(IF(VLOOKUP($C32,'Project details'!$B$34:$J$37,8,FALSE)="Yes",VLOOKUP($C32,'Project details'!$B$34:$J$37,9,FALSE),0)*$F32)-(IF($Z$6=0,0,(($Z$6*(SUM('Diversion (option 3)'!$I$30:$I$35)/0.75)))+IF($AC$6=0,0,($AC$6*(SUM('Diversion (option 3)'!$N$30:$N$35)/0.75)))*$V32))))</f>
        <v/>
      </c>
      <c r="T32" s="154"/>
      <c r="V32" s="375" t="e">
        <f>('Route capacity parameters'!H26/'Station parameters'!$E$49)*VLOOKUP($C32,'Route capacity parameters'!$B$9:$C$12,2,FALSE)</f>
        <v>#DIV/0!</v>
      </c>
      <c r="W32" s="474"/>
      <c r="X32" s="475"/>
    </row>
    <row r="33" spans="2:24">
      <c r="B33" s="387" t="str">
        <f>IF(ISBLANK('Route capacity parameters'!B27),"",'Route capacity parameters'!B27)</f>
        <v/>
      </c>
      <c r="C33" s="387" t="str">
        <f>IF(ISBLANK('Route capacity parameters'!C27),"",'Route capacity parameters'!C27)</f>
        <v/>
      </c>
      <c r="D33" s="387" t="str">
        <f>IF(ISBLANK('Route capacity parameters'!D27),"",'Route capacity parameters'!D27)</f>
        <v/>
      </c>
      <c r="E33" s="387" t="str">
        <f>IF(ISBLANK('Route capacity parameters'!E27),"",'Route capacity parameters'!E27)</f>
        <v/>
      </c>
      <c r="F33" s="387" t="str">
        <f>IF(ISBLANK('Route capacity parameters'!F27),"",'Route capacity parameters'!F27)</f>
        <v/>
      </c>
      <c r="G33" s="376" t="str">
        <f>IF(B33="","",(IF(VLOOKUP($C33,'Project details'!$B$34:$J$37,2,FALSE)="Yes",VLOOKUP($C33,'Project details'!$B$34:$J$37,3,FALSE),0)*$F33)-(IF($V$6=0,0,(($V$6*(SUM('Diversion (option 1)'!$I$30:$I$35)/0.75)))+IF($Z$6=0,0,($Z$6*(SUM('Diversion (option 1)'!$N$30:$N$35)/0.75)))*$V33)))</f>
        <v/>
      </c>
      <c r="H33" s="376" t="str">
        <f>IF(Option1="No","",IF(B33="","",('Route capacity parameters'!H27+('Patronage summary'!$E$27*V33))-'Route capacity parameters'!H27))</f>
        <v/>
      </c>
      <c r="I33" s="377" t="str">
        <f>IF(Option1="No","",IF(B33="","",'Route capacity parameters'!I27-'Capacity check'!H33/F33))</f>
        <v/>
      </c>
      <c r="J33" s="376" t="str">
        <f>IF(Option1="No","",IF($B33="","",(IF($W$6=0,0,($W$6*(SUM('Diversion (option 1)'!$I$171:$I$176)/0.75)))+IF($AA$6=0,0,($AA$6*(SUM('Diversion (option 1)'!$N$171:$N$176)/0.75))))*$V33))</f>
        <v/>
      </c>
      <c r="K33" s="391" t="str">
        <f>IF(Option1="No","",IF(B33="","",(IF(VLOOKUP($C33,'Project details'!$B$34:$J$37,4,FALSE)="Yes",VLOOKUP($C33,'Project details'!$B$34:$J$37,5,FALSE),0)*$F33)-(IF($W$6=0,0,(($W$6*(SUM('Diversion (option 1)'!$I$30:$I$35)/0.75)))+IF($AA$6=0,0,($AA$6*(SUM('Diversion (option 1)'!$N$30:$N$35)/0.75)))*$V33))))</f>
        <v/>
      </c>
      <c r="L33" s="376" t="str">
        <f>IF(Option2="No","",IF($B33="","",('Route capacity parameters'!$H27+('Patronage summary'!$E$41*$V33))-'Route capacity parameters'!$H27))</f>
        <v/>
      </c>
      <c r="M33" s="377" t="str">
        <f>IF(Option2="No","",IF($B33="","",'Route capacity parameters'!$I27-'Capacity check'!L33/$F33))</f>
        <v/>
      </c>
      <c r="N33" s="376" t="str">
        <f>IF(Option2="No","",IF($B33="","",(IF($X$6=0,0,($X$6*(SUM('Diversion (option 2)'!$I$171:$I$176)/0.75)))+IF($AB$6=0,0,($AB$6*(SUM('Diversion (option 2)'!$N$171:$N$176)/0.75))))*$V33))</f>
        <v/>
      </c>
      <c r="O33" s="391" t="str">
        <f>IF(Option2="No","",IF(B33="","",(IF(VLOOKUP($C33,'Project details'!$B$34:$J$37,6,FALSE)="Yes",VLOOKUP($C33,'Project details'!$B$34:$J$37,7,FALSE),0)*$F33)-(IF($X$6=0,0,(($X$6*(SUM('Diversion (option 2)'!$I$30:$I$35)/0.75)))+IF($AB$6=0,0,($AB$6*(SUM('Diversion (option 2)'!$N$30:$N$35)/0.75)))*$V33))))</f>
        <v/>
      </c>
      <c r="P33" s="376" t="str">
        <f>IF(Option3="No","",IF($B33="","",('Route capacity parameters'!$H27+('Patronage summary'!$E$55*$V33))-'Route capacity parameters'!$H27))</f>
        <v/>
      </c>
      <c r="Q33" s="377" t="str">
        <f>IF(Option3="No","",IF($B33="","",'Route capacity parameters'!$I27-'Capacity check'!P33/$F33))</f>
        <v/>
      </c>
      <c r="R33" s="376" t="str">
        <f>IF(Option3="No","",IF($B33="","",(IF($Y$6=0,0,($Y$6*(SUM('Diversion (option 3)'!$I$171:$I$176)/0.75)))+IF($AC$6=0,0,($AC$6*(SUM('Diversion (option 3)'!$N$171:$N$176)/0.75))))*$V33))</f>
        <v/>
      </c>
      <c r="S33" s="391" t="str">
        <f>IF(Option3="No","",IF(F33="","",(IF(VLOOKUP($C33,'Project details'!$B$34:$J$37,8,FALSE)="Yes",VLOOKUP($C33,'Project details'!$B$34:$J$37,9,FALSE),0)*$F33)-(IF($Z$6=0,0,(($Z$6*(SUM('Diversion (option 3)'!$I$30:$I$35)/0.75)))+IF($AC$6=0,0,($AC$6*(SUM('Diversion (option 3)'!$N$30:$N$35)/0.75)))*$V33))))</f>
        <v/>
      </c>
      <c r="T33" s="154"/>
      <c r="V33" s="375" t="e">
        <f>('Route capacity parameters'!H27/'Station parameters'!$E$49)*VLOOKUP($C33,'Route capacity parameters'!$B$9:$C$12,2,FALSE)</f>
        <v>#DIV/0!</v>
      </c>
      <c r="W33" s="474"/>
      <c r="X33" s="475"/>
    </row>
    <row r="34" spans="2:24">
      <c r="B34" s="387" t="str">
        <f>IF(ISBLANK('Route capacity parameters'!B28),"",'Route capacity parameters'!B28)</f>
        <v/>
      </c>
      <c r="C34" s="387" t="str">
        <f>IF(ISBLANK('Route capacity parameters'!C28),"",'Route capacity parameters'!C28)</f>
        <v/>
      </c>
      <c r="D34" s="387" t="str">
        <f>IF(ISBLANK('Route capacity parameters'!D28),"",'Route capacity parameters'!D28)</f>
        <v/>
      </c>
      <c r="E34" s="387" t="str">
        <f>IF(ISBLANK('Route capacity parameters'!E28),"",'Route capacity parameters'!E28)</f>
        <v/>
      </c>
      <c r="F34" s="387" t="str">
        <f>IF(ISBLANK('Route capacity parameters'!F28),"",'Route capacity parameters'!F28)</f>
        <v/>
      </c>
      <c r="G34" s="376" t="str">
        <f>IF(B34="","",(IF(VLOOKUP($C34,'Project details'!$B$34:$J$37,2,FALSE)="Yes",VLOOKUP($C34,'Project details'!$B$34:$J$37,3,FALSE),0)*$F34)-(IF($V$6=0,0,(($V$6*(SUM('Diversion (option 1)'!$I$30:$I$35)/0.75)))+IF($Z$6=0,0,($Z$6*(SUM('Diversion (option 1)'!$N$30:$N$35)/0.75)))*$V34)))</f>
        <v/>
      </c>
      <c r="H34" s="376" t="str">
        <f>IF(Option1="No","",IF(B34="","",('Route capacity parameters'!H28+('Patronage summary'!$E$27*V34))-'Route capacity parameters'!H28))</f>
        <v/>
      </c>
      <c r="I34" s="377" t="str">
        <f>IF(Option1="No","",IF(B34="","",'Route capacity parameters'!I28-'Capacity check'!H34/F34))</f>
        <v/>
      </c>
      <c r="J34" s="376" t="str">
        <f>IF(Option1="No","",IF($B34="","",(IF($W$6=0,0,($W$6*(SUM('Diversion (option 1)'!$I$171:$I$176)/0.75)))+IF($AA$6=0,0,($AA$6*(SUM('Diversion (option 1)'!$N$171:$N$176)/0.75))))*$V34))</f>
        <v/>
      </c>
      <c r="K34" s="391" t="str">
        <f>IF(Option1="No","",IF(B34="","",(IF(VLOOKUP($C34,'Project details'!$B$34:$J$37,4,FALSE)="Yes",VLOOKUP($C34,'Project details'!$B$34:$J$37,5,FALSE),0)*$F34)-(IF($W$6=0,0,(($W$6*(SUM('Diversion (option 1)'!$I$30:$I$35)/0.75)))+IF($AA$6=0,0,($AA$6*(SUM('Diversion (option 1)'!$N$30:$N$35)/0.75)))*$V34))))</f>
        <v/>
      </c>
      <c r="L34" s="376" t="str">
        <f>IF(Option2="No","",IF($B34="","",('Route capacity parameters'!$H28+('Patronage summary'!$E$41*$V34))-'Route capacity parameters'!$H28))</f>
        <v/>
      </c>
      <c r="M34" s="377" t="str">
        <f>IF(Option2="No","",IF($B34="","",'Route capacity parameters'!$I28-'Capacity check'!L34/$F34))</f>
        <v/>
      </c>
      <c r="N34" s="376" t="str">
        <f>IF(Option2="No","",IF($B34="","",(IF($X$6=0,0,($X$6*(SUM('Diversion (option 2)'!$I$171:$I$176)/0.75)))+IF($AB$6=0,0,($AB$6*(SUM('Diversion (option 2)'!$N$171:$N$176)/0.75))))*$V34))</f>
        <v/>
      </c>
      <c r="O34" s="391" t="str">
        <f>IF(Option2="No","",IF(B34="","",(IF(VLOOKUP($C34,'Project details'!$B$34:$J$37,6,FALSE)="Yes",VLOOKUP($C34,'Project details'!$B$34:$J$37,7,FALSE),0)*$F34)-(IF($X$6=0,0,(($X$6*(SUM('Diversion (option 2)'!$I$30:$I$35)/0.75)))+IF($AB$6=0,0,($AB$6*(SUM('Diversion (option 2)'!$N$30:$N$35)/0.75)))*$V34))))</f>
        <v/>
      </c>
      <c r="P34" s="376" t="str">
        <f>IF(Option3="No","",IF($B34="","",('Route capacity parameters'!$H28+('Patronage summary'!$E$55*$V34))-'Route capacity parameters'!$H28))</f>
        <v/>
      </c>
      <c r="Q34" s="377" t="str">
        <f>IF(Option3="No","",IF($B34="","",'Route capacity parameters'!$I28-'Capacity check'!P34/$F34))</f>
        <v/>
      </c>
      <c r="R34" s="376" t="str">
        <f>IF(Option3="No","",IF($B34="","",(IF($Y$6=0,0,($Y$6*(SUM('Diversion (option 3)'!$I$171:$I$176)/0.75)))+IF($AC$6=0,0,($AC$6*(SUM('Diversion (option 3)'!$N$171:$N$176)/0.75))))*$V34))</f>
        <v/>
      </c>
      <c r="S34" s="391" t="str">
        <f>IF(Option3="No","",IF(F34="","",(IF(VLOOKUP($C34,'Project details'!$B$34:$J$37,8,FALSE)="Yes",VLOOKUP($C34,'Project details'!$B$34:$J$37,9,FALSE),0)*$F34)-(IF($Z$6=0,0,(($Z$6*(SUM('Diversion (option 3)'!$I$30:$I$35)/0.75)))+IF($AC$6=0,0,($AC$6*(SUM('Diversion (option 3)'!$N$30:$N$35)/0.75)))*$V34))))</f>
        <v/>
      </c>
      <c r="T34" s="154"/>
      <c r="V34" s="375" t="e">
        <f>('Route capacity parameters'!H28/'Station parameters'!$E$49)*VLOOKUP($C34,'Route capacity parameters'!$B$9:$C$12,2,FALSE)</f>
        <v>#DIV/0!</v>
      </c>
      <c r="W34" s="474"/>
      <c r="X34" s="475"/>
    </row>
    <row r="35" spans="2:24">
      <c r="B35" s="387" t="str">
        <f>IF(ISBLANK('Route capacity parameters'!B29),"",'Route capacity parameters'!B29)</f>
        <v/>
      </c>
      <c r="C35" s="387" t="str">
        <f>IF(ISBLANK('Route capacity parameters'!C29),"",'Route capacity parameters'!C29)</f>
        <v/>
      </c>
      <c r="D35" s="387" t="str">
        <f>IF(ISBLANK('Route capacity parameters'!D29),"",'Route capacity parameters'!D29)</f>
        <v/>
      </c>
      <c r="E35" s="387" t="str">
        <f>IF(ISBLANK('Route capacity parameters'!E29),"",'Route capacity parameters'!E29)</f>
        <v/>
      </c>
      <c r="F35" s="387" t="str">
        <f>IF(ISBLANK('Route capacity parameters'!F29),"",'Route capacity parameters'!F29)</f>
        <v/>
      </c>
      <c r="G35" s="376" t="str">
        <f>IF(B35="","",(IF(VLOOKUP($C35,'Project details'!$B$34:$J$37,2,FALSE)="Yes",VLOOKUP($C35,'Project details'!$B$34:$J$37,3,FALSE),0)*$F35)-(IF($V$6=0,0,(($V$6*(SUM('Diversion (option 1)'!$I$30:$I$35)/0.75)))+IF($Z$6=0,0,($Z$6*(SUM('Diversion (option 1)'!$N$30:$N$35)/0.75)))*$V35)))</f>
        <v/>
      </c>
      <c r="H35" s="376" t="str">
        <f>IF(Option1="No","",IF(B35="","",('Route capacity parameters'!H29+('Patronage summary'!$E$27*V35))-'Route capacity parameters'!H29))</f>
        <v/>
      </c>
      <c r="I35" s="377" t="str">
        <f>IF(Option1="No","",IF(B35="","",'Route capacity parameters'!I29-'Capacity check'!H35/F35))</f>
        <v/>
      </c>
      <c r="J35" s="376" t="str">
        <f>IF(Option1="No","",IF($B35="","",(IF($W$6=0,0,($W$6*(SUM('Diversion (option 1)'!$I$171:$I$176)/0.75)))+IF($AA$6=0,0,($AA$6*(SUM('Diversion (option 1)'!$N$171:$N$176)/0.75))))*$V35))</f>
        <v/>
      </c>
      <c r="K35" s="391" t="str">
        <f>IF(Option1="No","",IF(B35="","",(IF(VLOOKUP($C35,'Project details'!$B$34:$J$37,4,FALSE)="Yes",VLOOKUP($C35,'Project details'!$B$34:$J$37,5,FALSE),0)*$F35)-(IF($W$6=0,0,(($W$6*(SUM('Diversion (option 1)'!$I$30:$I$35)/0.75)))+IF($AA$6=0,0,($AA$6*(SUM('Diversion (option 1)'!$N$30:$N$35)/0.75)))*$V35))))</f>
        <v/>
      </c>
      <c r="L35" s="376" t="str">
        <f>IF(Option2="No","",IF($B35="","",('Route capacity parameters'!$H29+('Patronage summary'!$E$41*$V35))-'Route capacity parameters'!$H29))</f>
        <v/>
      </c>
      <c r="M35" s="377" t="str">
        <f>IF(Option2="No","",IF($B35="","",'Route capacity parameters'!$I29-'Capacity check'!L35/$F35))</f>
        <v/>
      </c>
      <c r="N35" s="376" t="str">
        <f>IF(Option2="No","",IF($B35="","",(IF($X$6=0,0,($X$6*(SUM('Diversion (option 2)'!$I$171:$I$176)/0.75)))+IF($AB$6=0,0,($AB$6*(SUM('Diversion (option 2)'!$N$171:$N$176)/0.75))))*$V35))</f>
        <v/>
      </c>
      <c r="O35" s="391" t="str">
        <f>IF(Option2="No","",IF(B35="","",(IF(VLOOKUP($C35,'Project details'!$B$34:$J$37,6,FALSE)="Yes",VLOOKUP($C35,'Project details'!$B$34:$J$37,7,FALSE),0)*$F35)-(IF($X$6=0,0,(($X$6*(SUM('Diversion (option 2)'!$I$30:$I$35)/0.75)))+IF($AB$6=0,0,($AB$6*(SUM('Diversion (option 2)'!$N$30:$N$35)/0.75)))*$V35))))</f>
        <v/>
      </c>
      <c r="P35" s="376" t="str">
        <f>IF(Option3="No","",IF($B35="","",('Route capacity parameters'!$H29+('Patronage summary'!$E$55*$V35))-'Route capacity parameters'!$H29))</f>
        <v/>
      </c>
      <c r="Q35" s="377" t="str">
        <f>IF(Option3="No","",IF($B35="","",'Route capacity parameters'!$I29-'Capacity check'!P35/$F35))</f>
        <v/>
      </c>
      <c r="R35" s="376" t="str">
        <f>IF(Option3="No","",IF($B35="","",(IF($Y$6=0,0,($Y$6*(SUM('Diversion (option 3)'!$I$171:$I$176)/0.75)))+IF($AC$6=0,0,($AC$6*(SUM('Diversion (option 3)'!$N$171:$N$176)/0.75))))*$V35))</f>
        <v/>
      </c>
      <c r="S35" s="391" t="str">
        <f>IF(Option3="No","",IF(F35="","",(IF(VLOOKUP($C35,'Project details'!$B$34:$J$37,8,FALSE)="Yes",VLOOKUP($C35,'Project details'!$B$34:$J$37,9,FALSE),0)*$F35)-(IF($Z$6=0,0,(($Z$6*(SUM('Diversion (option 3)'!$I$30:$I$35)/0.75)))+IF($AC$6=0,0,($AC$6*(SUM('Diversion (option 3)'!$N$30:$N$35)/0.75)))*$V35))))</f>
        <v/>
      </c>
      <c r="T35" s="154"/>
      <c r="V35" s="375" t="e">
        <f>('Route capacity parameters'!H29/'Station parameters'!$E$49)*VLOOKUP($C35,'Route capacity parameters'!$B$9:$C$12,2,FALSE)</f>
        <v>#DIV/0!</v>
      </c>
      <c r="W35" s="474"/>
      <c r="X35" s="475"/>
    </row>
    <row r="36" spans="2:24">
      <c r="B36" s="387" t="str">
        <f>IF(ISBLANK('Route capacity parameters'!B30),"",'Route capacity parameters'!B30)</f>
        <v/>
      </c>
      <c r="C36" s="387" t="str">
        <f>IF(ISBLANK('Route capacity parameters'!C30),"",'Route capacity parameters'!C30)</f>
        <v/>
      </c>
      <c r="D36" s="387" t="str">
        <f>IF(ISBLANK('Route capacity parameters'!D30),"",'Route capacity parameters'!D30)</f>
        <v/>
      </c>
      <c r="E36" s="387" t="str">
        <f>IF(ISBLANK('Route capacity parameters'!E30),"",'Route capacity parameters'!E30)</f>
        <v/>
      </c>
      <c r="F36" s="387" t="str">
        <f>IF(ISBLANK('Route capacity parameters'!F30),"",'Route capacity parameters'!F30)</f>
        <v/>
      </c>
      <c r="G36" s="376" t="str">
        <f>IF(B36="","",(IF(VLOOKUP($C36,'Project details'!$B$34:$J$37,2,FALSE)="Yes",VLOOKUP($C36,'Project details'!$B$34:$J$37,3,FALSE),0)*$F36)-(IF($V$6=0,0,(($V$6*(SUM('Diversion (option 1)'!$I$30:$I$35)/0.75)))+IF($Z$6=0,0,($Z$6*(SUM('Diversion (option 1)'!$N$30:$N$35)/0.75)))*$V36)))</f>
        <v/>
      </c>
      <c r="H36" s="376" t="str">
        <f>IF(Option1="No","",IF(B36="","",('Route capacity parameters'!H30+('Patronage summary'!$E$27*V36))-'Route capacity parameters'!H30))</f>
        <v/>
      </c>
      <c r="I36" s="377" t="str">
        <f>IF(Option1="No","",IF(B36="","",'Route capacity parameters'!I30-'Capacity check'!H36/F36))</f>
        <v/>
      </c>
      <c r="J36" s="376" t="str">
        <f>IF(Option1="No","",IF($B36="","",(IF($W$6=0,0,($W$6*(SUM('Diversion (option 1)'!$I$171:$I$176)/0.75)))+IF($AA$6=0,0,($AA$6*(SUM('Diversion (option 1)'!$N$171:$N$176)/0.75))))*$V36))</f>
        <v/>
      </c>
      <c r="K36" s="391" t="str">
        <f>IF(Option1="No","",IF(B36="","",(IF(VLOOKUP($C36,'Project details'!$B$34:$J$37,4,FALSE)="Yes",VLOOKUP($C36,'Project details'!$B$34:$J$37,5,FALSE),0)*$F36)-(IF($W$6=0,0,(($W$6*(SUM('Diversion (option 1)'!$I$30:$I$35)/0.75)))+IF($AA$6=0,0,($AA$6*(SUM('Diversion (option 1)'!$N$30:$N$35)/0.75)))*$V36))))</f>
        <v/>
      </c>
      <c r="L36" s="376" t="str">
        <f>IF(Option2="No","",IF($B36="","",('Route capacity parameters'!$H30+('Patronage summary'!$E$41*$V36))-'Route capacity parameters'!$H30))</f>
        <v/>
      </c>
      <c r="M36" s="377" t="str">
        <f>IF(Option2="No","",IF($B36="","",'Route capacity parameters'!$I30-'Capacity check'!L36/$F36))</f>
        <v/>
      </c>
      <c r="N36" s="376" t="str">
        <f>IF(Option2="No","",IF($B36="","",(IF($X$6=0,0,($X$6*(SUM('Diversion (option 2)'!$I$171:$I$176)/0.75)))+IF($AB$6=0,0,($AB$6*(SUM('Diversion (option 2)'!$N$171:$N$176)/0.75))))*$V36))</f>
        <v/>
      </c>
      <c r="O36" s="391" t="str">
        <f>IF(Option2="No","",IF(B36="","",(IF(VLOOKUP($C36,'Project details'!$B$34:$J$37,6,FALSE)="Yes",VLOOKUP($C36,'Project details'!$B$34:$J$37,7,FALSE),0)*$F36)-(IF($X$6=0,0,(($X$6*(SUM('Diversion (option 2)'!$I$30:$I$35)/0.75)))+IF($AB$6=0,0,($AB$6*(SUM('Diversion (option 2)'!$N$30:$N$35)/0.75)))*$V36))))</f>
        <v/>
      </c>
      <c r="P36" s="376" t="str">
        <f>IF(Option3="No","",IF($B36="","",('Route capacity parameters'!$H30+('Patronage summary'!$E$55*$V36))-'Route capacity parameters'!$H30))</f>
        <v/>
      </c>
      <c r="Q36" s="377" t="str">
        <f>IF(Option3="No","",IF($B36="","",'Route capacity parameters'!$I30-'Capacity check'!P36/$F36))</f>
        <v/>
      </c>
      <c r="R36" s="376" t="str">
        <f>IF(Option3="No","",IF($B36="","",(IF($Y$6=0,0,($Y$6*(SUM('Diversion (option 3)'!$I$171:$I$176)/0.75)))+IF($AC$6=0,0,($AC$6*(SUM('Diversion (option 3)'!$N$171:$N$176)/0.75))))*$V36))</f>
        <v/>
      </c>
      <c r="S36" s="391" t="str">
        <f>IF(Option3="No","",IF(F36="","",(IF(VLOOKUP($C36,'Project details'!$B$34:$J$37,8,FALSE)="Yes",VLOOKUP($C36,'Project details'!$B$34:$J$37,9,FALSE),0)*$F36)-(IF($Z$6=0,0,(($Z$6*(SUM('Diversion (option 3)'!$I$30:$I$35)/0.75)))+IF($AC$6=0,0,($AC$6*(SUM('Diversion (option 3)'!$N$30:$N$35)/0.75)))*$V36))))</f>
        <v/>
      </c>
      <c r="T36" s="154"/>
      <c r="V36" s="375" t="e">
        <f>('Route capacity parameters'!H30/'Station parameters'!$E$49)*VLOOKUP($C36,'Route capacity parameters'!$B$9:$C$12,2,FALSE)</f>
        <v>#DIV/0!</v>
      </c>
      <c r="W36" s="474"/>
      <c r="X36" s="475"/>
    </row>
    <row r="37" spans="2:24">
      <c r="B37" s="387" t="str">
        <f>IF(ISBLANK('Route capacity parameters'!B31),"",'Route capacity parameters'!B31)</f>
        <v/>
      </c>
      <c r="C37" s="387" t="str">
        <f>IF(ISBLANK('Route capacity parameters'!C31),"",'Route capacity parameters'!C31)</f>
        <v/>
      </c>
      <c r="D37" s="387" t="str">
        <f>IF(ISBLANK('Route capacity parameters'!D31),"",'Route capacity parameters'!D31)</f>
        <v/>
      </c>
      <c r="E37" s="387" t="str">
        <f>IF(ISBLANK('Route capacity parameters'!E31),"",'Route capacity parameters'!E31)</f>
        <v/>
      </c>
      <c r="F37" s="387" t="str">
        <f>IF(ISBLANK('Route capacity parameters'!F31),"",'Route capacity parameters'!F31)</f>
        <v/>
      </c>
      <c r="G37" s="376" t="str">
        <f>IF(B37="","",(IF(VLOOKUP($C37,'Project details'!$B$34:$J$37,2,FALSE)="Yes",VLOOKUP($C37,'Project details'!$B$34:$J$37,3,FALSE),0)*$F37)-(IF($V$6=0,0,(($V$6*(SUM('Diversion (option 1)'!$I$30:$I$35)/0.75)))+IF($Z$6=0,0,($Z$6*(SUM('Diversion (option 1)'!$N$30:$N$35)/0.75)))*$V37)))</f>
        <v/>
      </c>
      <c r="H37" s="376" t="str">
        <f>IF(Option1="No","",IF(B37="","",('Route capacity parameters'!H31+('Patronage summary'!$E$27*V37))-'Route capacity parameters'!H31))</f>
        <v/>
      </c>
      <c r="I37" s="377" t="str">
        <f>IF(Option1="No","",IF(B37="","",'Route capacity parameters'!I31-'Capacity check'!H37/F37))</f>
        <v/>
      </c>
      <c r="J37" s="376" t="str">
        <f>IF(Option1="No","",IF($B37="","",(IF($W$6=0,0,($W$6*(SUM('Diversion (option 1)'!$I$171:$I$176)/0.75)))+IF($AA$6=0,0,($AA$6*(SUM('Diversion (option 1)'!$N$171:$N$176)/0.75))))*$V37))</f>
        <v/>
      </c>
      <c r="K37" s="391" t="str">
        <f>IF(Option1="No","",IF(B37="","",(IF(VLOOKUP($C37,'Project details'!$B$34:$J$37,4,FALSE)="Yes",VLOOKUP($C37,'Project details'!$B$34:$J$37,5,FALSE),0)*$F37)-(IF($W$6=0,0,(($W$6*(SUM('Diversion (option 1)'!$I$30:$I$35)/0.75)))+IF($AA$6=0,0,($AA$6*(SUM('Diversion (option 1)'!$N$30:$N$35)/0.75)))*$V37))))</f>
        <v/>
      </c>
      <c r="L37" s="376" t="str">
        <f>IF(Option2="No","",IF($B37="","",('Route capacity parameters'!$H31+('Patronage summary'!$E$41*$V37))-'Route capacity parameters'!$H31))</f>
        <v/>
      </c>
      <c r="M37" s="377" t="str">
        <f>IF(Option2="No","",IF($B37="","",'Route capacity parameters'!$I31-'Capacity check'!L37/$F37))</f>
        <v/>
      </c>
      <c r="N37" s="376" t="str">
        <f>IF(Option2="No","",IF($B37="","",(IF($X$6=0,0,($X$6*(SUM('Diversion (option 2)'!$I$171:$I$176)/0.75)))+IF($AB$6=0,0,($AB$6*(SUM('Diversion (option 2)'!$N$171:$N$176)/0.75))))*$V37))</f>
        <v/>
      </c>
      <c r="O37" s="391" t="str">
        <f>IF(Option2="No","",IF(B37="","",(IF(VLOOKUP($C37,'Project details'!$B$34:$J$37,6,FALSE)="Yes",VLOOKUP($C37,'Project details'!$B$34:$J$37,7,FALSE),0)*$F37)-(IF($X$6=0,0,(($X$6*(SUM('Diversion (option 2)'!$I$30:$I$35)/0.75)))+IF($AB$6=0,0,($AB$6*(SUM('Diversion (option 2)'!$N$30:$N$35)/0.75)))*$V37))))</f>
        <v/>
      </c>
      <c r="P37" s="376" t="str">
        <f>IF(Option3="No","",IF($B37="","",('Route capacity parameters'!$H31+('Patronage summary'!$E$55*$V37))-'Route capacity parameters'!$H31))</f>
        <v/>
      </c>
      <c r="Q37" s="377" t="str">
        <f>IF(Option3="No","",IF($B37="","",'Route capacity parameters'!$I31-'Capacity check'!P37/$F37))</f>
        <v/>
      </c>
      <c r="R37" s="376" t="str">
        <f>IF(Option3="No","",IF($B37="","",(IF($Y$6=0,0,($Y$6*(SUM('Diversion (option 3)'!$I$171:$I$176)/0.75)))+IF($AC$6=0,0,($AC$6*(SUM('Diversion (option 3)'!$N$171:$N$176)/0.75))))*$V37))</f>
        <v/>
      </c>
      <c r="S37" s="391" t="str">
        <f>IF(Option3="No","",IF(F37="","",(IF(VLOOKUP($C37,'Project details'!$B$34:$J$37,8,FALSE)="Yes",VLOOKUP($C37,'Project details'!$B$34:$J$37,9,FALSE),0)*$F37)-(IF($Z$6=0,0,(($Z$6*(SUM('Diversion (option 3)'!$I$30:$I$35)/0.75)))+IF($AC$6=0,0,($AC$6*(SUM('Diversion (option 3)'!$N$30:$N$35)/0.75)))*$V37))))</f>
        <v/>
      </c>
      <c r="T37" s="154"/>
      <c r="V37" s="375" t="e">
        <f>('Route capacity parameters'!H31/'Station parameters'!$E$49)*VLOOKUP($C37,'Route capacity parameters'!$B$9:$C$12,2,FALSE)</f>
        <v>#DIV/0!</v>
      </c>
      <c r="W37" s="474"/>
      <c r="X37" s="475"/>
    </row>
    <row r="38" spans="2:24">
      <c r="B38" s="387" t="str">
        <f>IF(ISBLANK('Route capacity parameters'!B32),"",'Route capacity parameters'!B32)</f>
        <v/>
      </c>
      <c r="C38" s="387" t="str">
        <f>IF(ISBLANK('Route capacity parameters'!C32),"",'Route capacity parameters'!C32)</f>
        <v/>
      </c>
      <c r="D38" s="387" t="str">
        <f>IF(ISBLANK('Route capacity parameters'!D32),"",'Route capacity parameters'!D32)</f>
        <v/>
      </c>
      <c r="E38" s="387" t="str">
        <f>IF(ISBLANK('Route capacity parameters'!E32),"",'Route capacity parameters'!E32)</f>
        <v/>
      </c>
      <c r="F38" s="387" t="str">
        <f>IF(ISBLANK('Route capacity parameters'!F32),"",'Route capacity parameters'!F32)</f>
        <v/>
      </c>
      <c r="G38" s="376" t="str">
        <f>IF(B38="","",(IF(VLOOKUP($C38,'Project details'!$B$34:$J$37,2,FALSE)="Yes",VLOOKUP($C38,'Project details'!$B$34:$J$37,3,FALSE),0)*$F38)-(IF($V$6=0,0,(($V$6*(SUM('Diversion (option 1)'!$I$30:$I$35)/0.75)))+IF($Z$6=0,0,($Z$6*(SUM('Diversion (option 1)'!$N$30:$N$35)/0.75)))*$V38)))</f>
        <v/>
      </c>
      <c r="H38" s="376" t="str">
        <f>IF(Option1="No","",IF(B38="","",('Route capacity parameters'!H32+('Patronage summary'!$E$27*V38))-'Route capacity parameters'!H32))</f>
        <v/>
      </c>
      <c r="I38" s="377" t="str">
        <f>IF(Option1="No","",IF(B38="","",'Route capacity parameters'!I32-'Capacity check'!H38/F38))</f>
        <v/>
      </c>
      <c r="J38" s="376" t="str">
        <f>IF(Option1="No","",IF($B38="","",(IF($W$6=0,0,($W$6*(SUM('Diversion (option 1)'!$I$171:$I$176)/0.75)))+IF($AA$6=0,0,($AA$6*(SUM('Diversion (option 1)'!$N$171:$N$176)/0.75))))*$V38))</f>
        <v/>
      </c>
      <c r="K38" s="391" t="str">
        <f>IF(Option1="No","",IF(B38="","",(IF(VLOOKUP($C38,'Project details'!$B$34:$J$37,4,FALSE)="Yes",VLOOKUP($C38,'Project details'!$B$34:$J$37,5,FALSE),0)*$F38)-(IF($W$6=0,0,(($W$6*(SUM('Diversion (option 1)'!$I$30:$I$35)/0.75)))+IF($AA$6=0,0,($AA$6*(SUM('Diversion (option 1)'!$N$30:$N$35)/0.75)))*$V38))))</f>
        <v/>
      </c>
      <c r="L38" s="376" t="str">
        <f>IF(Option2="No","",IF($B38="","",('Route capacity parameters'!$H32+('Patronage summary'!$E$41*$V38))-'Route capacity parameters'!$H32))</f>
        <v/>
      </c>
      <c r="M38" s="377" t="str">
        <f>IF(Option2="No","",IF($B38="","",'Route capacity parameters'!$I32-'Capacity check'!L38/$F38))</f>
        <v/>
      </c>
      <c r="N38" s="376" t="str">
        <f>IF(Option2="No","",IF($B38="","",(IF($X$6=0,0,($X$6*(SUM('Diversion (option 2)'!$I$171:$I$176)/0.75)))+IF($AB$6=0,0,($AB$6*(SUM('Diversion (option 2)'!$N$171:$N$176)/0.75))))*$V38))</f>
        <v/>
      </c>
      <c r="O38" s="391" t="str">
        <f>IF(Option2="No","",IF(B38="","",(IF(VLOOKUP($C38,'Project details'!$B$34:$J$37,6,FALSE)="Yes",VLOOKUP($C38,'Project details'!$B$34:$J$37,7,FALSE),0)*$F38)-(IF($X$6=0,0,(($X$6*(SUM('Diversion (option 2)'!$I$30:$I$35)/0.75)))+IF($AB$6=0,0,($AB$6*(SUM('Diversion (option 2)'!$N$30:$N$35)/0.75)))*$V38))))</f>
        <v/>
      </c>
      <c r="P38" s="376" t="str">
        <f>IF(Option3="No","",IF($B38="","",('Route capacity parameters'!$H32+('Patronage summary'!$E$55*$V38))-'Route capacity parameters'!$H32))</f>
        <v/>
      </c>
      <c r="Q38" s="377" t="str">
        <f>IF(Option3="No","",IF($B38="","",'Route capacity parameters'!$I32-'Capacity check'!P38/$F38))</f>
        <v/>
      </c>
      <c r="R38" s="376" t="str">
        <f>IF(Option3="No","",IF($B38="","",(IF($Y$6=0,0,($Y$6*(SUM('Diversion (option 3)'!$I$171:$I$176)/0.75)))+IF($AC$6=0,0,($AC$6*(SUM('Diversion (option 3)'!$N$171:$N$176)/0.75))))*$V38))</f>
        <v/>
      </c>
      <c r="S38" s="391" t="str">
        <f>IF(Option3="No","",IF(F38="","",(IF(VLOOKUP($C38,'Project details'!$B$34:$J$37,8,FALSE)="Yes",VLOOKUP($C38,'Project details'!$B$34:$J$37,9,FALSE),0)*$F38)-(IF($Z$6=0,0,(($Z$6*(SUM('Diversion (option 3)'!$I$30:$I$35)/0.75)))+IF($AC$6=0,0,($AC$6*(SUM('Diversion (option 3)'!$N$30:$N$35)/0.75)))*$V38))))</f>
        <v/>
      </c>
      <c r="T38" s="154"/>
      <c r="V38" s="375" t="e">
        <f>('Route capacity parameters'!H32/'Station parameters'!$E$49)*VLOOKUP($C38,'Route capacity parameters'!$B$9:$C$12,2,FALSE)</f>
        <v>#DIV/0!</v>
      </c>
      <c r="W38" s="474"/>
      <c r="X38" s="475"/>
    </row>
    <row r="39" spans="2:24">
      <c r="B39" s="387" t="str">
        <f>IF(ISBLANK('Route capacity parameters'!B33),"",'Route capacity parameters'!B33)</f>
        <v/>
      </c>
      <c r="C39" s="387" t="str">
        <f>IF(ISBLANK('Route capacity parameters'!C33),"",'Route capacity parameters'!C33)</f>
        <v/>
      </c>
      <c r="D39" s="387" t="str">
        <f>IF(ISBLANK('Route capacity parameters'!D33),"",'Route capacity parameters'!D33)</f>
        <v/>
      </c>
      <c r="E39" s="387" t="str">
        <f>IF(ISBLANK('Route capacity parameters'!E33),"",'Route capacity parameters'!E33)</f>
        <v/>
      </c>
      <c r="F39" s="387" t="str">
        <f>IF(ISBLANK('Route capacity parameters'!F33),"",'Route capacity parameters'!F33)</f>
        <v/>
      </c>
      <c r="G39" s="376" t="str">
        <f>IF(B39="","",(IF(VLOOKUP($C39,'Project details'!$B$34:$J$37,2,FALSE)="Yes",VLOOKUP($C39,'Project details'!$B$34:$J$37,3,FALSE),0)*$F39)-(IF($V$6=0,0,(($V$6*(SUM('Diversion (option 1)'!$I$30:$I$35)/0.75)))+IF($Z$6=0,0,($Z$6*(SUM('Diversion (option 1)'!$N$30:$N$35)/0.75)))*$V39)))</f>
        <v/>
      </c>
      <c r="H39" s="376" t="str">
        <f>IF(Option1="No","",IF(B39="","",('Route capacity parameters'!H33+('Patronage summary'!$E$27*V39))-'Route capacity parameters'!H33))</f>
        <v/>
      </c>
      <c r="I39" s="377" t="str">
        <f>IF(Option1="No","",IF(B39="","",'Route capacity parameters'!I33-'Capacity check'!H39/F39))</f>
        <v/>
      </c>
      <c r="J39" s="376" t="str">
        <f>IF(Option1="No","",IF($B39="","",(IF($W$6=0,0,($W$6*(SUM('Diversion (option 1)'!$I$171:$I$176)/0.75)))+IF($AA$6=0,0,($AA$6*(SUM('Diversion (option 1)'!$N$171:$N$176)/0.75))))*$V39))</f>
        <v/>
      </c>
      <c r="K39" s="391" t="str">
        <f>IF(Option1="No","",IF(B39="","",(IF(VLOOKUP($C39,'Project details'!$B$34:$J$37,4,FALSE)="Yes",VLOOKUP($C39,'Project details'!$B$34:$J$37,5,FALSE),0)*$F39)-(IF($W$6=0,0,(($W$6*(SUM('Diversion (option 1)'!$I$30:$I$35)/0.75)))+IF($AA$6=0,0,($AA$6*(SUM('Diversion (option 1)'!$N$30:$N$35)/0.75)))*$V39))))</f>
        <v/>
      </c>
      <c r="L39" s="376" t="str">
        <f>IF(Option2="No","",IF($B39="","",('Route capacity parameters'!$H33+('Patronage summary'!$E$41*$V39))-'Route capacity parameters'!$H33))</f>
        <v/>
      </c>
      <c r="M39" s="377" t="str">
        <f>IF(Option2="No","",IF($B39="","",'Route capacity parameters'!$I33-'Capacity check'!L39/$F39))</f>
        <v/>
      </c>
      <c r="N39" s="376" t="str">
        <f>IF(Option2="No","",IF($B39="","",(IF($X$6=0,0,($X$6*(SUM('Diversion (option 2)'!$I$171:$I$176)/0.75)))+IF($AB$6=0,0,($AB$6*(SUM('Diversion (option 2)'!$N$171:$N$176)/0.75))))*$V39))</f>
        <v/>
      </c>
      <c r="O39" s="391" t="str">
        <f>IF(Option2="No","",IF(B39="","",(IF(VLOOKUP($C39,'Project details'!$B$34:$J$37,6,FALSE)="Yes",VLOOKUP($C39,'Project details'!$B$34:$J$37,7,FALSE),0)*$F39)-(IF($X$6=0,0,(($X$6*(SUM('Diversion (option 2)'!$I$30:$I$35)/0.75)))+IF($AB$6=0,0,($AB$6*(SUM('Diversion (option 2)'!$N$30:$N$35)/0.75)))*$V39))))</f>
        <v/>
      </c>
      <c r="P39" s="376" t="str">
        <f>IF(Option3="No","",IF($B39="","",('Route capacity parameters'!$H33+('Patronage summary'!$E$55*$V39))-'Route capacity parameters'!$H33))</f>
        <v/>
      </c>
      <c r="Q39" s="377" t="str">
        <f>IF(Option3="No","",IF($B39="","",'Route capacity parameters'!$I33-'Capacity check'!P39/$F39))</f>
        <v/>
      </c>
      <c r="R39" s="376" t="str">
        <f>IF(Option3="No","",IF($B39="","",(IF($Y$6=0,0,($Y$6*(SUM('Diversion (option 3)'!$I$171:$I$176)/0.75)))+IF($AC$6=0,0,($AC$6*(SUM('Diversion (option 3)'!$N$171:$N$176)/0.75))))*$V39))</f>
        <v/>
      </c>
      <c r="S39" s="391" t="str">
        <f>IF(Option3="No","",IF(F39="","",(IF(VLOOKUP($C39,'Project details'!$B$34:$J$37,8,FALSE)="Yes",VLOOKUP($C39,'Project details'!$B$34:$J$37,9,FALSE),0)*$F39)-(IF($Z$6=0,0,(($Z$6*(SUM('Diversion (option 3)'!$I$30:$I$35)/0.75)))+IF($AC$6=0,0,($AC$6*(SUM('Diversion (option 3)'!$N$30:$N$35)/0.75)))*$V39))))</f>
        <v/>
      </c>
      <c r="T39" s="154"/>
      <c r="V39" s="375" t="e">
        <f>('Route capacity parameters'!H33/'Station parameters'!$E$49)*VLOOKUP($C39,'Route capacity parameters'!$B$9:$C$12,2,FALSE)</f>
        <v>#DIV/0!</v>
      </c>
      <c r="W39" s="474"/>
      <c r="X39" s="475"/>
    </row>
    <row r="40" spans="2:24">
      <c r="B40" s="387" t="str">
        <f>IF(ISBLANK('Route capacity parameters'!B34),"",'Route capacity parameters'!B34)</f>
        <v/>
      </c>
      <c r="C40" s="387" t="str">
        <f>IF(ISBLANK('Route capacity parameters'!C34),"",'Route capacity parameters'!C34)</f>
        <v/>
      </c>
      <c r="D40" s="387" t="str">
        <f>IF(ISBLANK('Route capacity parameters'!D34),"",'Route capacity parameters'!D34)</f>
        <v/>
      </c>
      <c r="E40" s="387" t="str">
        <f>IF(ISBLANK('Route capacity parameters'!E34),"",'Route capacity parameters'!E34)</f>
        <v/>
      </c>
      <c r="F40" s="387" t="str">
        <f>IF(ISBLANK('Route capacity parameters'!F34),"",'Route capacity parameters'!F34)</f>
        <v/>
      </c>
      <c r="G40" s="376" t="str">
        <f>IF(B40="","",(IF(VLOOKUP($C40,'Project details'!$B$34:$J$37,2,FALSE)="Yes",VLOOKUP($C40,'Project details'!$B$34:$J$37,3,FALSE),0)*$F40)-(IF($V$6=0,0,(($V$6*(SUM('Diversion (option 1)'!$I$30:$I$35)/0.75)))+IF($Z$6=0,0,($Z$6*(SUM('Diversion (option 1)'!$N$30:$N$35)/0.75)))*$V40)))</f>
        <v/>
      </c>
      <c r="H40" s="376" t="str">
        <f>IF(Option1="No","",IF(B40="","",('Route capacity parameters'!H34+('Patronage summary'!$E$27*V40))-'Route capacity parameters'!H34))</f>
        <v/>
      </c>
      <c r="I40" s="377" t="str">
        <f>IF(Option1="No","",IF(B40="","",'Route capacity parameters'!I34-'Capacity check'!H40/F40))</f>
        <v/>
      </c>
      <c r="J40" s="376" t="str">
        <f>IF(Option1="No","",IF($B40="","",(IF($W$6=0,0,($W$6*(SUM('Diversion (option 1)'!$I$171:$I$176)/0.75)))+IF($AA$6=0,0,($AA$6*(SUM('Diversion (option 1)'!$N$171:$N$176)/0.75))))*$V40))</f>
        <v/>
      </c>
      <c r="K40" s="391" t="str">
        <f>IF(Option1="No","",IF(B40="","",(IF(VLOOKUP($C40,'Project details'!$B$34:$J$37,4,FALSE)="Yes",VLOOKUP($C40,'Project details'!$B$34:$J$37,5,FALSE),0)*$F40)-(IF($W$6=0,0,(($W$6*(SUM('Diversion (option 1)'!$I$30:$I$35)/0.75)))+IF($AA$6=0,0,($AA$6*(SUM('Diversion (option 1)'!$N$30:$N$35)/0.75)))*$V40))))</f>
        <v/>
      </c>
      <c r="L40" s="376" t="str">
        <f>IF(Option2="No","",IF($B40="","",('Route capacity parameters'!$H34+('Patronage summary'!$E$41*$V40))-'Route capacity parameters'!$H34))</f>
        <v/>
      </c>
      <c r="M40" s="377" t="str">
        <f>IF(Option2="No","",IF($B40="","",'Route capacity parameters'!$I34-'Capacity check'!L40/$F40))</f>
        <v/>
      </c>
      <c r="N40" s="376" t="str">
        <f>IF(Option2="No","",IF($B40="","",(IF($X$6=0,0,($X$6*(SUM('Diversion (option 2)'!$I$171:$I$176)/0.75)))+IF($AB$6=0,0,($AB$6*(SUM('Diversion (option 2)'!$N$171:$N$176)/0.75))))*$V40))</f>
        <v/>
      </c>
      <c r="O40" s="391" t="str">
        <f>IF(Option2="No","",IF(B40="","",(IF(VLOOKUP($C40,'Project details'!$B$34:$J$37,6,FALSE)="Yes",VLOOKUP($C40,'Project details'!$B$34:$J$37,7,FALSE),0)*$F40)-(IF($X$6=0,0,(($X$6*(SUM('Diversion (option 2)'!$I$30:$I$35)/0.75)))+IF($AB$6=0,0,($AB$6*(SUM('Diversion (option 2)'!$N$30:$N$35)/0.75)))*$V40))))</f>
        <v/>
      </c>
      <c r="P40" s="376" t="str">
        <f>IF(Option3="No","",IF($B40="","",('Route capacity parameters'!$H34+('Patronage summary'!$E$55*$V40))-'Route capacity parameters'!$H34))</f>
        <v/>
      </c>
      <c r="Q40" s="377" t="str">
        <f>IF(Option3="No","",IF($B40="","",'Route capacity parameters'!$I34-'Capacity check'!P40/$F40))</f>
        <v/>
      </c>
      <c r="R40" s="376" t="str">
        <f>IF(Option3="No","",IF($B40="","",(IF($Y$6=0,0,($Y$6*(SUM('Diversion (option 3)'!$I$171:$I$176)/0.75)))+IF($AC$6=0,0,($AC$6*(SUM('Diversion (option 3)'!$N$171:$N$176)/0.75))))*$V40))</f>
        <v/>
      </c>
      <c r="S40" s="391" t="str">
        <f>IF(Option3="No","",IF(F40="","",(IF(VLOOKUP($C40,'Project details'!$B$34:$J$37,8,FALSE)="Yes",VLOOKUP($C40,'Project details'!$B$34:$J$37,9,FALSE),0)*$F40)-(IF($Z$6=0,0,(($Z$6*(SUM('Diversion (option 3)'!$I$30:$I$35)/0.75)))+IF($AC$6=0,0,($AC$6*(SUM('Diversion (option 3)'!$N$30:$N$35)/0.75)))*$V40))))</f>
        <v/>
      </c>
      <c r="T40" s="154"/>
      <c r="V40" s="375" t="e">
        <f>('Route capacity parameters'!H34/'Station parameters'!$E$49)*VLOOKUP($C40,'Route capacity parameters'!$B$9:$C$12,2,FALSE)</f>
        <v>#DIV/0!</v>
      </c>
      <c r="W40" s="474"/>
      <c r="X40" s="475"/>
    </row>
    <row r="41" spans="2:24">
      <c r="B41" s="387" t="str">
        <f>IF(ISBLANK('Route capacity parameters'!B35),"",'Route capacity parameters'!B35)</f>
        <v/>
      </c>
      <c r="C41" s="387" t="str">
        <f>IF(ISBLANK('Route capacity parameters'!C35),"",'Route capacity parameters'!C35)</f>
        <v/>
      </c>
      <c r="D41" s="387" t="str">
        <f>IF(ISBLANK('Route capacity parameters'!D35),"",'Route capacity parameters'!D35)</f>
        <v/>
      </c>
      <c r="E41" s="387" t="str">
        <f>IF(ISBLANK('Route capacity parameters'!E35),"",'Route capacity parameters'!E35)</f>
        <v/>
      </c>
      <c r="F41" s="387" t="str">
        <f>IF(ISBLANK('Route capacity parameters'!F35),"",'Route capacity parameters'!F35)</f>
        <v/>
      </c>
      <c r="G41" s="376" t="str">
        <f>IF(B41="","",(IF(VLOOKUP($C41,'Project details'!$B$34:$J$37,2,FALSE)="Yes",VLOOKUP($C41,'Project details'!$B$34:$J$37,3,FALSE),0)*$F41)-(IF($V$6=0,0,(($V$6*(SUM('Diversion (option 1)'!$I$30:$I$35)/0.75)))+IF($Z$6=0,0,($Z$6*(SUM('Diversion (option 1)'!$N$30:$N$35)/0.75)))*$V41)))</f>
        <v/>
      </c>
      <c r="H41" s="376" t="str">
        <f>IF(Option1="No","",IF(B41="","",('Route capacity parameters'!H35+('Patronage summary'!$E$27*V41))-'Route capacity parameters'!H35))</f>
        <v/>
      </c>
      <c r="I41" s="377" t="str">
        <f>IF(Option1="No","",IF(B41="","",'Route capacity parameters'!I35-'Capacity check'!H41/F41))</f>
        <v/>
      </c>
      <c r="J41" s="376" t="str">
        <f>IF(Option1="No","",IF($B41="","",(IF($W$6=0,0,($W$6*(SUM('Diversion (option 1)'!$I$171:$I$176)/0.75)))+IF($AA$6=0,0,($AA$6*(SUM('Diversion (option 1)'!$N$171:$N$176)/0.75))))*$V41))</f>
        <v/>
      </c>
      <c r="K41" s="391" t="str">
        <f>IF(Option1="No","",IF(B41="","",(IF(VLOOKUP($C41,'Project details'!$B$34:$J$37,4,FALSE)="Yes",VLOOKUP($C41,'Project details'!$B$34:$J$37,5,FALSE),0)*$F41)-(IF($W$6=0,0,(($W$6*(SUM('Diversion (option 1)'!$I$30:$I$35)/0.75)))+IF($AA$6=0,0,($AA$6*(SUM('Diversion (option 1)'!$N$30:$N$35)/0.75)))*$V41))))</f>
        <v/>
      </c>
      <c r="L41" s="376" t="str">
        <f>IF(Option2="No","",IF($B41="","",('Route capacity parameters'!$H35+('Patronage summary'!$E$41*$V41))-'Route capacity parameters'!$H35))</f>
        <v/>
      </c>
      <c r="M41" s="377" t="str">
        <f>IF(Option2="No","",IF($B41="","",'Route capacity parameters'!$I35-'Capacity check'!L41/$F41))</f>
        <v/>
      </c>
      <c r="N41" s="376" t="str">
        <f>IF(Option2="No","",IF($B41="","",(IF($X$6=0,0,($X$6*(SUM('Diversion (option 2)'!$I$171:$I$176)/0.75)))+IF($AB$6=0,0,($AB$6*(SUM('Diversion (option 2)'!$N$171:$N$176)/0.75))))*$V41))</f>
        <v/>
      </c>
      <c r="O41" s="391" t="str">
        <f>IF(Option2="No","",IF(B41="","",(IF(VLOOKUP($C41,'Project details'!$B$34:$J$37,6,FALSE)="Yes",VLOOKUP($C41,'Project details'!$B$34:$J$37,7,FALSE),0)*$F41)-(IF($X$6=0,0,(($X$6*(SUM('Diversion (option 2)'!$I$30:$I$35)/0.75)))+IF($AB$6=0,0,($AB$6*(SUM('Diversion (option 2)'!$N$30:$N$35)/0.75)))*$V41))))</f>
        <v/>
      </c>
      <c r="P41" s="376" t="str">
        <f>IF(Option3="No","",IF($B41="","",('Route capacity parameters'!$H35+('Patronage summary'!$E$55*$V41))-'Route capacity parameters'!$H35))</f>
        <v/>
      </c>
      <c r="Q41" s="377" t="str">
        <f>IF(Option3="No","",IF($B41="","",'Route capacity parameters'!$I35-'Capacity check'!P41/$F41))</f>
        <v/>
      </c>
      <c r="R41" s="376" t="str">
        <f>IF(Option3="No","",IF($B41="","",(IF($Y$6=0,0,($Y$6*(SUM('Diversion (option 3)'!$I$171:$I$176)/0.75)))+IF($AC$6=0,0,($AC$6*(SUM('Diversion (option 3)'!$N$171:$N$176)/0.75))))*$V41))</f>
        <v/>
      </c>
      <c r="S41" s="391" t="str">
        <f>IF(Option3="No","",IF(F41="","",(IF(VLOOKUP($C41,'Project details'!$B$34:$J$37,8,FALSE)="Yes",VLOOKUP($C41,'Project details'!$B$34:$J$37,9,FALSE),0)*$F41)-(IF($Z$6=0,0,(($Z$6*(SUM('Diversion (option 3)'!$I$30:$I$35)/0.75)))+IF($AC$6=0,0,($AC$6*(SUM('Diversion (option 3)'!$N$30:$N$35)/0.75)))*$V41))))</f>
        <v/>
      </c>
      <c r="T41" s="154"/>
      <c r="V41" s="375" t="e">
        <f>('Route capacity parameters'!H35/'Station parameters'!$E$49)*VLOOKUP($C41,'Route capacity parameters'!$B$9:$C$12,2,FALSE)</f>
        <v>#DIV/0!</v>
      </c>
      <c r="W41" s="474"/>
      <c r="X41" s="475"/>
    </row>
    <row r="42" spans="2:24">
      <c r="B42" s="387" t="str">
        <f>IF(ISBLANK('Route capacity parameters'!B36),"",'Route capacity parameters'!B36)</f>
        <v/>
      </c>
      <c r="C42" s="387" t="str">
        <f>IF(ISBLANK('Route capacity parameters'!C36),"",'Route capacity parameters'!C36)</f>
        <v/>
      </c>
      <c r="D42" s="387" t="str">
        <f>IF(ISBLANK('Route capacity parameters'!D36),"",'Route capacity parameters'!D36)</f>
        <v/>
      </c>
      <c r="E42" s="387" t="str">
        <f>IF(ISBLANK('Route capacity parameters'!E36),"",'Route capacity parameters'!E36)</f>
        <v/>
      </c>
      <c r="F42" s="387" t="str">
        <f>IF(ISBLANK('Route capacity parameters'!F36),"",'Route capacity parameters'!F36)</f>
        <v/>
      </c>
      <c r="G42" s="376" t="str">
        <f>IF(B42="","",(IF(VLOOKUP($C42,'Project details'!$B$34:$J$37,2,FALSE)="Yes",VLOOKUP($C42,'Project details'!$B$34:$J$37,3,FALSE),0)*$F42)-(IF($V$6=0,0,(($V$6*(SUM('Diversion (option 1)'!$I$30:$I$35)/0.75)))+IF($Z$6=0,0,($Z$6*(SUM('Diversion (option 1)'!$N$30:$N$35)/0.75)))*$V42)))</f>
        <v/>
      </c>
      <c r="H42" s="376" t="str">
        <f>IF(Option1="No","",IF(B42="","",('Route capacity parameters'!H36+('Patronage summary'!$E$27*V42))-'Route capacity parameters'!H36))</f>
        <v/>
      </c>
      <c r="I42" s="377" t="str">
        <f>IF(Option1="No","",IF(B42="","",'Route capacity parameters'!I36-'Capacity check'!H42/F42))</f>
        <v/>
      </c>
      <c r="J42" s="376" t="str">
        <f>IF(Option1="No","",IF($B42="","",(IF($W$6=0,0,($W$6*(SUM('Diversion (option 1)'!$I$171:$I$176)/0.75)))+IF($AA$6=0,0,($AA$6*(SUM('Diversion (option 1)'!$N$171:$N$176)/0.75))))*$V42))</f>
        <v/>
      </c>
      <c r="K42" s="391" t="str">
        <f>IF(Option1="No","",IF(B42="","",(IF(VLOOKUP($C42,'Project details'!$B$34:$J$37,4,FALSE)="Yes",VLOOKUP($C42,'Project details'!$B$34:$J$37,5,FALSE),0)*$F42)-(IF($W$6=0,0,(($W$6*(SUM('Diversion (option 1)'!$I$30:$I$35)/0.75)))+IF($AA$6=0,0,($AA$6*(SUM('Diversion (option 1)'!$N$30:$N$35)/0.75)))*$V42))))</f>
        <v/>
      </c>
      <c r="L42" s="376" t="str">
        <f>IF(Option2="No","",IF($B42="","",('Route capacity parameters'!$H36+('Patronage summary'!$E$41*$V42))-'Route capacity parameters'!$H36))</f>
        <v/>
      </c>
      <c r="M42" s="377" t="str">
        <f>IF(Option2="No","",IF($B42="","",'Route capacity parameters'!$I36-'Capacity check'!L42/$F42))</f>
        <v/>
      </c>
      <c r="N42" s="376" t="str">
        <f>IF(Option2="No","",IF($B42="","",(IF($X$6=0,0,($X$6*(SUM('Diversion (option 2)'!$I$171:$I$176)/0.75)))+IF($AB$6=0,0,($AB$6*(SUM('Diversion (option 2)'!$N$171:$N$176)/0.75))))*$V42))</f>
        <v/>
      </c>
      <c r="O42" s="391" t="str">
        <f>IF(Option2="No","",IF(B42="","",(IF(VLOOKUP($C42,'Project details'!$B$34:$J$37,6,FALSE)="Yes",VLOOKUP($C42,'Project details'!$B$34:$J$37,7,FALSE),0)*$F42)-(IF($X$6=0,0,(($X$6*(SUM('Diversion (option 2)'!$I$30:$I$35)/0.75)))+IF($AB$6=0,0,($AB$6*(SUM('Diversion (option 2)'!$N$30:$N$35)/0.75)))*$V42))))</f>
        <v/>
      </c>
      <c r="P42" s="376" t="str">
        <f>IF(Option3="No","",IF($B42="","",('Route capacity parameters'!$H36+('Patronage summary'!$E$55*$V42))-'Route capacity parameters'!$H36))</f>
        <v/>
      </c>
      <c r="Q42" s="377" t="str">
        <f>IF(Option3="No","",IF($B42="","",'Route capacity parameters'!$I36-'Capacity check'!P42/$F42))</f>
        <v/>
      </c>
      <c r="R42" s="376" t="str">
        <f>IF(Option3="No","",IF($B42="","",(IF($Y$6=0,0,($Y$6*(SUM('Diversion (option 3)'!$I$171:$I$176)/0.75)))+IF($AC$6=0,0,($AC$6*(SUM('Diversion (option 3)'!$N$171:$N$176)/0.75))))*$V42))</f>
        <v/>
      </c>
      <c r="S42" s="391" t="str">
        <f>IF(Option3="No","",IF(F42="","",(IF(VLOOKUP($C42,'Project details'!$B$34:$J$37,8,FALSE)="Yes",VLOOKUP($C42,'Project details'!$B$34:$J$37,9,FALSE),0)*$F42)-(IF($Z$6=0,0,(($Z$6*(SUM('Diversion (option 3)'!$I$30:$I$35)/0.75)))+IF($AC$6=0,0,($AC$6*(SUM('Diversion (option 3)'!$N$30:$N$35)/0.75)))*$V42))))</f>
        <v/>
      </c>
      <c r="T42" s="154"/>
      <c r="V42" s="375" t="e">
        <f>('Route capacity parameters'!H36/'Station parameters'!$E$49)*VLOOKUP($C42,'Route capacity parameters'!$B$9:$C$12,2,FALSE)</f>
        <v>#DIV/0!</v>
      </c>
      <c r="W42" s="474"/>
      <c r="X42" s="475"/>
    </row>
  </sheetData>
  <sheetProtection password="EA07" sheet="1" objects="1" scenarios="1"/>
  <mergeCells count="2">
    <mergeCell ref="V4:Y4"/>
    <mergeCell ref="Z4:AC4"/>
  </mergeCells>
  <conditionalFormatting sqref="C9:F9">
    <cfRule type="expression" dxfId="14" priority="15">
      <formula>C$9&gt;C$8</formula>
    </cfRule>
  </conditionalFormatting>
  <conditionalFormatting sqref="C16:F16">
    <cfRule type="expression" dxfId="13" priority="14">
      <formula>C$16&gt;C$15</formula>
    </cfRule>
  </conditionalFormatting>
  <conditionalFormatting sqref="I23:I42">
    <cfRule type="cellIs" dxfId="12" priority="13" operator="lessThan">
      <formula>0</formula>
    </cfRule>
  </conditionalFormatting>
  <conditionalFormatting sqref="K23:K42">
    <cfRule type="cellIs" dxfId="11" priority="12" operator="lessThan">
      <formula>0</formula>
    </cfRule>
  </conditionalFormatting>
  <conditionalFormatting sqref="M23:M42">
    <cfRule type="cellIs" dxfId="10" priority="11" operator="lessThan">
      <formula>0</formula>
    </cfRule>
  </conditionalFormatting>
  <conditionalFormatting sqref="O23:O42">
    <cfRule type="cellIs" dxfId="9" priority="10" operator="lessThan">
      <formula>0</formula>
    </cfRule>
  </conditionalFormatting>
  <conditionalFormatting sqref="Q23:Q42">
    <cfRule type="cellIs" dxfId="8" priority="9" operator="lessThan">
      <formula>0</formula>
    </cfRule>
  </conditionalFormatting>
  <conditionalFormatting sqref="S23:T42">
    <cfRule type="cellIs" dxfId="7" priority="8" operator="lessThan">
      <formula>0</formula>
    </cfRule>
  </conditionalFormatting>
  <conditionalFormatting sqref="M23:M42">
    <cfRule type="cellIs" dxfId="6" priority="7" operator="lessThan">
      <formula>0</formula>
    </cfRule>
  </conditionalFormatting>
  <conditionalFormatting sqref="Q23:Q42">
    <cfRule type="cellIs" dxfId="5" priority="6" operator="lessThan">
      <formula>0</formula>
    </cfRule>
  </conditionalFormatting>
  <conditionalFormatting sqref="O23:O42">
    <cfRule type="cellIs" dxfId="4" priority="5" operator="lessThan">
      <formula>0</formula>
    </cfRule>
  </conditionalFormatting>
  <conditionalFormatting sqref="S23:T42">
    <cfRule type="cellIs" dxfId="3" priority="4" operator="lessThan">
      <formula>0</formula>
    </cfRule>
  </conditionalFormatting>
  <conditionalFormatting sqref="G23:G42">
    <cfRule type="expression" dxfId="2" priority="3">
      <formula>G23&lt;0</formula>
    </cfRule>
  </conditionalFormatting>
  <conditionalFormatting sqref="S23:S42">
    <cfRule type="cellIs" dxfId="1" priority="2" operator="lessThan">
      <formula>0</formula>
    </cfRule>
  </conditionalFormatting>
  <conditionalFormatting sqref="S23:S42">
    <cfRule type="cellIs" dxfId="0" priority="1" operator="lessThan">
      <formula>0</formula>
    </cfRule>
  </conditionalFormatting>
  <dataValidations count="2">
    <dataValidation type="list" allowBlank="1" showInputMessage="1" showErrorMessage="1" sqref="H7">
      <formula1>$AG$19:$AG$23</formula1>
    </dataValidation>
    <dataValidation type="list" allowBlank="1" showInputMessage="1" showErrorMessage="1" sqref="G14">
      <formula1>$AG$21:$AG$24</formula1>
    </dataValidation>
  </dataValidation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sheetPr>
    <tabColor rgb="FFFF0000"/>
  </sheetPr>
  <dimension ref="B1:P73"/>
  <sheetViews>
    <sheetView workbookViewId="0">
      <selection activeCell="C4" sqref="C4"/>
    </sheetView>
  </sheetViews>
  <sheetFormatPr defaultColWidth="9.140625" defaultRowHeight="15"/>
  <cols>
    <col min="1" max="1" width="9.140625" style="1"/>
    <col min="2" max="2" width="46.7109375" style="1" customWidth="1"/>
    <col min="3" max="3" width="18.5703125" style="1" customWidth="1"/>
    <col min="4" max="4" width="18.140625" style="1" customWidth="1"/>
    <col min="5" max="13" width="13.5703125" style="1" customWidth="1"/>
    <col min="14" max="18" width="13.42578125" style="1" customWidth="1"/>
    <col min="19" max="16384" width="9.140625" style="1"/>
  </cols>
  <sheetData>
    <row r="1" spans="2:16">
      <c r="B1" s="297" t="s">
        <v>489</v>
      </c>
      <c r="C1" s="297"/>
      <c r="D1" s="297"/>
      <c r="E1" s="297"/>
      <c r="F1" s="297"/>
      <c r="G1" s="297"/>
      <c r="H1" s="297"/>
      <c r="I1" s="297"/>
      <c r="J1" s="297"/>
      <c r="K1" s="297"/>
      <c r="L1" s="297"/>
      <c r="M1" s="297"/>
      <c r="N1" s="297"/>
    </row>
    <row r="2" spans="2:16">
      <c r="B2" s="60" t="s">
        <v>490</v>
      </c>
    </row>
    <row r="3" spans="2:16">
      <c r="E3" s="220" t="s">
        <v>635</v>
      </c>
      <c r="F3" s="428"/>
      <c r="G3" s="428"/>
      <c r="H3" s="428"/>
      <c r="I3" s="429"/>
      <c r="J3" s="220" t="s">
        <v>300</v>
      </c>
      <c r="K3" s="428"/>
      <c r="L3" s="428"/>
      <c r="M3" s="428"/>
      <c r="N3" s="429"/>
    </row>
    <row r="4" spans="2:16">
      <c r="C4" s="221" t="s">
        <v>634</v>
      </c>
      <c r="D4" s="221" t="s">
        <v>156</v>
      </c>
      <c r="E4" s="221" t="s">
        <v>42</v>
      </c>
      <c r="F4" s="221" t="s">
        <v>40</v>
      </c>
      <c r="G4" s="221" t="s">
        <v>157</v>
      </c>
      <c r="H4" s="221" t="s">
        <v>158</v>
      </c>
      <c r="I4" s="221" t="s">
        <v>25</v>
      </c>
      <c r="J4" s="221" t="s">
        <v>42</v>
      </c>
      <c r="K4" s="221" t="s">
        <v>40</v>
      </c>
      <c r="L4" s="221" t="s">
        <v>157</v>
      </c>
      <c r="M4" s="221" t="s">
        <v>158</v>
      </c>
      <c r="N4" s="221" t="s">
        <v>25</v>
      </c>
      <c r="P4" s="1" t="s">
        <v>401</v>
      </c>
    </row>
    <row r="5" spans="2:16">
      <c r="B5" s="290" t="s">
        <v>405</v>
      </c>
      <c r="C5" s="291" t="s">
        <v>402</v>
      </c>
      <c r="D5" s="291" t="s">
        <v>402</v>
      </c>
      <c r="E5" s="252">
        <v>0.91583353780720078</v>
      </c>
      <c r="F5" s="252">
        <v>1.0555572427841359E-2</v>
      </c>
      <c r="G5" s="252">
        <v>5.2779731013815168E-2</v>
      </c>
      <c r="H5" s="252">
        <v>2.7579803418122936E-2</v>
      </c>
      <c r="I5" s="252">
        <v>0</v>
      </c>
      <c r="J5" s="252">
        <v>0.91583353780720078</v>
      </c>
      <c r="K5" s="252">
        <v>1.0555572427841359E-2</v>
      </c>
      <c r="L5" s="252">
        <v>5.2779731013815168E-2</v>
      </c>
      <c r="M5" s="252">
        <v>2.7579803418122936E-2</v>
      </c>
      <c r="N5" s="252">
        <v>0</v>
      </c>
    </row>
    <row r="6" spans="2:16">
      <c r="B6" s="23" t="s">
        <v>406</v>
      </c>
      <c r="C6" s="291" t="s">
        <v>402</v>
      </c>
      <c r="D6" s="291" t="s">
        <v>402</v>
      </c>
      <c r="E6" s="252">
        <v>0.83187233408276395</v>
      </c>
      <c r="F6" s="252">
        <v>1.7879197702506712E-2</v>
      </c>
      <c r="G6" s="252">
        <v>0.11034943956426153</v>
      </c>
      <c r="H6" s="252">
        <v>4.5858761217969876E-2</v>
      </c>
      <c r="I6" s="252">
        <v>0</v>
      </c>
      <c r="J6" s="252">
        <v>0.83187233408276395</v>
      </c>
      <c r="K6" s="252">
        <v>1.7879197702506712E-2</v>
      </c>
      <c r="L6" s="252">
        <v>0.11034943956426153</v>
      </c>
      <c r="M6" s="252">
        <v>4.5858761217969876E-2</v>
      </c>
      <c r="N6" s="252">
        <v>0</v>
      </c>
    </row>
    <row r="7" spans="2:16">
      <c r="B7" s="23" t="s">
        <v>407</v>
      </c>
      <c r="C7" s="291" t="s">
        <v>402</v>
      </c>
      <c r="D7" s="291" t="s">
        <v>402</v>
      </c>
      <c r="E7" s="252">
        <v>0.87901893798787201</v>
      </c>
      <c r="F7" s="252">
        <v>6.9221717363730714E-3</v>
      </c>
      <c r="G7" s="252">
        <v>7.3557818706858846E-2</v>
      </c>
      <c r="H7" s="252">
        <v>4.219315799334309E-2</v>
      </c>
      <c r="I7" s="252">
        <v>0</v>
      </c>
      <c r="J7" s="252">
        <v>0.87901893798787201</v>
      </c>
      <c r="K7" s="252">
        <v>6.9221717363730714E-3</v>
      </c>
      <c r="L7" s="252">
        <v>7.3557818706858846E-2</v>
      </c>
      <c r="M7" s="252">
        <v>4.219315799334309E-2</v>
      </c>
      <c r="N7" s="252">
        <v>0</v>
      </c>
    </row>
    <row r="8" spans="2:16">
      <c r="B8" s="23" t="s">
        <v>409</v>
      </c>
      <c r="C8" s="291" t="s">
        <v>402</v>
      </c>
      <c r="D8" s="291" t="s">
        <v>402</v>
      </c>
      <c r="E8" s="252">
        <v>0.44298758071109701</v>
      </c>
      <c r="F8" s="252">
        <v>3.9787272001146526E-2</v>
      </c>
      <c r="G8" s="252">
        <v>0.39326985213257959</v>
      </c>
      <c r="H8" s="252">
        <v>0.13089147675552112</v>
      </c>
      <c r="I8" s="252">
        <v>0</v>
      </c>
      <c r="J8" s="252">
        <v>0.44298758071109701</v>
      </c>
      <c r="K8" s="252">
        <v>3.9787272001146526E-2</v>
      </c>
      <c r="L8" s="252">
        <v>0.39326985213257959</v>
      </c>
      <c r="M8" s="252">
        <v>0.13089147675552112</v>
      </c>
      <c r="N8" s="252">
        <v>0</v>
      </c>
    </row>
    <row r="9" spans="2:16">
      <c r="B9" s="23" t="s">
        <v>411</v>
      </c>
      <c r="C9" s="293" t="s">
        <v>427</v>
      </c>
      <c r="D9" s="291" t="s">
        <v>402</v>
      </c>
      <c r="E9" s="292" t="e">
        <f>VLOOKUP('Station parameters'!$O$3,Catchments!$B$23:$N$39,4,FALSE)</f>
        <v>#N/A</v>
      </c>
      <c r="F9" s="292" t="e">
        <f>VLOOKUP('Station parameters'!$O$3,Catchments!$B$23:$N$39,5,FALSE)</f>
        <v>#N/A</v>
      </c>
      <c r="G9" s="292" t="e">
        <f>VLOOKUP('Station parameters'!$O$3,Catchments!$B$23:$N$39,6,FALSE)</f>
        <v>#N/A</v>
      </c>
      <c r="H9" s="292" t="e">
        <f>VLOOKUP('Station parameters'!$O$3,Catchments!$B$23:$N$39,7,FALSE)</f>
        <v>#N/A</v>
      </c>
      <c r="I9" s="292" t="e">
        <f>VLOOKUP('Station parameters'!$O$3,Catchments!$B$23:$N$39,8,FALSE)</f>
        <v>#N/A</v>
      </c>
      <c r="J9" s="252">
        <v>0.37574604762210301</v>
      </c>
      <c r="K9" s="252">
        <v>2.9540546167909337E-2</v>
      </c>
      <c r="L9" s="252">
        <v>0.4827947896551032</v>
      </c>
      <c r="M9" s="252">
        <v>0.124955207283026</v>
      </c>
      <c r="N9" s="252">
        <v>0</v>
      </c>
    </row>
    <row r="10" spans="2:16">
      <c r="B10" s="23" t="s">
        <v>413</v>
      </c>
      <c r="C10" s="291" t="s">
        <v>402</v>
      </c>
      <c r="D10" s="291" t="s">
        <v>402</v>
      </c>
      <c r="E10" s="252">
        <v>0.37206993765712298</v>
      </c>
      <c r="F10" s="252">
        <v>1.7870316679413679E-2</v>
      </c>
      <c r="G10" s="252">
        <v>0.45015649428054244</v>
      </c>
      <c r="H10" s="252">
        <v>0.16410803177807717</v>
      </c>
      <c r="I10" s="252">
        <v>0</v>
      </c>
      <c r="J10" s="252">
        <v>0.37206993765712298</v>
      </c>
      <c r="K10" s="252">
        <v>1.7870316679413679E-2</v>
      </c>
      <c r="L10" s="252">
        <v>0.45015649428054244</v>
      </c>
      <c r="M10" s="252">
        <v>0.16410803177807717</v>
      </c>
      <c r="N10" s="252">
        <v>0</v>
      </c>
    </row>
    <row r="11" spans="2:16">
      <c r="B11" s="23" t="s">
        <v>414</v>
      </c>
      <c r="C11" s="291" t="s">
        <v>402</v>
      </c>
      <c r="D11" s="291" t="s">
        <v>402</v>
      </c>
      <c r="E11" s="252">
        <v>0.26253382539691039</v>
      </c>
      <c r="F11" s="252">
        <v>1.24313556260963E-2</v>
      </c>
      <c r="G11" s="252">
        <v>0.54489059814503771</v>
      </c>
      <c r="H11" s="252">
        <v>0.18014422083195544</v>
      </c>
      <c r="I11" s="252">
        <v>0</v>
      </c>
      <c r="J11" s="252">
        <v>0.26253382539691039</v>
      </c>
      <c r="K11" s="252">
        <v>1.24313556260963E-2</v>
      </c>
      <c r="L11" s="252">
        <v>0.54489059814503771</v>
      </c>
      <c r="M11" s="252">
        <v>0.18014422083195544</v>
      </c>
      <c r="N11" s="252">
        <v>0</v>
      </c>
    </row>
    <row r="12" spans="2:16">
      <c r="B12" s="23" t="s">
        <v>415</v>
      </c>
      <c r="C12" s="291" t="s">
        <v>402</v>
      </c>
      <c r="D12" s="291" t="s">
        <v>402</v>
      </c>
      <c r="E12" s="252">
        <v>0.32143487391230818</v>
      </c>
      <c r="F12" s="252">
        <v>1.4269499802225943E-2</v>
      </c>
      <c r="G12" s="252">
        <v>0.52107648704153264</v>
      </c>
      <c r="H12" s="252">
        <v>0.14614621612644108</v>
      </c>
      <c r="I12" s="252">
        <v>0</v>
      </c>
      <c r="J12" s="252">
        <v>0.32143487391230818</v>
      </c>
      <c r="K12" s="252">
        <v>1.4269499802225943E-2</v>
      </c>
      <c r="L12" s="252">
        <v>0.52107648704153264</v>
      </c>
      <c r="M12" s="252">
        <v>0.14614621612644108</v>
      </c>
      <c r="N12" s="252">
        <v>0</v>
      </c>
    </row>
    <row r="13" spans="2:16">
      <c r="B13" s="23" t="s">
        <v>416</v>
      </c>
      <c r="C13" s="291" t="s">
        <v>402</v>
      </c>
      <c r="D13" s="291" t="s">
        <v>402</v>
      </c>
      <c r="E13" s="252">
        <v>0.3563863315709378</v>
      </c>
      <c r="F13" s="252">
        <v>2.1655813989667434E-2</v>
      </c>
      <c r="G13" s="252">
        <v>0.48206621261083887</v>
      </c>
      <c r="H13" s="252">
        <v>0.1471102464917784</v>
      </c>
      <c r="I13" s="252">
        <v>0</v>
      </c>
      <c r="J13" s="252">
        <v>0.3563863315709378</v>
      </c>
      <c r="K13" s="252">
        <v>2.1655813989667434E-2</v>
      </c>
      <c r="L13" s="252">
        <v>0.48206621261083887</v>
      </c>
      <c r="M13" s="252">
        <v>0.1471102464917784</v>
      </c>
      <c r="N13" s="252">
        <v>0</v>
      </c>
    </row>
    <row r="14" spans="2:16">
      <c r="B14" s="23" t="s">
        <v>417</v>
      </c>
      <c r="C14" s="291" t="s">
        <v>402</v>
      </c>
      <c r="D14" s="291" t="s">
        <v>402</v>
      </c>
      <c r="E14" s="252">
        <v>8.013103108721259E-2</v>
      </c>
      <c r="F14" s="252">
        <v>6.899385776651816E-2</v>
      </c>
      <c r="G14" s="252">
        <v>0.66608057957125422</v>
      </c>
      <c r="H14" s="252">
        <v>0.18479453157501494</v>
      </c>
      <c r="I14" s="252">
        <v>0</v>
      </c>
      <c r="J14" s="252">
        <v>8.013103108721259E-2</v>
      </c>
      <c r="K14" s="252">
        <v>6.899385776651816E-2</v>
      </c>
      <c r="L14" s="252">
        <v>0.66608057957125422</v>
      </c>
      <c r="M14" s="252">
        <v>0.18479453157501494</v>
      </c>
      <c r="N14" s="252">
        <v>0</v>
      </c>
    </row>
    <row r="15" spans="2:16">
      <c r="B15" s="23" t="s">
        <v>418</v>
      </c>
      <c r="C15" s="293" t="s">
        <v>427</v>
      </c>
      <c r="D15" s="291" t="s">
        <v>402</v>
      </c>
      <c r="E15" s="292" t="e">
        <f>VLOOKUP('Station parameters'!$O$3,Catchments!$B$23:$N$39,4,FALSE)</f>
        <v>#N/A</v>
      </c>
      <c r="F15" s="292" t="e">
        <f>VLOOKUP('Station parameters'!$O$3,Catchments!$B$23:$N$39,5,FALSE)</f>
        <v>#N/A</v>
      </c>
      <c r="G15" s="292" t="e">
        <f>VLOOKUP('Station parameters'!$O$3,Catchments!$B$23:$N$39,6,FALSE)</f>
        <v>#N/A</v>
      </c>
      <c r="H15" s="292" t="e">
        <f>VLOOKUP('Station parameters'!$O$3,Catchments!$B$23:$N$39,7,FALSE)</f>
        <v>#N/A</v>
      </c>
      <c r="I15" s="292" t="e">
        <f>VLOOKUP('Station parameters'!$O$3,Catchments!$B$23:$N$39,4,FALSE)</f>
        <v>#N/A</v>
      </c>
      <c r="J15" s="252">
        <v>0.73309894604887249</v>
      </c>
      <c r="K15" s="252">
        <v>2.028060789977313E-2</v>
      </c>
      <c r="L15" s="252">
        <v>0.17280960702709519</v>
      </c>
      <c r="M15" s="252">
        <v>8.48729887877719E-2</v>
      </c>
      <c r="N15" s="252">
        <v>0</v>
      </c>
    </row>
    <row r="16" spans="2:16">
      <c r="B16" s="23" t="s">
        <v>419</v>
      </c>
      <c r="C16" s="291" t="s">
        <v>402</v>
      </c>
      <c r="D16" s="291" t="s">
        <v>402</v>
      </c>
      <c r="E16" s="252">
        <v>0.11307453506000477</v>
      </c>
      <c r="F16" s="252">
        <v>1.3294679761263695E-2</v>
      </c>
      <c r="G16" s="252">
        <v>0.73711334492550296</v>
      </c>
      <c r="H16" s="252">
        <v>0.13859473396592614</v>
      </c>
      <c r="I16" s="252">
        <v>0</v>
      </c>
      <c r="J16" s="252">
        <v>0.11307453506000477</v>
      </c>
      <c r="K16" s="252">
        <v>1.3294679761263695E-2</v>
      </c>
      <c r="L16" s="252">
        <v>0.73711334492550296</v>
      </c>
      <c r="M16" s="252">
        <v>0.13859473396592614</v>
      </c>
      <c r="N16" s="252">
        <v>0</v>
      </c>
    </row>
    <row r="18" spans="2:14">
      <c r="B18" s="297" t="s">
        <v>491</v>
      </c>
      <c r="C18" s="343"/>
      <c r="D18" s="343"/>
      <c r="E18" s="343"/>
      <c r="F18" s="343"/>
      <c r="G18" s="343"/>
      <c r="H18" s="343"/>
      <c r="I18" s="343"/>
      <c r="J18" s="343"/>
      <c r="K18" s="343"/>
      <c r="L18" s="343"/>
      <c r="M18" s="343"/>
      <c r="N18" s="343"/>
    </row>
    <row r="19" spans="2:14">
      <c r="B19" s="60" t="s">
        <v>492</v>
      </c>
    </row>
    <row r="21" spans="2:14">
      <c r="C21" s="221" t="s">
        <v>312</v>
      </c>
      <c r="D21" s="221" t="s">
        <v>313</v>
      </c>
      <c r="E21" s="220" t="s">
        <v>635</v>
      </c>
      <c r="F21" s="428"/>
      <c r="G21" s="428"/>
      <c r="H21" s="428"/>
      <c r="I21" s="429"/>
      <c r="J21" s="220" t="s">
        <v>300</v>
      </c>
      <c r="K21" s="428"/>
      <c r="L21" s="428"/>
      <c r="M21" s="428"/>
      <c r="N21" s="429"/>
    </row>
    <row r="22" spans="2:14" s="27" customFormat="1" ht="45">
      <c r="B22" s="221" t="s">
        <v>292</v>
      </c>
      <c r="C22" s="221" t="s">
        <v>291</v>
      </c>
      <c r="D22" s="227" t="s">
        <v>291</v>
      </c>
      <c r="E22" s="221" t="s">
        <v>42</v>
      </c>
      <c r="F22" s="221" t="s">
        <v>40</v>
      </c>
      <c r="G22" s="221" t="s">
        <v>157</v>
      </c>
      <c r="H22" s="221" t="s">
        <v>158</v>
      </c>
      <c r="I22" s="221" t="s">
        <v>25</v>
      </c>
      <c r="J22" s="221" t="s">
        <v>42</v>
      </c>
      <c r="K22" s="221" t="s">
        <v>40</v>
      </c>
      <c r="L22" s="221" t="s">
        <v>157</v>
      </c>
      <c r="M22" s="221" t="s">
        <v>158</v>
      </c>
      <c r="N22" s="221" t="s">
        <v>25</v>
      </c>
    </row>
    <row r="23" spans="2:14">
      <c r="B23" s="23" t="s">
        <v>186</v>
      </c>
      <c r="C23" s="279">
        <v>1600</v>
      </c>
      <c r="D23" s="279">
        <v>2500</v>
      </c>
      <c r="E23" s="252">
        <v>0.6533101045296168</v>
      </c>
      <c r="F23" s="252">
        <v>4.0000000000000001E-3</v>
      </c>
      <c r="G23" s="252">
        <v>0.12444001991040318</v>
      </c>
      <c r="H23" s="252">
        <v>0.21777003484320556</v>
      </c>
      <c r="I23" s="252">
        <v>0</v>
      </c>
      <c r="J23" s="252">
        <v>0.98917117867555182</v>
      </c>
      <c r="K23" s="252">
        <v>0</v>
      </c>
      <c r="L23" s="252">
        <v>1.0412328196584756E-2</v>
      </c>
      <c r="M23" s="252">
        <v>0</v>
      </c>
      <c r="N23" s="252">
        <v>0</v>
      </c>
    </row>
    <row r="24" spans="2:14">
      <c r="B24" s="23" t="s">
        <v>286</v>
      </c>
      <c r="C24" s="279">
        <v>1200</v>
      </c>
      <c r="D24" s="279">
        <v>2500</v>
      </c>
      <c r="E24" s="252">
        <v>0.3931297709923664</v>
      </c>
      <c r="F24" s="252">
        <v>3.8167938931297708E-3</v>
      </c>
      <c r="G24" s="252">
        <v>0.34732824427480918</v>
      </c>
      <c r="H24" s="252">
        <v>0.25572519083969464</v>
      </c>
      <c r="I24" s="252">
        <v>0</v>
      </c>
      <c r="J24" s="252">
        <v>0.9580152671755725</v>
      </c>
      <c r="K24" s="252">
        <v>0</v>
      </c>
      <c r="L24" s="252">
        <v>1.5267175572519083E-2</v>
      </c>
      <c r="M24" s="252">
        <v>2.6717557251908396E-2</v>
      </c>
      <c r="N24" s="252">
        <v>0</v>
      </c>
    </row>
    <row r="25" spans="2:14">
      <c r="B25" s="23" t="s">
        <v>287</v>
      </c>
      <c r="C25" s="279">
        <v>1200</v>
      </c>
      <c r="D25" s="279">
        <v>2500</v>
      </c>
      <c r="E25" s="252">
        <v>0.46633233441379734</v>
      </c>
      <c r="F25" s="252">
        <v>4.0000000000000001E-3</v>
      </c>
      <c r="G25" s="252">
        <v>0.30324343057509229</v>
      </c>
      <c r="H25" s="252">
        <v>0.22679550690069925</v>
      </c>
      <c r="I25" s="252">
        <v>0</v>
      </c>
      <c r="J25" s="252">
        <v>0.96931357294084641</v>
      </c>
      <c r="K25" s="252">
        <v>0</v>
      </c>
      <c r="L25" s="252">
        <v>1.2754125959747979E-2</v>
      </c>
      <c r="M25" s="252">
        <v>1.785577634364717E-2</v>
      </c>
      <c r="N25" s="252">
        <v>0</v>
      </c>
    </row>
    <row r="26" spans="2:14">
      <c r="B26" s="23" t="s">
        <v>288</v>
      </c>
      <c r="C26" s="279">
        <v>1200</v>
      </c>
      <c r="D26" s="279">
        <v>2500</v>
      </c>
      <c r="E26" s="252">
        <v>0.46633233441379734</v>
      </c>
      <c r="F26" s="252">
        <v>4.0000000000000001E-3</v>
      </c>
      <c r="G26" s="252">
        <v>0.30324343057509229</v>
      </c>
      <c r="H26" s="252">
        <v>0.22679550690069925</v>
      </c>
      <c r="I26" s="252">
        <v>0</v>
      </c>
      <c r="J26" s="252">
        <v>0.96931357294084641</v>
      </c>
      <c r="K26" s="252">
        <v>0</v>
      </c>
      <c r="L26" s="252">
        <v>1.2754125959747979E-2</v>
      </c>
      <c r="M26" s="252">
        <v>1.785577634364717E-2</v>
      </c>
      <c r="N26" s="252">
        <v>0</v>
      </c>
    </row>
    <row r="27" spans="2:14">
      <c r="B27" s="23" t="s">
        <v>289</v>
      </c>
      <c r="C27" s="279">
        <v>1200</v>
      </c>
      <c r="D27" s="279">
        <v>2500</v>
      </c>
      <c r="E27" s="252">
        <v>0.46633233441379734</v>
      </c>
      <c r="F27" s="252">
        <v>4.0000000000000001E-3</v>
      </c>
      <c r="G27" s="252">
        <v>0.30324343057509229</v>
      </c>
      <c r="H27" s="252">
        <v>0.22679550690069925</v>
      </c>
      <c r="I27" s="252">
        <v>0</v>
      </c>
      <c r="J27" s="252">
        <v>0.96931357294084641</v>
      </c>
      <c r="K27" s="252">
        <v>0</v>
      </c>
      <c r="L27" s="252">
        <v>1.2754125959747979E-2</v>
      </c>
      <c r="M27" s="252">
        <v>1.785577634364717E-2</v>
      </c>
      <c r="N27" s="252">
        <v>0</v>
      </c>
    </row>
    <row r="28" spans="2:14">
      <c r="B28" s="23" t="s">
        <v>290</v>
      </c>
      <c r="C28" s="279">
        <v>1200</v>
      </c>
      <c r="D28" s="279">
        <v>2500</v>
      </c>
      <c r="E28" s="252">
        <v>0.46633233441379734</v>
      </c>
      <c r="F28" s="252">
        <v>4.0000000000000001E-3</v>
      </c>
      <c r="G28" s="252">
        <v>0.30324343057509229</v>
      </c>
      <c r="H28" s="252">
        <v>0.22679550690069925</v>
      </c>
      <c r="I28" s="252">
        <v>0</v>
      </c>
      <c r="J28" s="252">
        <v>0.96931357294084641</v>
      </c>
      <c r="K28" s="252">
        <v>0</v>
      </c>
      <c r="L28" s="252">
        <v>1.2754125959747979E-2</v>
      </c>
      <c r="M28" s="252">
        <v>1.785577634364717E-2</v>
      </c>
      <c r="N28" s="252">
        <v>0</v>
      </c>
    </row>
    <row r="29" spans="2:14">
      <c r="C29" s="280"/>
      <c r="D29" s="280"/>
      <c r="E29" s="100"/>
      <c r="F29" s="100"/>
      <c r="G29" s="100"/>
      <c r="H29" s="100"/>
      <c r="I29" s="100"/>
      <c r="J29" s="100"/>
      <c r="K29" s="100"/>
      <c r="L29" s="100"/>
      <c r="M29" s="100"/>
      <c r="N29" s="100"/>
    </row>
    <row r="30" spans="2:14">
      <c r="B30" s="23" t="s">
        <v>94</v>
      </c>
      <c r="C30" s="279">
        <v>1200</v>
      </c>
      <c r="D30" s="279">
        <v>2500</v>
      </c>
      <c r="E30" s="252">
        <v>0.35299999999999998</v>
      </c>
      <c r="F30" s="252">
        <v>1.4999999999999999E-2</v>
      </c>
      <c r="G30" s="252">
        <v>0.28000000000000003</v>
      </c>
      <c r="H30" s="252">
        <v>0.35199999999999998</v>
      </c>
      <c r="I30" s="252">
        <v>0</v>
      </c>
      <c r="J30" s="252">
        <v>0.87878787878787878</v>
      </c>
      <c r="K30" s="252">
        <v>0</v>
      </c>
      <c r="L30" s="252">
        <v>0</v>
      </c>
      <c r="M30" s="252">
        <v>0.12121212121212122</v>
      </c>
      <c r="N30" s="252">
        <v>0</v>
      </c>
    </row>
    <row r="31" spans="2:14">
      <c r="C31" s="280"/>
      <c r="D31" s="280"/>
      <c r="E31" s="100"/>
      <c r="F31" s="100"/>
      <c r="G31" s="100"/>
      <c r="H31" s="100"/>
      <c r="I31" s="100"/>
      <c r="J31" s="100"/>
      <c r="K31" s="100"/>
      <c r="L31" s="100"/>
      <c r="M31" s="100"/>
      <c r="N31" s="100"/>
    </row>
    <row r="32" spans="2:14">
      <c r="B32" s="23" t="s">
        <v>298</v>
      </c>
      <c r="C32" s="279">
        <v>1000</v>
      </c>
      <c r="D32" s="279">
        <v>2500</v>
      </c>
      <c r="E32" s="252">
        <v>0.79400000000000004</v>
      </c>
      <c r="F32" s="252">
        <v>6.0000000000000001E-3</v>
      </c>
      <c r="G32" s="252">
        <v>0.05</v>
      </c>
      <c r="H32" s="252">
        <v>0.15</v>
      </c>
      <c r="I32" s="252">
        <v>0</v>
      </c>
      <c r="J32" s="252">
        <v>0.98399999999999999</v>
      </c>
      <c r="K32" s="252">
        <v>0</v>
      </c>
      <c r="L32" s="252">
        <v>7.0000000000000001E-3</v>
      </c>
      <c r="M32" s="252">
        <v>8.9999999999999993E-3</v>
      </c>
      <c r="N32" s="252">
        <v>0</v>
      </c>
    </row>
    <row r="33" spans="2:14">
      <c r="C33" s="280"/>
      <c r="D33" s="280"/>
      <c r="E33" s="100"/>
      <c r="F33" s="100"/>
      <c r="G33" s="100"/>
      <c r="H33" s="100"/>
      <c r="I33" s="100"/>
      <c r="J33" s="100"/>
      <c r="K33" s="100"/>
      <c r="L33" s="100"/>
      <c r="M33" s="100"/>
      <c r="N33" s="100"/>
    </row>
    <row r="34" spans="2:14">
      <c r="B34" s="23" t="s">
        <v>187</v>
      </c>
      <c r="C34" s="279">
        <v>500</v>
      </c>
      <c r="D34" s="279">
        <v>1400</v>
      </c>
      <c r="E34" s="252">
        <v>0.92307692307692313</v>
      </c>
      <c r="F34" s="252">
        <v>1.201923076923077E-3</v>
      </c>
      <c r="G34" s="252">
        <v>2.7644230769230768E-2</v>
      </c>
      <c r="H34" s="252">
        <v>4.807692307692308E-2</v>
      </c>
      <c r="I34" s="252">
        <v>0</v>
      </c>
      <c r="J34" s="252">
        <v>0.99519230769230771</v>
      </c>
      <c r="K34" s="252">
        <v>0</v>
      </c>
      <c r="L34" s="252">
        <v>0</v>
      </c>
      <c r="M34" s="252">
        <v>4.807692307692308E-3</v>
      </c>
      <c r="N34" s="252">
        <v>0</v>
      </c>
    </row>
    <row r="35" spans="2:14">
      <c r="B35" s="23" t="s">
        <v>293</v>
      </c>
      <c r="C35" s="279">
        <v>500</v>
      </c>
      <c r="D35" s="279">
        <v>1400</v>
      </c>
      <c r="E35" s="252">
        <v>0.88926174496644295</v>
      </c>
      <c r="F35" s="252">
        <v>3.3557046979865771E-3</v>
      </c>
      <c r="G35" s="252">
        <v>3.3557046979865771E-3</v>
      </c>
      <c r="H35" s="252">
        <v>0.1040268456375839</v>
      </c>
      <c r="I35" s="252">
        <v>0</v>
      </c>
      <c r="J35" s="252">
        <v>0.99496644295302017</v>
      </c>
      <c r="K35" s="252">
        <v>0</v>
      </c>
      <c r="L35" s="252">
        <v>0</v>
      </c>
      <c r="M35" s="252">
        <v>5.0335570469798654E-3</v>
      </c>
      <c r="N35" s="252">
        <v>0</v>
      </c>
    </row>
    <row r="36" spans="2:14">
      <c r="B36" s="23" t="s">
        <v>294</v>
      </c>
      <c r="C36" s="279">
        <v>500</v>
      </c>
      <c r="D36" s="279">
        <v>1400</v>
      </c>
      <c r="E36" s="252">
        <v>0.93160377358490565</v>
      </c>
      <c r="F36" s="252">
        <v>3.5377358490566039E-3</v>
      </c>
      <c r="G36" s="252">
        <v>1.0613207547169811E-2</v>
      </c>
      <c r="H36" s="252">
        <v>5.4245283018867926E-2</v>
      </c>
      <c r="I36" s="252">
        <v>0</v>
      </c>
      <c r="J36" s="252">
        <v>0.99056603773584906</v>
      </c>
      <c r="K36" s="252">
        <v>0</v>
      </c>
      <c r="L36" s="252">
        <v>0</v>
      </c>
      <c r="M36" s="252">
        <v>9.433962264150943E-3</v>
      </c>
      <c r="N36" s="252">
        <v>0</v>
      </c>
    </row>
    <row r="37" spans="2:14">
      <c r="B37" s="23" t="s">
        <v>295</v>
      </c>
      <c r="C37" s="279">
        <v>400</v>
      </c>
      <c r="D37" s="279">
        <v>1400</v>
      </c>
      <c r="E37" s="252">
        <v>0.91492537313432831</v>
      </c>
      <c r="F37" s="252">
        <v>2.9850746268656717E-3</v>
      </c>
      <c r="G37" s="252">
        <v>1.6417910447761194E-2</v>
      </c>
      <c r="H37" s="252">
        <v>6.5671641791044774E-2</v>
      </c>
      <c r="I37" s="252">
        <v>0</v>
      </c>
      <c r="J37" s="252">
        <v>0.98656716417910451</v>
      </c>
      <c r="K37" s="252">
        <v>0</v>
      </c>
      <c r="L37" s="252">
        <v>5.9701492537313433E-3</v>
      </c>
      <c r="M37" s="252">
        <v>7.462686567164179E-3</v>
      </c>
      <c r="N37" s="252">
        <v>0</v>
      </c>
    </row>
    <row r="38" spans="2:14">
      <c r="B38" s="23" t="s">
        <v>296</v>
      </c>
      <c r="C38" s="279">
        <v>300</v>
      </c>
      <c r="D38" s="279">
        <v>1400</v>
      </c>
      <c r="E38" s="252">
        <v>0.86399999999999999</v>
      </c>
      <c r="F38" s="252">
        <v>8.0000000000000002E-3</v>
      </c>
      <c r="G38" s="252">
        <v>1.6E-2</v>
      </c>
      <c r="H38" s="252">
        <v>0.112</v>
      </c>
      <c r="I38" s="252">
        <v>0</v>
      </c>
      <c r="J38" s="252">
        <v>1</v>
      </c>
      <c r="K38" s="252">
        <v>0</v>
      </c>
      <c r="L38" s="252">
        <v>0</v>
      </c>
      <c r="M38" s="252">
        <v>0</v>
      </c>
      <c r="N38" s="252">
        <v>0</v>
      </c>
    </row>
    <row r="39" spans="2:14">
      <c r="B39" s="23" t="s">
        <v>297</v>
      </c>
      <c r="C39" s="279">
        <v>300</v>
      </c>
      <c r="D39" s="279">
        <v>1400</v>
      </c>
      <c r="E39" s="252">
        <v>0.81389365351629506</v>
      </c>
      <c r="F39" s="252">
        <v>2.1440823327615779E-2</v>
      </c>
      <c r="G39" s="252">
        <v>1.7152658662092625E-2</v>
      </c>
      <c r="H39" s="252">
        <v>0.14751286449399656</v>
      </c>
      <c r="I39" s="252">
        <v>0</v>
      </c>
      <c r="J39" s="252">
        <v>0.99313893653516294</v>
      </c>
      <c r="K39" s="252">
        <v>0</v>
      </c>
      <c r="L39" s="252">
        <v>8.576329331046312E-4</v>
      </c>
      <c r="M39" s="252">
        <v>6.0034305317324182E-3</v>
      </c>
      <c r="N39" s="252">
        <v>0</v>
      </c>
    </row>
    <row r="41" spans="2:14">
      <c r="B41" s="297" t="s">
        <v>494</v>
      </c>
      <c r="C41" s="343"/>
      <c r="D41" s="343"/>
      <c r="E41" s="343"/>
      <c r="F41" s="343"/>
      <c r="G41" s="343"/>
      <c r="H41" s="343"/>
      <c r="I41" s="343"/>
      <c r="J41" s="343"/>
      <c r="K41" s="343"/>
      <c r="L41" s="343"/>
      <c r="M41" s="343"/>
      <c r="N41" s="343"/>
    </row>
    <row r="42" spans="2:14">
      <c r="B42" s="60" t="s">
        <v>493</v>
      </c>
    </row>
    <row r="44" spans="2:14" ht="15" customHeight="1">
      <c r="B44" s="577"/>
      <c r="C44" s="578" t="s">
        <v>393</v>
      </c>
      <c r="D44" s="579"/>
      <c r="E44" s="580"/>
      <c r="F44" s="578" t="s">
        <v>394</v>
      </c>
      <c r="G44" s="580"/>
    </row>
    <row r="45" spans="2:14">
      <c r="B45" s="577"/>
      <c r="C45" s="285">
        <v>500</v>
      </c>
      <c r="D45" s="285">
        <v>1200</v>
      </c>
      <c r="E45" s="285">
        <v>1600</v>
      </c>
      <c r="F45" s="285">
        <v>1400</v>
      </c>
      <c r="G45" s="285">
        <v>2500</v>
      </c>
    </row>
    <row r="46" spans="2:14">
      <c r="B46" s="282" t="s">
        <v>323</v>
      </c>
      <c r="C46" s="283">
        <v>0.05</v>
      </c>
      <c r="D46" s="283">
        <v>0.15</v>
      </c>
      <c r="E46" s="283">
        <v>0.3</v>
      </c>
      <c r="F46" s="283">
        <v>0.25</v>
      </c>
      <c r="G46" s="283">
        <v>0.4</v>
      </c>
    </row>
    <row r="47" spans="2:14">
      <c r="B47" s="282" t="s">
        <v>42</v>
      </c>
      <c r="C47" s="284" t="s">
        <v>175</v>
      </c>
      <c r="D47" s="284" t="s">
        <v>175</v>
      </c>
      <c r="E47" s="284" t="s">
        <v>175</v>
      </c>
      <c r="F47" s="283">
        <v>0.9</v>
      </c>
      <c r="G47" s="283">
        <v>1</v>
      </c>
    </row>
    <row r="48" spans="2:14">
      <c r="B48" s="282" t="s">
        <v>40</v>
      </c>
      <c r="C48" s="283">
        <v>0.25</v>
      </c>
      <c r="D48" s="283">
        <v>0.5</v>
      </c>
      <c r="E48" s="283">
        <v>0.75</v>
      </c>
      <c r="F48" s="284" t="s">
        <v>175</v>
      </c>
      <c r="G48" s="284" t="s">
        <v>175</v>
      </c>
    </row>
    <row r="49" spans="2:14">
      <c r="B49" s="282" t="s">
        <v>157</v>
      </c>
      <c r="C49" s="283">
        <v>0.01</v>
      </c>
      <c r="D49" s="283">
        <v>0.03</v>
      </c>
      <c r="E49" s="283">
        <v>0.05</v>
      </c>
      <c r="F49" s="283">
        <v>0.04</v>
      </c>
      <c r="G49" s="283">
        <v>0.15</v>
      </c>
    </row>
    <row r="50" spans="2:14">
      <c r="B50" s="282" t="s">
        <v>158</v>
      </c>
      <c r="C50" s="283">
        <v>0.05</v>
      </c>
      <c r="D50" s="283">
        <v>0.2</v>
      </c>
      <c r="E50" s="283">
        <v>0.3</v>
      </c>
      <c r="F50" s="283">
        <v>0.25</v>
      </c>
      <c r="G50" s="283">
        <v>0.5</v>
      </c>
    </row>
    <row r="52" spans="2:14">
      <c r="B52" s="297" t="s">
        <v>495</v>
      </c>
      <c r="C52" s="343"/>
      <c r="D52" s="343"/>
      <c r="E52" s="343"/>
      <c r="F52" s="343"/>
      <c r="G52" s="343"/>
      <c r="H52" s="343"/>
      <c r="I52" s="343"/>
      <c r="J52" s="343"/>
      <c r="K52" s="343"/>
      <c r="L52" s="343"/>
      <c r="M52" s="343"/>
      <c r="N52" s="343"/>
    </row>
    <row r="53" spans="2:14">
      <c r="B53" s="60" t="s">
        <v>493</v>
      </c>
    </row>
    <row r="54" spans="2:14" ht="15" customHeight="1">
      <c r="B54" s="60"/>
      <c r="C54" s="344" t="s">
        <v>362</v>
      </c>
      <c r="D54" s="345"/>
      <c r="E54" s="345"/>
      <c r="F54" s="345"/>
      <c r="G54" s="345"/>
      <c r="H54" s="346"/>
      <c r="I54" s="347" t="s">
        <v>496</v>
      </c>
      <c r="J54" s="345"/>
      <c r="K54" s="345"/>
      <c r="L54" s="345"/>
      <c r="M54" s="345"/>
      <c r="N54" s="346"/>
    </row>
    <row r="55" spans="2:14">
      <c r="C55" s="285" t="s">
        <v>58</v>
      </c>
      <c r="D55" s="285" t="s">
        <v>42</v>
      </c>
      <c r="E55" s="285" t="s">
        <v>40</v>
      </c>
      <c r="F55" s="285" t="s">
        <v>157</v>
      </c>
      <c r="G55" s="285" t="s">
        <v>158</v>
      </c>
      <c r="H55" s="285" t="s">
        <v>25</v>
      </c>
      <c r="I55" s="285" t="s">
        <v>58</v>
      </c>
      <c r="J55" s="285" t="s">
        <v>42</v>
      </c>
      <c r="K55" s="285" t="s">
        <v>40</v>
      </c>
      <c r="L55" s="285" t="s">
        <v>157</v>
      </c>
      <c r="M55" s="285" t="s">
        <v>158</v>
      </c>
      <c r="N55" s="285" t="s">
        <v>25</v>
      </c>
    </row>
    <row r="56" spans="2:14">
      <c r="B56" s="23" t="s">
        <v>176</v>
      </c>
      <c r="C56" s="348">
        <v>0.10825347690432732</v>
      </c>
      <c r="D56" s="348">
        <v>0.33316939807934742</v>
      </c>
      <c r="E56" s="348">
        <v>1.6593625521327024E-2</v>
      </c>
      <c r="F56" s="348">
        <v>1.6013338310877501</v>
      </c>
      <c r="G56" s="348">
        <v>0.87152004251680371</v>
      </c>
      <c r="H56" s="348">
        <v>4.5179290777325673E-2</v>
      </c>
      <c r="I56" s="348">
        <v>1.2298562455578528</v>
      </c>
      <c r="J56" s="348">
        <v>0.41999201485167625</v>
      </c>
      <c r="K56" s="348">
        <v>9.7212962932443844E-2</v>
      </c>
      <c r="L56" s="348">
        <v>18.354455912526422</v>
      </c>
      <c r="M56" s="348">
        <v>9.473417480195204</v>
      </c>
      <c r="N56" s="348">
        <v>0.48521385939523765</v>
      </c>
    </row>
    <row r="57" spans="2:14">
      <c r="B57" s="23" t="s">
        <v>177</v>
      </c>
      <c r="C57" s="348">
        <v>0.18523447120879405</v>
      </c>
      <c r="D57" s="348">
        <v>0.44253925795411919</v>
      </c>
      <c r="E57" s="348">
        <v>2.4162995788570136E-2</v>
      </c>
      <c r="F57" s="348">
        <v>1.4889665325174701</v>
      </c>
      <c r="G57" s="348">
        <v>0.90237008978134503</v>
      </c>
      <c r="H57" s="348">
        <v>5.748521347177353E-2</v>
      </c>
      <c r="I57" s="348">
        <v>3.0223302202399518</v>
      </c>
      <c r="J57" s="348">
        <v>0.59493117927613737</v>
      </c>
      <c r="K57" s="348">
        <v>0.10909844720787705</v>
      </c>
      <c r="L57" s="348">
        <v>20.867511196686181</v>
      </c>
      <c r="M57" s="348">
        <v>11.779984008766389</v>
      </c>
      <c r="N57" s="348">
        <v>0.74589176461003881</v>
      </c>
    </row>
    <row r="58" spans="2:14">
      <c r="B58" s="23" t="s">
        <v>178</v>
      </c>
      <c r="C58" s="348">
        <v>0.12950253142084706</v>
      </c>
      <c r="D58" s="348">
        <v>0.44812390835394855</v>
      </c>
      <c r="E58" s="348">
        <v>9.5824187815553241E-2</v>
      </c>
      <c r="F58" s="348">
        <v>1.4832375676762952</v>
      </c>
      <c r="G58" s="348">
        <v>0.80702428801909631</v>
      </c>
      <c r="H58" s="348">
        <v>4.0026697182904782E-2</v>
      </c>
      <c r="I58" s="348">
        <v>1.1225053601177628</v>
      </c>
      <c r="J58" s="348">
        <v>0.56312900696038626</v>
      </c>
      <c r="K58" s="348">
        <v>0.54609573844822956</v>
      </c>
      <c r="L58" s="348">
        <v>15.511231162005839</v>
      </c>
      <c r="M58" s="348">
        <v>9.374813154439682</v>
      </c>
      <c r="N58" s="348">
        <v>0.73077099550160363</v>
      </c>
    </row>
    <row r="59" spans="2:14">
      <c r="B59" s="23" t="s">
        <v>179</v>
      </c>
      <c r="C59" s="348">
        <v>4.4232219518115963E-2</v>
      </c>
      <c r="D59" s="348">
        <v>0.33194997674900278</v>
      </c>
      <c r="E59" s="348">
        <v>6.0426301361008766E-2</v>
      </c>
      <c r="F59" s="348">
        <v>1.6131430013891734</v>
      </c>
      <c r="G59" s="348">
        <v>0.8121132792791933</v>
      </c>
      <c r="H59" s="348">
        <v>7.5105029887839514E-2</v>
      </c>
      <c r="I59" s="348">
        <v>0.44551555388472874</v>
      </c>
      <c r="J59" s="348">
        <v>0.45053390506134561</v>
      </c>
      <c r="K59" s="348">
        <v>0.2571146979377647</v>
      </c>
      <c r="L59" s="348">
        <v>18.669034584217179</v>
      </c>
      <c r="M59" s="348">
        <v>11.312252926425145</v>
      </c>
      <c r="N59" s="348">
        <v>1.9287569533303552</v>
      </c>
    </row>
    <row r="60" spans="2:14">
      <c r="B60" s="23" t="s">
        <v>180</v>
      </c>
      <c r="C60" s="349">
        <v>0.04</v>
      </c>
      <c r="D60" s="348">
        <v>0.30975259251585902</v>
      </c>
      <c r="E60" s="348">
        <v>7.189574506071407E-2</v>
      </c>
      <c r="F60" s="348">
        <v>1.6286443611360406</v>
      </c>
      <c r="G60" s="348">
        <v>0.81304374352511055</v>
      </c>
      <c r="H60" s="348">
        <v>0.10508409851689229</v>
      </c>
      <c r="I60" s="349">
        <v>0.45</v>
      </c>
      <c r="J60" s="348">
        <v>0.42864564009986555</v>
      </c>
      <c r="K60" s="348">
        <v>0.24149407150066823</v>
      </c>
      <c r="L60" s="348">
        <v>19.784131945184548</v>
      </c>
      <c r="M60" s="348">
        <v>12.007863217958809</v>
      </c>
      <c r="N60" s="348">
        <v>2.8256058064563443</v>
      </c>
    </row>
    <row r="61" spans="2:14">
      <c r="B61" s="23" t="s">
        <v>116</v>
      </c>
      <c r="C61" s="348">
        <v>8.5258813298714611E-2</v>
      </c>
      <c r="D61" s="348">
        <v>0.25442387599020716</v>
      </c>
      <c r="E61" s="348">
        <v>3.7052256283658491E-2</v>
      </c>
      <c r="F61" s="348">
        <v>1.4674073925831723</v>
      </c>
      <c r="G61" s="348">
        <v>0.72310020051968638</v>
      </c>
      <c r="H61" s="348">
        <v>0.14190817217827431</v>
      </c>
      <c r="I61" s="348">
        <v>1.3885845284966012</v>
      </c>
      <c r="J61" s="348">
        <v>0.30431909285920333</v>
      </c>
      <c r="K61" s="348">
        <v>0.16105881846574588</v>
      </c>
      <c r="L61" s="348">
        <v>27.166953208854643</v>
      </c>
      <c r="M61" s="348">
        <v>16.89270171116878</v>
      </c>
      <c r="N61" s="348">
        <v>2.2365526190901655</v>
      </c>
    </row>
    <row r="63" spans="2:14">
      <c r="B63" s="297" t="s">
        <v>497</v>
      </c>
      <c r="C63" s="343"/>
      <c r="D63" s="343"/>
      <c r="E63" s="343"/>
      <c r="F63" s="343"/>
      <c r="G63" s="343"/>
      <c r="H63" s="343"/>
      <c r="I63" s="343"/>
      <c r="J63" s="343"/>
      <c r="K63" s="343"/>
      <c r="L63" s="343"/>
      <c r="M63" s="343"/>
      <c r="N63" s="343"/>
    </row>
    <row r="64" spans="2:14">
      <c r="B64" s="60" t="s">
        <v>493</v>
      </c>
    </row>
    <row r="65" spans="2:12">
      <c r="B65" s="60"/>
      <c r="C65" s="347" t="s">
        <v>636</v>
      </c>
      <c r="D65" s="345"/>
      <c r="E65" s="345"/>
      <c r="F65" s="345"/>
      <c r="G65" s="346"/>
      <c r="H65" s="347" t="s">
        <v>498</v>
      </c>
      <c r="I65" s="345"/>
      <c r="J65" s="345"/>
      <c r="K65" s="345"/>
      <c r="L65" s="346"/>
    </row>
    <row r="66" spans="2:12">
      <c r="C66" s="285" t="s">
        <v>42</v>
      </c>
      <c r="D66" s="285" t="s">
        <v>40</v>
      </c>
      <c r="E66" s="285" t="s">
        <v>157</v>
      </c>
      <c r="F66" s="285" t="s">
        <v>158</v>
      </c>
      <c r="G66" s="285" t="s">
        <v>25</v>
      </c>
      <c r="H66" s="285" t="s">
        <v>42</v>
      </c>
      <c r="I66" s="285" t="s">
        <v>40</v>
      </c>
      <c r="J66" s="285" t="s">
        <v>157</v>
      </c>
      <c r="K66" s="285" t="s">
        <v>158</v>
      </c>
      <c r="L66" s="285" t="s">
        <v>25</v>
      </c>
    </row>
    <row r="67" spans="2:12">
      <c r="B67" s="430" t="s">
        <v>176</v>
      </c>
      <c r="C67" s="361">
        <v>0.5</v>
      </c>
      <c r="D67" s="361">
        <v>1.42</v>
      </c>
      <c r="E67" s="361">
        <v>8.1</v>
      </c>
      <c r="F67" s="361">
        <v>4.97</v>
      </c>
      <c r="G67" s="361">
        <v>4.6900000000000004</v>
      </c>
      <c r="H67" s="361">
        <v>0.6</v>
      </c>
      <c r="I67" s="362">
        <v>1.42</v>
      </c>
      <c r="J67" s="362">
        <v>8.1</v>
      </c>
      <c r="K67" s="362">
        <v>7.97</v>
      </c>
      <c r="L67" s="361">
        <v>5.28</v>
      </c>
    </row>
    <row r="68" spans="2:12">
      <c r="B68" s="430" t="s">
        <v>177</v>
      </c>
      <c r="C68" s="361">
        <v>0.53</v>
      </c>
      <c r="D68" s="361">
        <v>1.42</v>
      </c>
      <c r="E68" s="361">
        <v>8.1</v>
      </c>
      <c r="F68" s="361">
        <v>4.91</v>
      </c>
      <c r="G68" s="361">
        <v>4.6900000000000004</v>
      </c>
      <c r="H68" s="361">
        <v>0.57999999999999996</v>
      </c>
      <c r="I68" s="362">
        <v>1.42</v>
      </c>
      <c r="J68" s="362">
        <v>8.1</v>
      </c>
      <c r="K68" s="362">
        <v>7.97</v>
      </c>
      <c r="L68" s="361">
        <v>5.28</v>
      </c>
    </row>
    <row r="69" spans="2:12">
      <c r="B69" s="430" t="s">
        <v>178</v>
      </c>
      <c r="C69" s="361">
        <v>0.52</v>
      </c>
      <c r="D69" s="361">
        <v>1.42</v>
      </c>
      <c r="E69" s="361">
        <v>8.1</v>
      </c>
      <c r="F69" s="361">
        <v>4.97</v>
      </c>
      <c r="G69" s="361">
        <v>4.6900000000000004</v>
      </c>
      <c r="H69" s="361">
        <v>0.49</v>
      </c>
      <c r="I69" s="362">
        <v>1.42</v>
      </c>
      <c r="J69" s="362">
        <v>8.1</v>
      </c>
      <c r="K69" s="362">
        <v>7.97</v>
      </c>
      <c r="L69" s="361">
        <v>5.28</v>
      </c>
    </row>
    <row r="70" spans="2:12">
      <c r="B70" s="430" t="s">
        <v>179</v>
      </c>
      <c r="C70" s="361">
        <v>0.39</v>
      </c>
      <c r="D70" s="361">
        <v>1.42</v>
      </c>
      <c r="E70" s="361">
        <v>8.1</v>
      </c>
      <c r="F70" s="361">
        <v>4.97</v>
      </c>
      <c r="G70" s="361">
        <v>4.6900000000000004</v>
      </c>
      <c r="H70" s="361">
        <v>0.27</v>
      </c>
      <c r="I70" s="362">
        <v>1.42</v>
      </c>
      <c r="J70" s="362">
        <v>8.1</v>
      </c>
      <c r="K70" s="362">
        <v>7.97</v>
      </c>
      <c r="L70" s="361">
        <v>5.28</v>
      </c>
    </row>
    <row r="71" spans="2:12">
      <c r="B71" s="430" t="s">
        <v>180</v>
      </c>
      <c r="C71" s="361">
        <v>0.39</v>
      </c>
      <c r="D71" s="361">
        <v>1.42</v>
      </c>
      <c r="E71" s="361">
        <v>8.1</v>
      </c>
      <c r="F71" s="361">
        <v>4.97</v>
      </c>
      <c r="G71" s="361">
        <v>4.6900000000000004</v>
      </c>
      <c r="H71" s="361">
        <v>0.27</v>
      </c>
      <c r="I71" s="362">
        <v>1.42</v>
      </c>
      <c r="J71" s="362">
        <v>8.1</v>
      </c>
      <c r="K71" s="362">
        <v>7.97</v>
      </c>
      <c r="L71" s="361">
        <v>5.28</v>
      </c>
    </row>
    <row r="72" spans="2:12">
      <c r="B72" s="430" t="s">
        <v>116</v>
      </c>
      <c r="C72" s="361">
        <v>0.27</v>
      </c>
      <c r="D72" s="361">
        <v>1.42</v>
      </c>
      <c r="E72" s="361">
        <v>8.1</v>
      </c>
      <c r="F72" s="361">
        <v>5.19</v>
      </c>
      <c r="G72" s="361">
        <v>4.6900000000000004</v>
      </c>
      <c r="H72" s="361">
        <v>0.18</v>
      </c>
      <c r="I72" s="362">
        <v>1.42</v>
      </c>
      <c r="J72" s="362">
        <v>8.1</v>
      </c>
      <c r="K72" s="362">
        <v>7.97</v>
      </c>
      <c r="L72" s="361">
        <v>5.28</v>
      </c>
    </row>
    <row r="73" spans="2:12">
      <c r="G73" s="350"/>
    </row>
  </sheetData>
  <sheetProtection password="EA07" sheet="1" objects="1" scenarios="1"/>
  <mergeCells count="3">
    <mergeCell ref="B44:B45"/>
    <mergeCell ref="C44:E44"/>
    <mergeCell ref="F44:G44"/>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sheetPr>
    <tabColor rgb="FFFF0000"/>
  </sheetPr>
  <dimension ref="B2:M108"/>
  <sheetViews>
    <sheetView workbookViewId="0">
      <selection activeCell="G4" sqref="G4"/>
    </sheetView>
  </sheetViews>
  <sheetFormatPr defaultColWidth="9.140625" defaultRowHeight="15"/>
  <cols>
    <col min="1" max="1" width="10.28515625" style="8" customWidth="1"/>
    <col min="2" max="2" width="34.5703125" style="8" customWidth="1"/>
    <col min="3" max="3" width="18.140625" style="8" customWidth="1"/>
    <col min="4" max="4" width="18.28515625" style="8" customWidth="1"/>
    <col min="5" max="5" width="19.28515625" style="8" customWidth="1"/>
    <col min="6" max="6" width="17.140625" style="8" customWidth="1"/>
    <col min="7" max="8" width="9.140625" style="8"/>
    <col min="9" max="9" width="11.42578125" style="8" customWidth="1"/>
    <col min="10" max="15" width="9.140625" style="8"/>
    <col min="16" max="16" width="9.140625" style="8" customWidth="1"/>
    <col min="17" max="16384" width="9.140625" style="8"/>
  </cols>
  <sheetData>
    <row r="2" spans="2:7" ht="18.75">
      <c r="B2" s="169" t="s">
        <v>21</v>
      </c>
    </row>
    <row r="4" spans="2:7">
      <c r="B4" s="170" t="s">
        <v>664</v>
      </c>
      <c r="C4" s="171"/>
      <c r="D4" s="171"/>
      <c r="E4" s="171"/>
      <c r="F4" s="171"/>
      <c r="G4" s="171"/>
    </row>
    <row r="5" spans="2:7">
      <c r="B5" s="8" t="s">
        <v>133</v>
      </c>
      <c r="C5" s="1" t="s">
        <v>665</v>
      </c>
    </row>
    <row r="6" spans="2:7">
      <c r="B6" s="8" t="s">
        <v>134</v>
      </c>
      <c r="C6" s="319">
        <v>2008</v>
      </c>
    </row>
    <row r="7" spans="2:7">
      <c r="B7" s="1" t="s">
        <v>599</v>
      </c>
      <c r="C7" s="503">
        <v>1.07</v>
      </c>
    </row>
    <row r="9" spans="2:7" ht="45">
      <c r="B9" s="33" t="s">
        <v>680</v>
      </c>
      <c r="C9" s="525" t="s">
        <v>683</v>
      </c>
      <c r="D9" s="526"/>
    </row>
    <row r="10" spans="2:7">
      <c r="B10" s="109" t="s">
        <v>681</v>
      </c>
      <c r="C10" s="324">
        <v>0.28999999999999998</v>
      </c>
      <c r="D10" s="527"/>
    </row>
    <row r="11" spans="2:7">
      <c r="B11" s="109" t="s">
        <v>682</v>
      </c>
      <c r="C11" s="324">
        <v>0.28999999999999998</v>
      </c>
      <c r="D11" s="527"/>
    </row>
    <row r="13" spans="2:7">
      <c r="B13" s="170" t="s">
        <v>135</v>
      </c>
      <c r="C13" s="171"/>
      <c r="D13" s="171"/>
      <c r="E13" s="171"/>
      <c r="F13" s="171"/>
      <c r="G13" s="171"/>
    </row>
    <row r="14" spans="2:7">
      <c r="B14" s="8" t="s">
        <v>133</v>
      </c>
      <c r="C14" s="1" t="s">
        <v>236</v>
      </c>
    </row>
    <row r="15" spans="2:7">
      <c r="B15" s="8" t="s">
        <v>134</v>
      </c>
      <c r="C15" s="319">
        <v>2008</v>
      </c>
    </row>
    <row r="16" spans="2:7">
      <c r="B16" s="1" t="s">
        <v>599</v>
      </c>
      <c r="C16" s="503">
        <v>1.07</v>
      </c>
    </row>
    <row r="18" spans="2:13" ht="30">
      <c r="B18" s="33" t="s">
        <v>5</v>
      </c>
      <c r="C18" s="159" t="s">
        <v>101</v>
      </c>
      <c r="D18" s="159" t="s">
        <v>102</v>
      </c>
    </row>
    <row r="19" spans="2:13" ht="16.5" customHeight="1">
      <c r="B19" s="109" t="s">
        <v>4</v>
      </c>
      <c r="C19" s="324">
        <v>2.6</v>
      </c>
      <c r="D19" s="324">
        <v>1.3</v>
      </c>
    </row>
    <row r="20" spans="2:13">
      <c r="B20" s="109" t="s">
        <v>3</v>
      </c>
      <c r="C20" s="324">
        <v>1.3</v>
      </c>
      <c r="D20" s="324">
        <v>0.65</v>
      </c>
    </row>
    <row r="21" spans="2:13">
      <c r="B21" s="60"/>
    </row>
    <row r="22" spans="2:13">
      <c r="B22" s="170" t="s">
        <v>136</v>
      </c>
      <c r="C22" s="171"/>
      <c r="D22" s="171"/>
      <c r="E22" s="171"/>
      <c r="F22" s="171"/>
      <c r="G22" s="171"/>
    </row>
    <row r="23" spans="2:13">
      <c r="B23" s="8" t="s">
        <v>133</v>
      </c>
      <c r="C23" t="s">
        <v>657</v>
      </c>
    </row>
    <row r="24" spans="2:13">
      <c r="B24" s="8" t="s">
        <v>134</v>
      </c>
      <c r="C24" s="319">
        <v>2002</v>
      </c>
    </row>
    <row r="25" spans="2:13">
      <c r="B25" s="1" t="s">
        <v>599</v>
      </c>
      <c r="C25" s="503">
        <v>1.33</v>
      </c>
    </row>
    <row r="27" spans="2:13" ht="40.5" customHeight="1">
      <c r="B27" s="591" t="s">
        <v>10</v>
      </c>
      <c r="C27" s="581" t="s">
        <v>18</v>
      </c>
      <c r="D27" s="586" t="s">
        <v>20</v>
      </c>
      <c r="E27" s="588"/>
      <c r="F27" s="589" t="s">
        <v>19</v>
      </c>
      <c r="G27" s="590"/>
    </row>
    <row r="28" spans="2:13" ht="16.5" customHeight="1">
      <c r="B28" s="592"/>
      <c r="C28" s="582"/>
      <c r="D28" s="104" t="s">
        <v>23</v>
      </c>
      <c r="E28" s="104" t="s">
        <v>13</v>
      </c>
      <c r="F28" s="104" t="s">
        <v>23</v>
      </c>
      <c r="G28" s="104" t="s">
        <v>13</v>
      </c>
    </row>
    <row r="29" spans="2:13" ht="30" customHeight="1">
      <c r="B29" s="116" t="s">
        <v>17</v>
      </c>
      <c r="C29" s="324">
        <v>21.7</v>
      </c>
      <c r="D29" s="324">
        <v>4.7</v>
      </c>
      <c r="E29" s="324">
        <v>6.6</v>
      </c>
      <c r="F29" s="324">
        <v>3.05</v>
      </c>
      <c r="G29" s="324">
        <v>4.25</v>
      </c>
      <c r="I29" s="160"/>
      <c r="J29" s="108"/>
      <c r="K29" s="108"/>
      <c r="L29" s="108"/>
      <c r="M29" s="108"/>
    </row>
    <row r="30" spans="2:13">
      <c r="B30" s="116" t="s">
        <v>14</v>
      </c>
      <c r="C30" s="324">
        <v>21.7</v>
      </c>
      <c r="D30" s="325">
        <v>6.6</v>
      </c>
      <c r="E30" s="326"/>
      <c r="F30" s="325">
        <v>4.25</v>
      </c>
      <c r="G30" s="326"/>
      <c r="I30" s="108"/>
      <c r="J30" s="108"/>
      <c r="K30" s="108"/>
      <c r="L30" s="108"/>
      <c r="M30" s="108"/>
    </row>
    <row r="31" spans="2:13">
      <c r="B31" s="109" t="s">
        <v>15</v>
      </c>
      <c r="C31" s="327">
        <v>21.7</v>
      </c>
      <c r="D31" s="328">
        <v>6.6</v>
      </c>
      <c r="E31" s="329"/>
      <c r="F31" s="328">
        <v>4.25</v>
      </c>
      <c r="G31" s="329"/>
    </row>
    <row r="32" spans="2:13">
      <c r="B32" s="109" t="s">
        <v>16</v>
      </c>
      <c r="C32" s="327">
        <v>23.85</v>
      </c>
      <c r="D32" s="328">
        <v>7.8</v>
      </c>
      <c r="E32" s="329"/>
      <c r="F32" s="328">
        <v>6.9</v>
      </c>
      <c r="G32" s="329"/>
    </row>
    <row r="33" spans="2:7">
      <c r="B33" s="60"/>
    </row>
    <row r="34" spans="2:7">
      <c r="B34" s="170" t="s">
        <v>212</v>
      </c>
      <c r="C34" s="171"/>
      <c r="D34" s="171"/>
      <c r="E34" s="171"/>
      <c r="F34" s="171"/>
      <c r="G34" s="171"/>
    </row>
    <row r="35" spans="2:7">
      <c r="B35" s="8" t="s">
        <v>133</v>
      </c>
      <c r="C35" s="8" t="s">
        <v>204</v>
      </c>
    </row>
    <row r="36" spans="2:7">
      <c r="B36" s="8" t="s">
        <v>134</v>
      </c>
      <c r="C36" s="319">
        <v>2008</v>
      </c>
    </row>
    <row r="37" spans="2:7">
      <c r="B37" s="1" t="s">
        <v>599</v>
      </c>
      <c r="C37" s="503">
        <v>1.07</v>
      </c>
    </row>
    <row r="39" spans="2:7" ht="28.5" customHeight="1">
      <c r="B39" s="586" t="s">
        <v>214</v>
      </c>
      <c r="C39" s="587"/>
      <c r="D39" s="588"/>
    </row>
    <row r="40" spans="2:7">
      <c r="B40" s="109" t="s">
        <v>33</v>
      </c>
      <c r="C40" s="172" t="s">
        <v>31</v>
      </c>
      <c r="D40" s="109" t="s">
        <v>32</v>
      </c>
    </row>
    <row r="41" spans="2:7">
      <c r="B41" s="173" t="s">
        <v>30</v>
      </c>
      <c r="C41" s="174" t="s">
        <v>176</v>
      </c>
      <c r="D41" s="321">
        <v>1.41</v>
      </c>
    </row>
    <row r="42" spans="2:7">
      <c r="B42" s="175"/>
      <c r="C42" s="108" t="s">
        <v>177</v>
      </c>
      <c r="D42" s="322">
        <v>1.08</v>
      </c>
    </row>
    <row r="43" spans="2:7">
      <c r="B43" s="175"/>
      <c r="C43" s="108" t="s">
        <v>178</v>
      </c>
      <c r="D43" s="322">
        <v>0.1</v>
      </c>
    </row>
    <row r="44" spans="2:7">
      <c r="B44" s="175"/>
      <c r="C44" s="108" t="s">
        <v>179</v>
      </c>
      <c r="D44" s="322">
        <v>0</v>
      </c>
    </row>
    <row r="45" spans="2:7">
      <c r="B45" s="175"/>
      <c r="C45" s="108" t="s">
        <v>180</v>
      </c>
      <c r="D45" s="322">
        <v>0</v>
      </c>
    </row>
    <row r="46" spans="2:7">
      <c r="B46" s="151"/>
      <c r="C46" s="176" t="s">
        <v>116</v>
      </c>
      <c r="D46" s="323">
        <v>0</v>
      </c>
    </row>
    <row r="47" spans="2:7">
      <c r="B47" s="151" t="s">
        <v>37</v>
      </c>
      <c r="C47" s="176" t="s">
        <v>36</v>
      </c>
      <c r="D47" s="323">
        <v>0</v>
      </c>
    </row>
    <row r="48" spans="2:7">
      <c r="B48" s="60"/>
    </row>
    <row r="49" spans="2:7">
      <c r="B49" s="170" t="s">
        <v>216</v>
      </c>
      <c r="C49" s="171"/>
      <c r="D49" s="171"/>
      <c r="E49" s="171"/>
      <c r="F49" s="171"/>
      <c r="G49" s="171"/>
    </row>
    <row r="50" spans="2:7">
      <c r="B50" s="8" t="s">
        <v>133</v>
      </c>
      <c r="C50" s="1" t="s">
        <v>213</v>
      </c>
    </row>
    <row r="51" spans="2:7" ht="15" customHeight="1">
      <c r="B51" s="8" t="s">
        <v>134</v>
      </c>
      <c r="C51" s="319">
        <v>2008</v>
      </c>
    </row>
    <row r="52" spans="2:7" ht="15" customHeight="1">
      <c r="B52" s="1" t="s">
        <v>599</v>
      </c>
      <c r="C52" s="503">
        <v>1.07</v>
      </c>
    </row>
    <row r="53" spans="2:7" ht="15" customHeight="1"/>
    <row r="54" spans="2:7" ht="32.25" customHeight="1">
      <c r="B54" s="104" t="s">
        <v>215</v>
      </c>
      <c r="C54" s="116" t="s">
        <v>112</v>
      </c>
      <c r="D54" s="116" t="s">
        <v>113</v>
      </c>
    </row>
    <row r="55" spans="2:7">
      <c r="B55" s="109" t="s">
        <v>30</v>
      </c>
      <c r="C55" s="194">
        <v>0.1</v>
      </c>
      <c r="D55" s="320">
        <v>0.08</v>
      </c>
    </row>
    <row r="56" spans="2:7">
      <c r="B56" s="109" t="s">
        <v>37</v>
      </c>
      <c r="C56" s="205">
        <v>0.05</v>
      </c>
      <c r="D56" s="320">
        <v>0.04</v>
      </c>
    </row>
    <row r="57" spans="2:7">
      <c r="B57" s="60"/>
      <c r="C57" s="108"/>
      <c r="D57" s="177"/>
    </row>
    <row r="58" spans="2:7">
      <c r="B58" s="170" t="s">
        <v>8</v>
      </c>
      <c r="C58" s="171"/>
      <c r="D58" s="171"/>
      <c r="E58" s="171"/>
      <c r="F58" s="171"/>
      <c r="G58" s="171"/>
    </row>
    <row r="59" spans="2:7">
      <c r="B59" s="8" t="s">
        <v>133</v>
      </c>
      <c r="C59" s="1" t="s">
        <v>218</v>
      </c>
      <c r="D59" s="177"/>
    </row>
    <row r="60" spans="2:7">
      <c r="B60" s="8" t="s">
        <v>134</v>
      </c>
      <c r="C60" s="319">
        <v>2008</v>
      </c>
      <c r="D60" s="177"/>
    </row>
    <row r="61" spans="2:7">
      <c r="B61" s="1" t="s">
        <v>599</v>
      </c>
      <c r="C61" s="503">
        <v>1.07</v>
      </c>
      <c r="D61" s="177"/>
    </row>
    <row r="63" spans="2:7">
      <c r="B63" s="581" t="s">
        <v>219</v>
      </c>
      <c r="C63" s="583" t="s">
        <v>106</v>
      </c>
      <c r="D63" s="584"/>
      <c r="E63" s="585"/>
      <c r="F63" s="109" t="s">
        <v>110</v>
      </c>
    </row>
    <row r="64" spans="2:7" ht="44.25" customHeight="1">
      <c r="B64" s="582"/>
      <c r="C64" s="109" t="s">
        <v>107</v>
      </c>
      <c r="D64" s="109" t="s">
        <v>108</v>
      </c>
      <c r="E64" s="109" t="s">
        <v>109</v>
      </c>
      <c r="F64" s="109" t="s">
        <v>111</v>
      </c>
    </row>
    <row r="65" spans="2:10">
      <c r="B65" s="109" t="s">
        <v>104</v>
      </c>
      <c r="C65" s="194">
        <v>4.28</v>
      </c>
      <c r="D65" s="320">
        <v>3.65</v>
      </c>
      <c r="E65" s="320">
        <v>1.1399999999999999</v>
      </c>
      <c r="F65" s="194">
        <v>0</v>
      </c>
    </row>
    <row r="66" spans="2:10">
      <c r="B66" s="109" t="s">
        <v>105</v>
      </c>
      <c r="C66" s="205">
        <v>1.43</v>
      </c>
      <c r="D66" s="320">
        <v>1.43</v>
      </c>
      <c r="E66" s="320">
        <v>0.56999999999999995</v>
      </c>
      <c r="F66" s="205">
        <v>0</v>
      </c>
    </row>
    <row r="67" spans="2:10">
      <c r="B67" s="60"/>
    </row>
    <row r="68" spans="2:10">
      <c r="B68" s="170" t="s">
        <v>238</v>
      </c>
      <c r="C68" s="171"/>
      <c r="D68" s="171"/>
      <c r="E68" s="171"/>
      <c r="F68" s="171"/>
      <c r="G68" s="171"/>
    </row>
    <row r="69" spans="2:10">
      <c r="B69" s="8" t="s">
        <v>133</v>
      </c>
      <c r="C69" s="1" t="s">
        <v>237</v>
      </c>
      <c r="D69" s="177"/>
      <c r="J69" s="60"/>
    </row>
    <row r="70" spans="2:10">
      <c r="B70" s="8" t="s">
        <v>134</v>
      </c>
      <c r="C70" s="319">
        <v>2008</v>
      </c>
      <c r="D70" s="177"/>
      <c r="J70" s="60"/>
    </row>
    <row r="71" spans="2:10">
      <c r="B71" s="1" t="s">
        <v>599</v>
      </c>
      <c r="C71" s="503">
        <v>1.07</v>
      </c>
      <c r="D71" s="177"/>
      <c r="J71" s="60"/>
    </row>
    <row r="72" spans="2:10">
      <c r="J72" s="60"/>
    </row>
    <row r="73" spans="2:10" ht="30">
      <c r="B73" s="104" t="s">
        <v>239</v>
      </c>
      <c r="C73" s="109" t="s">
        <v>114</v>
      </c>
      <c r="D73" s="109" t="s">
        <v>115</v>
      </c>
      <c r="E73" s="109" t="s">
        <v>53</v>
      </c>
    </row>
    <row r="74" spans="2:10">
      <c r="B74" s="109" t="s">
        <v>116</v>
      </c>
      <c r="C74" s="194">
        <v>0.02</v>
      </c>
      <c r="D74" s="194">
        <v>0.22</v>
      </c>
      <c r="E74" s="194">
        <v>0.17</v>
      </c>
    </row>
    <row r="75" spans="2:10">
      <c r="B75" s="109" t="s">
        <v>117</v>
      </c>
      <c r="C75" s="194">
        <v>0.03</v>
      </c>
      <c r="D75" s="194">
        <v>-0.18</v>
      </c>
      <c r="E75" s="194">
        <v>7.0000000000000007E-2</v>
      </c>
    </row>
    <row r="76" spans="2:10">
      <c r="B76" s="109" t="s">
        <v>118</v>
      </c>
      <c r="C76" s="194">
        <v>-0.03</v>
      </c>
      <c r="D76" s="194">
        <v>0.02</v>
      </c>
      <c r="E76" s="194">
        <v>-0.14000000000000001</v>
      </c>
    </row>
    <row r="77" spans="2:10">
      <c r="B77" s="60"/>
    </row>
    <row r="78" spans="2:10">
      <c r="B78" s="170" t="s">
        <v>563</v>
      </c>
      <c r="C78" s="171"/>
      <c r="D78" s="171"/>
      <c r="E78" s="171"/>
      <c r="F78" s="171"/>
      <c r="G78" s="171"/>
    </row>
    <row r="79" spans="2:10">
      <c r="B79" s="8" t="s">
        <v>133</v>
      </c>
      <c r="C79" s="1" t="s">
        <v>564</v>
      </c>
      <c r="D79" s="177"/>
    </row>
    <row r="80" spans="2:10">
      <c r="C80" s="319"/>
      <c r="D80" s="177"/>
    </row>
    <row r="81" spans="2:7">
      <c r="B81" s="338" t="s">
        <v>565</v>
      </c>
      <c r="C81" s="23" t="s">
        <v>566</v>
      </c>
      <c r="D81" s="479">
        <v>1.4</v>
      </c>
    </row>
    <row r="82" spans="2:7">
      <c r="B82" s="109" t="s">
        <v>116</v>
      </c>
      <c r="C82" s="23" t="s">
        <v>566</v>
      </c>
      <c r="D82" s="480">
        <v>1.6</v>
      </c>
    </row>
    <row r="83" spans="2:7">
      <c r="B83" s="60"/>
    </row>
    <row r="84" spans="2:7">
      <c r="B84" s="60"/>
    </row>
    <row r="85" spans="2:7">
      <c r="B85" s="170" t="s">
        <v>535</v>
      </c>
      <c r="C85" s="171"/>
      <c r="D85" s="171"/>
      <c r="E85" s="171"/>
      <c r="F85" s="171"/>
      <c r="G85" s="171"/>
    </row>
    <row r="86" spans="2:7">
      <c r="B86" s="8" t="s">
        <v>133</v>
      </c>
      <c r="C86" s="1" t="s">
        <v>432</v>
      </c>
      <c r="D86" s="177"/>
    </row>
    <row r="88" spans="2:7">
      <c r="B88" s="33" t="s">
        <v>433</v>
      </c>
      <c r="C88" s="33" t="s">
        <v>30</v>
      </c>
      <c r="D88" s="33" t="s">
        <v>37</v>
      </c>
    </row>
    <row r="89" spans="2:7">
      <c r="B89" s="106" t="s">
        <v>244</v>
      </c>
      <c r="C89" s="205">
        <v>0.92</v>
      </c>
      <c r="D89" s="205">
        <v>0.87</v>
      </c>
    </row>
    <row r="90" spans="2:7">
      <c r="B90" s="106" t="s">
        <v>246</v>
      </c>
      <c r="C90" s="205">
        <v>0.96</v>
      </c>
      <c r="D90" s="205">
        <v>0.94</v>
      </c>
    </row>
    <row r="91" spans="2:7">
      <c r="B91" s="106" t="s">
        <v>245</v>
      </c>
      <c r="C91" s="205">
        <v>1</v>
      </c>
      <c r="D91" s="205">
        <v>1</v>
      </c>
    </row>
    <row r="92" spans="2:7">
      <c r="B92" s="106" t="s">
        <v>250</v>
      </c>
      <c r="C92" s="205">
        <v>1</v>
      </c>
      <c r="D92" s="205">
        <v>1</v>
      </c>
    </row>
    <row r="93" spans="2:7">
      <c r="B93" s="106" t="s">
        <v>247</v>
      </c>
      <c r="C93" s="205">
        <v>1.19</v>
      </c>
      <c r="D93" s="205">
        <v>1.1100000000000001</v>
      </c>
    </row>
    <row r="94" spans="2:7">
      <c r="B94" s="106" t="s">
        <v>248</v>
      </c>
      <c r="C94" s="205">
        <v>1.71</v>
      </c>
      <c r="D94" s="205">
        <v>1.7</v>
      </c>
    </row>
    <row r="95" spans="2:7">
      <c r="B95" s="106" t="s">
        <v>249</v>
      </c>
      <c r="C95" s="205">
        <v>4.6500000000000004</v>
      </c>
      <c r="D95" s="205">
        <v>4.16</v>
      </c>
    </row>
    <row r="97" spans="2:5">
      <c r="B97" s="33" t="s">
        <v>434</v>
      </c>
      <c r="C97" s="33" t="s">
        <v>30</v>
      </c>
      <c r="D97" s="33" t="s">
        <v>37</v>
      </c>
      <c r="E97" s="1"/>
    </row>
    <row r="98" spans="2:5">
      <c r="B98" s="106" t="s">
        <v>257</v>
      </c>
      <c r="C98" s="299">
        <v>3.1</v>
      </c>
      <c r="D98" s="299">
        <v>5.3</v>
      </c>
    </row>
    <row r="99" spans="2:5">
      <c r="B99" s="106" t="s">
        <v>262</v>
      </c>
      <c r="C99" s="299">
        <v>0.7</v>
      </c>
      <c r="D99" s="299">
        <v>1.3</v>
      </c>
    </row>
    <row r="100" spans="2:5">
      <c r="B100" s="152" t="s">
        <v>263</v>
      </c>
      <c r="C100" s="299">
        <v>13</v>
      </c>
      <c r="D100" s="299">
        <v>24</v>
      </c>
    </row>
    <row r="101" spans="2:5">
      <c r="B101" s="152" t="s">
        <v>264</v>
      </c>
      <c r="C101" s="299">
        <v>34</v>
      </c>
      <c r="D101" s="299">
        <v>64</v>
      </c>
    </row>
    <row r="102" spans="2:5">
      <c r="B102" s="152" t="s">
        <v>265</v>
      </c>
      <c r="C102" s="299">
        <v>5.6</v>
      </c>
      <c r="D102" s="299">
        <v>9.9</v>
      </c>
    </row>
    <row r="103" spans="2:5">
      <c r="B103" s="152" t="s">
        <v>266</v>
      </c>
      <c r="C103" s="299">
        <v>6.1</v>
      </c>
      <c r="D103" s="299">
        <v>11</v>
      </c>
    </row>
    <row r="104" spans="2:5">
      <c r="B104" s="152" t="s">
        <v>267</v>
      </c>
      <c r="C104" s="299">
        <v>8.6999999999999993</v>
      </c>
      <c r="D104" s="299">
        <v>15</v>
      </c>
    </row>
    <row r="105" spans="2:5">
      <c r="B105" s="152" t="s">
        <v>268</v>
      </c>
      <c r="C105" s="299">
        <v>48</v>
      </c>
      <c r="D105" s="299">
        <v>91</v>
      </c>
    </row>
    <row r="107" spans="2:5">
      <c r="B107" s="23" t="s">
        <v>648</v>
      </c>
      <c r="C107" s="521">
        <v>15</v>
      </c>
      <c r="D107" s="1" t="s">
        <v>649</v>
      </c>
    </row>
    <row r="108" spans="2:5">
      <c r="C108" s="299">
        <f>C107/3.6</f>
        <v>4.166666666666667</v>
      </c>
      <c r="D108" s="1" t="s">
        <v>650</v>
      </c>
    </row>
  </sheetData>
  <sheetProtection password="EA07" sheet="1" objects="1" scenarios="1"/>
  <mergeCells count="7">
    <mergeCell ref="B63:B64"/>
    <mergeCell ref="C63:E63"/>
    <mergeCell ref="B39:D39"/>
    <mergeCell ref="D27:E27"/>
    <mergeCell ref="F27:G27"/>
    <mergeCell ref="C27:C28"/>
    <mergeCell ref="B27:B28"/>
  </mergeCells>
  <dataValidations count="1">
    <dataValidation type="list" allowBlank="1" showInputMessage="1" showErrorMessage="1" sqref="I30">
      <formula1>"1, 1.5, 2, 2.5, 3"</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V89"/>
  <sheetViews>
    <sheetView workbookViewId="0">
      <selection activeCell="I85" sqref="I85"/>
    </sheetView>
  </sheetViews>
  <sheetFormatPr defaultColWidth="9.140625" defaultRowHeight="16.5"/>
  <cols>
    <col min="1" max="1" width="9.140625" style="9"/>
    <col min="2" max="2" width="18.28515625" style="9" customWidth="1"/>
    <col min="3" max="3" width="24.7109375" style="9" customWidth="1"/>
    <col min="4" max="4" width="14" style="9" customWidth="1"/>
    <col min="5" max="5" width="14.28515625" style="9" customWidth="1"/>
    <col min="6" max="6" width="10.7109375" style="9" customWidth="1"/>
    <col min="7" max="7" width="12.7109375" style="9" customWidth="1"/>
    <col min="8" max="8" width="12.42578125" style="9" customWidth="1"/>
    <col min="9" max="16384" width="9.140625" style="9"/>
  </cols>
  <sheetData>
    <row r="1" spans="1:8">
      <c r="A1" s="18"/>
      <c r="B1" s="18"/>
      <c r="C1" s="18"/>
      <c r="D1" s="18"/>
      <c r="E1" s="18"/>
      <c r="F1" s="18"/>
      <c r="G1" s="18"/>
    </row>
    <row r="2" spans="1:8">
      <c r="A2" s="18"/>
      <c r="B2" s="12" t="s">
        <v>536</v>
      </c>
      <c r="C2" s="5"/>
      <c r="D2" s="18"/>
      <c r="E2" s="18"/>
      <c r="F2" s="18"/>
      <c r="G2" s="18"/>
    </row>
    <row r="3" spans="1:8">
      <c r="A3" s="21"/>
      <c r="B3" s="21"/>
      <c r="C3" s="21"/>
      <c r="D3" s="21"/>
      <c r="E3" s="21"/>
      <c r="F3" s="18"/>
      <c r="G3" s="18"/>
    </row>
    <row r="4" spans="1:8">
      <c r="B4" s="45" t="s">
        <v>0</v>
      </c>
      <c r="C4" s="4"/>
      <c r="D4" s="18"/>
    </row>
    <row r="5" spans="1:8">
      <c r="B5" s="16" t="s">
        <v>571</v>
      </c>
      <c r="C5" s="43">
        <v>0.08</v>
      </c>
    </row>
    <row r="6" spans="1:8">
      <c r="A6" s="18"/>
      <c r="B6" s="32"/>
      <c r="C6" s="43">
        <v>0.06</v>
      </c>
      <c r="D6" s="18"/>
    </row>
    <row r="7" spans="1:8">
      <c r="A7" s="18"/>
      <c r="B7" s="32"/>
      <c r="C7" s="43">
        <v>0.04</v>
      </c>
      <c r="D7" s="18"/>
    </row>
    <row r="8" spans="1:8">
      <c r="A8" s="18"/>
      <c r="C8" s="483"/>
    </row>
    <row r="9" spans="1:8">
      <c r="A9" s="18"/>
      <c r="B9" s="30" t="s">
        <v>598</v>
      </c>
    </row>
    <row r="10" spans="1:8" ht="52.5" customHeight="1">
      <c r="A10" s="18"/>
      <c r="B10" s="13" t="s">
        <v>81</v>
      </c>
      <c r="C10" s="31" t="s">
        <v>597</v>
      </c>
      <c r="D10" s="18"/>
      <c r="E10" s="13" t="s">
        <v>81</v>
      </c>
      <c r="F10" s="31" t="s">
        <v>568</v>
      </c>
      <c r="G10" s="31" t="s">
        <v>569</v>
      </c>
      <c r="H10" s="31" t="s">
        <v>570</v>
      </c>
    </row>
    <row r="11" spans="1:8">
      <c r="A11" s="18"/>
      <c r="B11" s="431">
        <v>2002</v>
      </c>
      <c r="C11" s="502"/>
      <c r="D11" s="18"/>
      <c r="E11" s="431">
        <v>2002</v>
      </c>
      <c r="F11" s="146" t="str">
        <f>IF(E11&lt;Price_Base,"",IF(E11=Price_Base,1,F10-($C$5*F10)))</f>
        <v/>
      </c>
      <c r="G11" s="146" t="str">
        <f t="shared" ref="G11:G42" si="0">IF(E11&lt;Price_Base,"",IF(E11=Price_Base,1,G10-($C$6*G10)))</f>
        <v/>
      </c>
      <c r="H11" s="147" t="str">
        <f t="shared" ref="H11:H42" si="1">IF(E11&lt;Price_Base,"",IF(E11=Price_Base,1,H10-($C$7*H10)))</f>
        <v/>
      </c>
    </row>
    <row r="12" spans="1:8">
      <c r="A12" s="18"/>
      <c r="B12" s="431">
        <v>2003</v>
      </c>
      <c r="C12" s="502"/>
      <c r="D12" s="18"/>
      <c r="E12" s="431">
        <v>2003</v>
      </c>
      <c r="F12" s="147" t="str">
        <f t="shared" ref="F12:F42" si="2">IF(E12&lt;Price_Base,"",IF(E12=Price_Base,1,F11-($C$5*F11)))</f>
        <v/>
      </c>
      <c r="G12" s="147" t="str">
        <f t="shared" si="0"/>
        <v/>
      </c>
      <c r="H12" s="147" t="str">
        <f t="shared" si="1"/>
        <v/>
      </c>
    </row>
    <row r="13" spans="1:8">
      <c r="A13" s="18"/>
      <c r="B13" s="431">
        <v>2004</v>
      </c>
      <c r="C13" s="502"/>
      <c r="D13" s="18"/>
      <c r="E13" s="431">
        <v>2004</v>
      </c>
      <c r="F13" s="147" t="str">
        <f t="shared" si="2"/>
        <v/>
      </c>
      <c r="G13" s="147" t="str">
        <f t="shared" si="0"/>
        <v/>
      </c>
      <c r="H13" s="147" t="str">
        <f t="shared" si="1"/>
        <v/>
      </c>
    </row>
    <row r="14" spans="1:8">
      <c r="A14" s="18"/>
      <c r="B14" s="431">
        <v>2005</v>
      </c>
      <c r="C14" s="502"/>
      <c r="D14" s="18"/>
      <c r="E14" s="431">
        <v>2005</v>
      </c>
      <c r="F14" s="147" t="str">
        <f t="shared" si="2"/>
        <v/>
      </c>
      <c r="G14" s="147" t="str">
        <f t="shared" si="0"/>
        <v/>
      </c>
      <c r="H14" s="147" t="str">
        <f t="shared" si="1"/>
        <v/>
      </c>
    </row>
    <row r="15" spans="1:8">
      <c r="A15" s="18"/>
      <c r="B15" s="431">
        <v>2006</v>
      </c>
      <c r="C15" s="502"/>
      <c r="D15" s="18"/>
      <c r="E15" s="431">
        <v>2006</v>
      </c>
      <c r="F15" s="147" t="str">
        <f t="shared" si="2"/>
        <v/>
      </c>
      <c r="G15" s="147" t="str">
        <f t="shared" si="0"/>
        <v/>
      </c>
      <c r="H15" s="147" t="str">
        <f t="shared" si="1"/>
        <v/>
      </c>
    </row>
    <row r="16" spans="1:8">
      <c r="A16" s="18"/>
      <c r="B16" s="431">
        <v>2007</v>
      </c>
      <c r="C16" s="502">
        <v>1.1660000000000001</v>
      </c>
      <c r="D16" s="18"/>
      <c r="E16" s="431">
        <v>2007</v>
      </c>
      <c r="F16" s="147" t="str">
        <f t="shared" si="2"/>
        <v/>
      </c>
      <c r="G16" s="147" t="str">
        <f t="shared" si="0"/>
        <v/>
      </c>
      <c r="H16" s="147" t="str">
        <f t="shared" si="1"/>
        <v/>
      </c>
    </row>
    <row r="17" spans="1:8">
      <c r="A17" s="18"/>
      <c r="B17" s="431">
        <v>2008</v>
      </c>
      <c r="C17" s="502">
        <v>1.1024</v>
      </c>
      <c r="D17" s="18"/>
      <c r="E17" s="431">
        <v>2008</v>
      </c>
      <c r="F17" s="147" t="str">
        <f t="shared" si="2"/>
        <v/>
      </c>
      <c r="G17" s="147" t="str">
        <f t="shared" si="0"/>
        <v/>
      </c>
      <c r="H17" s="147" t="str">
        <f t="shared" si="1"/>
        <v/>
      </c>
    </row>
    <row r="18" spans="1:8">
      <c r="A18" s="18"/>
      <c r="B18" s="431">
        <v>2009</v>
      </c>
      <c r="C18" s="502">
        <v>1.06</v>
      </c>
      <c r="D18" s="18"/>
      <c r="E18" s="431">
        <v>2009</v>
      </c>
      <c r="F18" s="147" t="str">
        <f>IF(E18&lt;Price_Base,"",IF(E18=Price_Base,1,F17-($C$5*F17)))</f>
        <v/>
      </c>
      <c r="G18" s="147" t="str">
        <f t="shared" si="0"/>
        <v/>
      </c>
      <c r="H18" s="147" t="str">
        <f t="shared" si="1"/>
        <v/>
      </c>
    </row>
    <row r="19" spans="1:8">
      <c r="A19" s="18"/>
      <c r="B19" s="431">
        <v>2010</v>
      </c>
      <c r="C19" s="502">
        <v>1.05</v>
      </c>
      <c r="D19" s="18"/>
      <c r="E19" s="431">
        <v>2010</v>
      </c>
      <c r="F19" s="147" t="str">
        <f>IF(E19&lt;Price_Base,"",IF(E19=Price_Base,1,F18-($C$5*F18)))</f>
        <v/>
      </c>
      <c r="G19" s="147" t="str">
        <f t="shared" si="0"/>
        <v/>
      </c>
      <c r="H19" s="147" t="str">
        <f t="shared" si="1"/>
        <v/>
      </c>
    </row>
    <row r="20" spans="1:8">
      <c r="A20" s="18"/>
      <c r="B20" s="431">
        <v>2011</v>
      </c>
      <c r="C20" s="502">
        <v>1</v>
      </c>
      <c r="D20" s="18"/>
      <c r="E20" s="431">
        <v>2011</v>
      </c>
      <c r="F20" s="147">
        <f>IF(E20&lt;Price_Base,"",IF(E20=Price_Base,1,F19-($C$5*F19)))</f>
        <v>1</v>
      </c>
      <c r="G20" s="147">
        <f t="shared" si="0"/>
        <v>1</v>
      </c>
      <c r="H20" s="147">
        <f t="shared" si="1"/>
        <v>1</v>
      </c>
    </row>
    <row r="21" spans="1:8">
      <c r="B21" s="431">
        <v>2012</v>
      </c>
      <c r="C21" s="502"/>
      <c r="E21" s="433">
        <f>E20+1</f>
        <v>2012</v>
      </c>
      <c r="F21" s="147">
        <f>IF(E21&lt;Price_Base,"",IF(E21=Price_Base,1,F20-($C$5*F20)))</f>
        <v>0.92</v>
      </c>
      <c r="G21" s="147">
        <f>IF(E21&lt;Price_Base,"",IF(E21=Price_Base,1,G20-($C$6*G20)))</f>
        <v>0.94</v>
      </c>
      <c r="H21" s="147">
        <f t="shared" si="1"/>
        <v>0.96</v>
      </c>
    </row>
    <row r="22" spans="1:8">
      <c r="B22" s="431">
        <v>2013</v>
      </c>
      <c r="C22" s="502"/>
      <c r="E22" s="433">
        <f t="shared" ref="E22:E85" si="3">E21+1</f>
        <v>2013</v>
      </c>
      <c r="F22" s="147">
        <f t="shared" si="2"/>
        <v>0.84640000000000004</v>
      </c>
      <c r="G22" s="147">
        <f t="shared" si="0"/>
        <v>0.88359999999999994</v>
      </c>
      <c r="H22" s="147">
        <f t="shared" si="1"/>
        <v>0.92159999999999997</v>
      </c>
    </row>
    <row r="23" spans="1:8">
      <c r="B23" s="431">
        <v>2014</v>
      </c>
      <c r="C23" s="502"/>
      <c r="E23" s="433">
        <f t="shared" si="3"/>
        <v>2014</v>
      </c>
      <c r="F23" s="147">
        <f t="shared" si="2"/>
        <v>0.77868800000000005</v>
      </c>
      <c r="G23" s="147">
        <f t="shared" si="0"/>
        <v>0.83058399999999999</v>
      </c>
      <c r="H23" s="147">
        <f t="shared" si="1"/>
        <v>0.88473599999999997</v>
      </c>
    </row>
    <row r="24" spans="1:8">
      <c r="B24" s="431">
        <v>2015</v>
      </c>
      <c r="C24" s="502"/>
      <c r="E24" s="433">
        <f t="shared" si="3"/>
        <v>2015</v>
      </c>
      <c r="F24" s="147">
        <f t="shared" si="2"/>
        <v>0.71639296000000008</v>
      </c>
      <c r="G24" s="147">
        <f t="shared" si="0"/>
        <v>0.78074895999999994</v>
      </c>
      <c r="H24" s="147">
        <f t="shared" si="1"/>
        <v>0.84934655999999997</v>
      </c>
    </row>
    <row r="25" spans="1:8">
      <c r="B25" s="431">
        <v>2016</v>
      </c>
      <c r="C25" s="502"/>
      <c r="E25" s="433">
        <f t="shared" si="3"/>
        <v>2016</v>
      </c>
      <c r="F25" s="147">
        <f t="shared" si="2"/>
        <v>0.65908152320000002</v>
      </c>
      <c r="G25" s="147">
        <f t="shared" si="0"/>
        <v>0.73390402239999997</v>
      </c>
      <c r="H25" s="147">
        <f t="shared" si="1"/>
        <v>0.81537269759999997</v>
      </c>
    </row>
    <row r="26" spans="1:8" ht="16.5" customHeight="1">
      <c r="B26" s="431">
        <v>2017</v>
      </c>
      <c r="C26" s="502"/>
      <c r="E26" s="433">
        <f t="shared" si="3"/>
        <v>2017</v>
      </c>
      <c r="F26" s="147">
        <f t="shared" si="2"/>
        <v>0.606355001344</v>
      </c>
      <c r="G26" s="147">
        <f>IF(E26&lt;Price_Base,"",IF(E26=Price_Base,1,G25-($C$6*G25)))</f>
        <v>0.68986978105599994</v>
      </c>
      <c r="H26" s="147">
        <f t="shared" si="1"/>
        <v>0.78275778969599996</v>
      </c>
    </row>
    <row r="27" spans="1:8">
      <c r="B27" s="431">
        <v>2018</v>
      </c>
      <c r="C27" s="502"/>
      <c r="E27" s="433">
        <f t="shared" si="3"/>
        <v>2018</v>
      </c>
      <c r="F27" s="147">
        <f t="shared" si="2"/>
        <v>0.55784660123648</v>
      </c>
      <c r="G27" s="147">
        <f t="shared" si="0"/>
        <v>0.64847759419263995</v>
      </c>
      <c r="H27" s="147">
        <f t="shared" si="1"/>
        <v>0.75144747810815993</v>
      </c>
    </row>
    <row r="28" spans="1:8">
      <c r="B28" s="431">
        <v>2019</v>
      </c>
      <c r="C28" s="502"/>
      <c r="E28" s="433">
        <f t="shared" si="3"/>
        <v>2019</v>
      </c>
      <c r="F28" s="147">
        <f t="shared" si="2"/>
        <v>0.51321887313756165</v>
      </c>
      <c r="G28" s="147">
        <f t="shared" si="0"/>
        <v>0.60956893854108152</v>
      </c>
      <c r="H28" s="147">
        <f t="shared" si="1"/>
        <v>0.72138957898383349</v>
      </c>
    </row>
    <row r="29" spans="1:8">
      <c r="B29" s="431">
        <v>2020</v>
      </c>
      <c r="C29" s="502"/>
      <c r="E29" s="433">
        <f t="shared" si="3"/>
        <v>2020</v>
      </c>
      <c r="F29" s="147">
        <f t="shared" si="2"/>
        <v>0.47216136328655672</v>
      </c>
      <c r="G29" s="147">
        <f t="shared" si="0"/>
        <v>0.57299480222861665</v>
      </c>
      <c r="H29" s="147">
        <f t="shared" si="1"/>
        <v>0.69253399582448016</v>
      </c>
    </row>
    <row r="30" spans="1:8">
      <c r="B30" s="431">
        <v>2021</v>
      </c>
      <c r="C30" s="502"/>
      <c r="E30" s="433">
        <f t="shared" si="3"/>
        <v>2021</v>
      </c>
      <c r="F30" s="147">
        <f t="shared" si="2"/>
        <v>0.4343884542236322</v>
      </c>
      <c r="G30" s="147">
        <f t="shared" si="0"/>
        <v>0.53861511409489971</v>
      </c>
      <c r="H30" s="147">
        <f t="shared" si="1"/>
        <v>0.664832635991501</v>
      </c>
    </row>
    <row r="31" spans="1:8">
      <c r="B31" s="431">
        <v>2022</v>
      </c>
      <c r="C31" s="502"/>
      <c r="E31" s="433">
        <f t="shared" si="3"/>
        <v>2022</v>
      </c>
      <c r="F31" s="147">
        <f t="shared" si="2"/>
        <v>0.39963737788574161</v>
      </c>
      <c r="G31" s="147">
        <f t="shared" si="0"/>
        <v>0.50629820724920571</v>
      </c>
      <c r="H31" s="147">
        <f t="shared" si="1"/>
        <v>0.63823933055184101</v>
      </c>
    </row>
    <row r="32" spans="1:8">
      <c r="B32" s="431">
        <v>2023</v>
      </c>
      <c r="C32" s="502"/>
      <c r="E32" s="433">
        <f t="shared" si="3"/>
        <v>2023</v>
      </c>
      <c r="F32" s="147">
        <f t="shared" si="2"/>
        <v>0.3676663876548823</v>
      </c>
      <c r="G32" s="147">
        <f t="shared" si="0"/>
        <v>0.47592031481425334</v>
      </c>
      <c r="H32" s="147">
        <f t="shared" si="1"/>
        <v>0.6127097573297674</v>
      </c>
    </row>
    <row r="33" spans="2:8">
      <c r="B33" s="431">
        <v>2024</v>
      </c>
      <c r="C33" s="502"/>
      <c r="E33" s="433">
        <f t="shared" si="3"/>
        <v>2024</v>
      </c>
      <c r="F33" s="147">
        <f t="shared" si="2"/>
        <v>0.33825307664249171</v>
      </c>
      <c r="G33" s="147">
        <f t="shared" si="0"/>
        <v>0.44736509592539814</v>
      </c>
      <c r="H33" s="147">
        <f t="shared" si="1"/>
        <v>0.58820136703657666</v>
      </c>
    </row>
    <row r="34" spans="2:8">
      <c r="B34" s="431">
        <v>2025</v>
      </c>
      <c r="C34" s="502"/>
      <c r="E34" s="433">
        <f t="shared" si="3"/>
        <v>2025</v>
      </c>
      <c r="F34" s="147">
        <f t="shared" si="2"/>
        <v>0.31119283051109237</v>
      </c>
      <c r="G34" s="147">
        <f t="shared" si="0"/>
        <v>0.42052319016987427</v>
      </c>
      <c r="H34" s="147">
        <f t="shared" si="1"/>
        <v>0.56467331235511364</v>
      </c>
    </row>
    <row r="35" spans="2:8">
      <c r="B35" s="431">
        <v>2026</v>
      </c>
      <c r="C35" s="502"/>
      <c r="E35" s="433">
        <f t="shared" si="3"/>
        <v>2026</v>
      </c>
      <c r="F35" s="147">
        <f t="shared" si="2"/>
        <v>0.28629740407020499</v>
      </c>
      <c r="G35" s="147">
        <f t="shared" si="0"/>
        <v>0.39529179875968179</v>
      </c>
      <c r="H35" s="147">
        <f t="shared" si="1"/>
        <v>0.54208637986090913</v>
      </c>
    </row>
    <row r="36" spans="2:8">
      <c r="B36" s="431">
        <v>2027</v>
      </c>
      <c r="C36" s="502"/>
      <c r="E36" s="433">
        <f t="shared" si="3"/>
        <v>2027</v>
      </c>
      <c r="F36" s="147">
        <f t="shared" si="2"/>
        <v>0.26339361174458858</v>
      </c>
      <c r="G36" s="147">
        <f t="shared" si="0"/>
        <v>0.37157429083410087</v>
      </c>
      <c r="H36" s="147">
        <f t="shared" si="1"/>
        <v>0.52040292466647275</v>
      </c>
    </row>
    <row r="37" spans="2:8">
      <c r="B37" s="431">
        <v>2028</v>
      </c>
      <c r="C37" s="502"/>
      <c r="E37" s="433">
        <f t="shared" si="3"/>
        <v>2028</v>
      </c>
      <c r="F37" s="147">
        <f t="shared" si="2"/>
        <v>0.24232212280502149</v>
      </c>
      <c r="G37" s="147">
        <f t="shared" si="0"/>
        <v>0.34927983338405483</v>
      </c>
      <c r="H37" s="147">
        <f t="shared" si="1"/>
        <v>0.49958680767981384</v>
      </c>
    </row>
    <row r="38" spans="2:8">
      <c r="B38" s="431">
        <v>2029</v>
      </c>
      <c r="C38" s="502"/>
      <c r="E38" s="433">
        <f t="shared" si="3"/>
        <v>2029</v>
      </c>
      <c r="F38" s="147">
        <f t="shared" si="2"/>
        <v>0.22293635298061978</v>
      </c>
      <c r="G38" s="147">
        <f t="shared" si="0"/>
        <v>0.32832304338101154</v>
      </c>
      <c r="H38" s="147">
        <f t="shared" si="1"/>
        <v>0.47960333537262129</v>
      </c>
    </row>
    <row r="39" spans="2:8">
      <c r="B39" s="431">
        <v>2030</v>
      </c>
      <c r="C39" s="502"/>
      <c r="E39" s="433">
        <f t="shared" si="3"/>
        <v>2030</v>
      </c>
      <c r="F39" s="147">
        <f t="shared" si="2"/>
        <v>0.20510144474217021</v>
      </c>
      <c r="G39" s="147">
        <f t="shared" si="0"/>
        <v>0.30862366077815084</v>
      </c>
      <c r="H39" s="147">
        <f t="shared" si="1"/>
        <v>0.46041920195771646</v>
      </c>
    </row>
    <row r="40" spans="2:8">
      <c r="B40" s="431">
        <v>2031</v>
      </c>
      <c r="C40" s="502"/>
      <c r="E40" s="433">
        <f t="shared" si="3"/>
        <v>2031</v>
      </c>
      <c r="F40" s="147">
        <f t="shared" si="2"/>
        <v>0.1886933291627966</v>
      </c>
      <c r="G40" s="147">
        <f t="shared" si="0"/>
        <v>0.29010624113146177</v>
      </c>
      <c r="H40" s="147">
        <f t="shared" si="1"/>
        <v>0.4420024338794078</v>
      </c>
    </row>
    <row r="41" spans="2:8">
      <c r="B41" s="431">
        <v>2032</v>
      </c>
      <c r="C41" s="502"/>
      <c r="E41" s="433">
        <f t="shared" si="3"/>
        <v>2032</v>
      </c>
      <c r="F41" s="147">
        <f t="shared" si="2"/>
        <v>0.17359786282977288</v>
      </c>
      <c r="G41" s="147">
        <f t="shared" si="0"/>
        <v>0.27269986666357404</v>
      </c>
      <c r="H41" s="147">
        <f t="shared" si="1"/>
        <v>0.42432233652423146</v>
      </c>
    </row>
    <row r="42" spans="2:8">
      <c r="B42" s="431">
        <v>2033</v>
      </c>
      <c r="C42" s="502"/>
      <c r="E42" s="433">
        <f t="shared" si="3"/>
        <v>2033</v>
      </c>
      <c r="F42" s="147">
        <f t="shared" si="2"/>
        <v>0.15971003380339105</v>
      </c>
      <c r="G42" s="147">
        <f t="shared" si="0"/>
        <v>0.25633787466375962</v>
      </c>
      <c r="H42" s="147">
        <f t="shared" si="1"/>
        <v>0.40734944306326221</v>
      </c>
    </row>
    <row r="43" spans="2:8">
      <c r="B43" s="431">
        <v>2034</v>
      </c>
      <c r="C43" s="502"/>
      <c r="E43" s="433">
        <f t="shared" si="3"/>
        <v>2034</v>
      </c>
      <c r="F43" s="147">
        <f t="shared" ref="F43:F74" si="4">IF(E43&lt;Price_Base,"",IF(E43=Price_Base,1,F42-($C$5*F42)))</f>
        <v>0.14693323109911977</v>
      </c>
      <c r="G43" s="147">
        <f t="shared" ref="G43:G74" si="5">IF(E43&lt;Price_Base,"",IF(E43=Price_Base,1,G42-($C$6*G42)))</f>
        <v>0.24095760218393406</v>
      </c>
      <c r="H43" s="147">
        <f t="shared" ref="H43:H74" si="6">IF(E43&lt;Price_Base,"",IF(E43=Price_Base,1,H42-($C$7*H42)))</f>
        <v>0.39105546534073171</v>
      </c>
    </row>
    <row r="44" spans="2:8">
      <c r="B44" s="431">
        <v>2035</v>
      </c>
      <c r="C44" s="502"/>
      <c r="E44" s="433">
        <f t="shared" si="3"/>
        <v>2035</v>
      </c>
      <c r="F44" s="147">
        <f t="shared" si="4"/>
        <v>0.13517857261119018</v>
      </c>
      <c r="G44" s="147">
        <f t="shared" si="5"/>
        <v>0.226500146052898</v>
      </c>
      <c r="H44" s="147">
        <f t="shared" si="6"/>
        <v>0.37541324672710247</v>
      </c>
    </row>
    <row r="45" spans="2:8">
      <c r="B45" s="431">
        <v>2036</v>
      </c>
      <c r="C45" s="502"/>
      <c r="E45" s="433">
        <f t="shared" si="3"/>
        <v>2036</v>
      </c>
      <c r="F45" s="147">
        <f t="shared" si="4"/>
        <v>0.12436428680229497</v>
      </c>
      <c r="G45" s="147">
        <f t="shared" si="5"/>
        <v>0.21291013728972413</v>
      </c>
      <c r="H45" s="147">
        <f t="shared" si="6"/>
        <v>0.36039671685801838</v>
      </c>
    </row>
    <row r="46" spans="2:8">
      <c r="B46" s="431">
        <v>2037</v>
      </c>
      <c r="C46" s="502"/>
      <c r="E46" s="433">
        <f t="shared" si="3"/>
        <v>2037</v>
      </c>
      <c r="F46" s="147">
        <f t="shared" si="4"/>
        <v>0.11441514385811137</v>
      </c>
      <c r="G46" s="147">
        <f t="shared" si="5"/>
        <v>0.20013552905234069</v>
      </c>
      <c r="H46" s="147">
        <f t="shared" si="6"/>
        <v>0.34598084818369768</v>
      </c>
    </row>
    <row r="47" spans="2:8">
      <c r="B47" s="431">
        <v>2038</v>
      </c>
      <c r="C47" s="502"/>
      <c r="E47" s="433">
        <f t="shared" si="3"/>
        <v>2038</v>
      </c>
      <c r="F47" s="147">
        <f t="shared" si="4"/>
        <v>0.10526193234946246</v>
      </c>
      <c r="G47" s="147">
        <f t="shared" si="5"/>
        <v>0.18812739730920025</v>
      </c>
      <c r="H47" s="147">
        <f t="shared" si="6"/>
        <v>0.33214161425634975</v>
      </c>
    </row>
    <row r="48" spans="2:8">
      <c r="B48" s="431">
        <v>2039</v>
      </c>
      <c r="C48" s="502"/>
      <c r="E48" s="433">
        <f t="shared" si="3"/>
        <v>2039</v>
      </c>
      <c r="F48" s="147">
        <f t="shared" si="4"/>
        <v>9.6840977761505465E-2</v>
      </c>
      <c r="G48" s="147">
        <f t="shared" si="5"/>
        <v>0.17683975347064823</v>
      </c>
      <c r="H48" s="147">
        <f t="shared" si="6"/>
        <v>0.31885594968609576</v>
      </c>
    </row>
    <row r="49" spans="2:22">
      <c r="B49" s="431">
        <v>2040</v>
      </c>
      <c r="C49" s="502"/>
      <c r="E49" s="433">
        <f t="shared" si="3"/>
        <v>2040</v>
      </c>
      <c r="F49" s="147">
        <f t="shared" si="4"/>
        <v>8.9093699540585033E-2</v>
      </c>
      <c r="G49" s="147">
        <f t="shared" si="5"/>
        <v>0.16622936826240933</v>
      </c>
      <c r="H49" s="147">
        <f t="shared" si="6"/>
        <v>0.30610171169865191</v>
      </c>
      <c r="V49" s="18"/>
    </row>
    <row r="50" spans="2:22">
      <c r="B50" s="431">
        <v>2041</v>
      </c>
      <c r="C50" s="502"/>
      <c r="E50" s="433">
        <f t="shared" si="3"/>
        <v>2041</v>
      </c>
      <c r="F50" s="147">
        <f t="shared" si="4"/>
        <v>8.1966203577338234E-2</v>
      </c>
      <c r="G50" s="147">
        <f t="shared" si="5"/>
        <v>0.15625560616666478</v>
      </c>
      <c r="H50" s="147">
        <f t="shared" si="6"/>
        <v>0.29385764323070585</v>
      </c>
    </row>
    <row r="51" spans="2:22">
      <c r="B51" s="431">
        <v>2042</v>
      </c>
      <c r="C51" s="502"/>
      <c r="E51" s="433">
        <f t="shared" si="3"/>
        <v>2042</v>
      </c>
      <c r="F51" s="147">
        <f t="shared" si="4"/>
        <v>7.540890729115117E-2</v>
      </c>
      <c r="G51" s="147">
        <f t="shared" si="5"/>
        <v>0.14688026979666491</v>
      </c>
      <c r="H51" s="147">
        <f t="shared" si="6"/>
        <v>0.28210333750147759</v>
      </c>
    </row>
    <row r="52" spans="2:22">
      <c r="B52" s="431">
        <v>2043</v>
      </c>
      <c r="C52" s="502"/>
      <c r="E52" s="433">
        <f t="shared" si="3"/>
        <v>2043</v>
      </c>
      <c r="F52" s="147">
        <f t="shared" si="4"/>
        <v>6.9376194707859079E-2</v>
      </c>
      <c r="G52" s="147">
        <f t="shared" si="5"/>
        <v>0.13806745360886502</v>
      </c>
      <c r="H52" s="147">
        <f t="shared" si="6"/>
        <v>0.27081920400141851</v>
      </c>
    </row>
    <row r="53" spans="2:22">
      <c r="B53" s="431">
        <v>2044</v>
      </c>
      <c r="C53" s="502"/>
      <c r="E53" s="433">
        <f t="shared" si="3"/>
        <v>2044</v>
      </c>
      <c r="F53" s="147">
        <f t="shared" si="4"/>
        <v>6.3826099131230357E-2</v>
      </c>
      <c r="G53" s="147">
        <f t="shared" si="5"/>
        <v>0.12978340639233313</v>
      </c>
      <c r="H53" s="147">
        <f t="shared" si="6"/>
        <v>0.25998643584136177</v>
      </c>
    </row>
    <row r="54" spans="2:22">
      <c r="B54" s="431">
        <v>2045</v>
      </c>
      <c r="C54" s="502"/>
      <c r="E54" s="433">
        <f t="shared" si="3"/>
        <v>2045</v>
      </c>
      <c r="F54" s="147">
        <f t="shared" si="4"/>
        <v>5.8720011200731927E-2</v>
      </c>
      <c r="G54" s="147">
        <f t="shared" si="5"/>
        <v>0.12199640200879314</v>
      </c>
      <c r="H54" s="147">
        <f t="shared" si="6"/>
        <v>0.2495869784077073</v>
      </c>
    </row>
    <row r="55" spans="2:22">
      <c r="B55" s="431">
        <v>2046</v>
      </c>
      <c r="C55" s="502"/>
      <c r="E55" s="433">
        <f t="shared" si="3"/>
        <v>2046</v>
      </c>
      <c r="F55" s="147">
        <f t="shared" si="4"/>
        <v>5.402241030467337E-2</v>
      </c>
      <c r="G55" s="147">
        <f t="shared" si="5"/>
        <v>0.11467661788826555</v>
      </c>
      <c r="H55" s="147">
        <f t="shared" si="6"/>
        <v>0.23960349927139901</v>
      </c>
    </row>
    <row r="56" spans="2:22">
      <c r="B56" s="431">
        <v>2047</v>
      </c>
      <c r="C56" s="502"/>
      <c r="E56" s="433">
        <f t="shared" si="3"/>
        <v>2047</v>
      </c>
      <c r="F56" s="147">
        <f t="shared" si="4"/>
        <v>4.9700617480299497E-2</v>
      </c>
      <c r="G56" s="147">
        <f t="shared" si="5"/>
        <v>0.10779602081496963</v>
      </c>
      <c r="H56" s="147">
        <f t="shared" si="6"/>
        <v>0.23001935930054304</v>
      </c>
    </row>
    <row r="57" spans="2:22">
      <c r="B57" s="431">
        <v>2048</v>
      </c>
      <c r="C57" s="502"/>
      <c r="E57" s="433">
        <f t="shared" si="3"/>
        <v>2048</v>
      </c>
      <c r="F57" s="147">
        <f t="shared" si="4"/>
        <v>4.5724568081875534E-2</v>
      </c>
      <c r="G57" s="147">
        <f t="shared" si="5"/>
        <v>0.10132825956607144</v>
      </c>
      <c r="H57" s="147">
        <f t="shared" si="6"/>
        <v>0.22081858492852133</v>
      </c>
    </row>
    <row r="58" spans="2:22">
      <c r="B58" s="431">
        <v>2049</v>
      </c>
      <c r="C58" s="502"/>
      <c r="E58" s="433">
        <f t="shared" si="3"/>
        <v>2049</v>
      </c>
      <c r="F58" s="147">
        <f t="shared" si="4"/>
        <v>4.2066602635325495E-2</v>
      </c>
      <c r="G58" s="147">
        <f t="shared" si="5"/>
        <v>9.5248563992107155E-2</v>
      </c>
      <c r="H58" s="147">
        <f t="shared" si="6"/>
        <v>0.21198584153138048</v>
      </c>
    </row>
    <row r="59" spans="2:22">
      <c r="B59" s="431">
        <v>2050</v>
      </c>
      <c r="C59" s="502"/>
      <c r="E59" s="433">
        <f t="shared" si="3"/>
        <v>2050</v>
      </c>
      <c r="F59" s="147">
        <f t="shared" si="4"/>
        <v>3.8701274424499457E-2</v>
      </c>
      <c r="G59" s="147">
        <f t="shared" si="5"/>
        <v>8.9533650152580732E-2</v>
      </c>
      <c r="H59" s="147">
        <f t="shared" si="6"/>
        <v>0.20350640787012525</v>
      </c>
    </row>
    <row r="60" spans="2:22">
      <c r="B60" s="431">
        <v>2051</v>
      </c>
      <c r="C60" s="502"/>
      <c r="E60" s="433">
        <f t="shared" si="3"/>
        <v>2051</v>
      </c>
      <c r="F60" s="147">
        <f t="shared" si="4"/>
        <v>3.5605172470539501E-2</v>
      </c>
      <c r="G60" s="147">
        <f t="shared" si="5"/>
        <v>8.4161631143425883E-2</v>
      </c>
      <c r="H60" s="147">
        <f t="shared" si="6"/>
        <v>0.19536615155532025</v>
      </c>
    </row>
    <row r="61" spans="2:22">
      <c r="B61" s="431">
        <v>2052</v>
      </c>
      <c r="C61" s="502"/>
      <c r="E61" s="433">
        <f t="shared" si="3"/>
        <v>2052</v>
      </c>
      <c r="F61" s="147">
        <f t="shared" si="4"/>
        <v>3.275675867289634E-2</v>
      </c>
      <c r="G61" s="147">
        <f t="shared" si="5"/>
        <v>7.9111933274820329E-2</v>
      </c>
      <c r="H61" s="147">
        <f t="shared" si="6"/>
        <v>0.18755150549310745</v>
      </c>
    </row>
    <row r="62" spans="2:22">
      <c r="B62" s="431">
        <v>2053</v>
      </c>
      <c r="C62" s="502"/>
      <c r="E62" s="433">
        <f t="shared" si="3"/>
        <v>2053</v>
      </c>
      <c r="F62" s="147">
        <f t="shared" si="4"/>
        <v>3.0136217979064631E-2</v>
      </c>
      <c r="G62" s="147">
        <f t="shared" si="5"/>
        <v>7.4365217278331106E-2</v>
      </c>
      <c r="H62" s="147">
        <f t="shared" si="6"/>
        <v>0.18004944527338315</v>
      </c>
    </row>
    <row r="63" spans="2:22">
      <c r="B63" s="431">
        <v>2054</v>
      </c>
      <c r="C63" s="502"/>
      <c r="E63" s="433">
        <f t="shared" si="3"/>
        <v>2054</v>
      </c>
      <c r="F63" s="147">
        <f t="shared" si="4"/>
        <v>2.7725320540739461E-2</v>
      </c>
      <c r="G63" s="147">
        <f t="shared" si="5"/>
        <v>6.9903304241631242E-2</v>
      </c>
      <c r="H63" s="147">
        <f t="shared" si="6"/>
        <v>0.17284746746244783</v>
      </c>
    </row>
    <row r="64" spans="2:22">
      <c r="B64" s="431">
        <v>2055</v>
      </c>
      <c r="C64" s="502"/>
      <c r="E64" s="433">
        <f t="shared" si="3"/>
        <v>2055</v>
      </c>
      <c r="F64" s="147">
        <f t="shared" si="4"/>
        <v>2.5507294897480305E-2</v>
      </c>
      <c r="G64" s="147">
        <f t="shared" si="5"/>
        <v>6.5709105987133365E-2</v>
      </c>
      <c r="H64" s="147">
        <f t="shared" si="6"/>
        <v>0.16593356876394993</v>
      </c>
    </row>
    <row r="65" spans="2:8">
      <c r="B65" s="431">
        <v>2056</v>
      </c>
      <c r="C65" s="502"/>
      <c r="E65" s="433">
        <f t="shared" si="3"/>
        <v>2056</v>
      </c>
      <c r="F65" s="147">
        <f t="shared" si="4"/>
        <v>2.346671130568188E-2</v>
      </c>
      <c r="G65" s="147">
        <f t="shared" si="5"/>
        <v>6.1766559627905365E-2</v>
      </c>
      <c r="H65" s="147">
        <f t="shared" si="6"/>
        <v>0.15929622601339194</v>
      </c>
    </row>
    <row r="66" spans="2:8">
      <c r="B66" s="431">
        <v>2057</v>
      </c>
      <c r="C66" s="502"/>
      <c r="E66" s="433">
        <f t="shared" si="3"/>
        <v>2057</v>
      </c>
      <c r="F66" s="147">
        <f t="shared" si="4"/>
        <v>2.1589374401227331E-2</v>
      </c>
      <c r="G66" s="147">
        <f t="shared" si="5"/>
        <v>5.8060566050231043E-2</v>
      </c>
      <c r="H66" s="147">
        <f t="shared" si="6"/>
        <v>0.15292437697285627</v>
      </c>
    </row>
    <row r="67" spans="2:8">
      <c r="B67" s="431">
        <v>2058</v>
      </c>
      <c r="C67" s="502"/>
      <c r="E67" s="433">
        <f t="shared" si="3"/>
        <v>2058</v>
      </c>
      <c r="F67" s="147">
        <f t="shared" si="4"/>
        <v>1.9862224449129145E-2</v>
      </c>
      <c r="G67" s="147">
        <f t="shared" si="5"/>
        <v>5.457693208721718E-2</v>
      </c>
      <c r="H67" s="147">
        <f t="shared" si="6"/>
        <v>0.14680740189394201</v>
      </c>
    </row>
    <row r="68" spans="2:8">
      <c r="B68" s="431">
        <v>2059</v>
      </c>
      <c r="C68" s="502"/>
      <c r="E68" s="433">
        <f t="shared" si="3"/>
        <v>2059</v>
      </c>
      <c r="F68" s="147">
        <f t="shared" si="4"/>
        <v>1.8273246493198815E-2</v>
      </c>
      <c r="G68" s="147">
        <f t="shared" si="5"/>
        <v>5.1302316161984149E-2</v>
      </c>
      <c r="H68" s="147">
        <f t="shared" si="6"/>
        <v>0.14093510581818433</v>
      </c>
    </row>
    <row r="69" spans="2:8">
      <c r="B69" s="431">
        <v>2060</v>
      </c>
      <c r="C69" s="502"/>
      <c r="E69" s="433">
        <f t="shared" si="3"/>
        <v>2060</v>
      </c>
      <c r="F69" s="147">
        <f t="shared" si="4"/>
        <v>1.6811386773742911E-2</v>
      </c>
      <c r="G69" s="147">
        <f t="shared" si="5"/>
        <v>4.82241771922651E-2</v>
      </c>
      <c r="H69" s="147">
        <f t="shared" si="6"/>
        <v>0.13529770158545695</v>
      </c>
    </row>
    <row r="70" spans="2:8">
      <c r="B70" s="431">
        <v>2061</v>
      </c>
      <c r="C70" s="502"/>
      <c r="E70" s="433">
        <f t="shared" si="3"/>
        <v>2061</v>
      </c>
      <c r="F70" s="147">
        <f t="shared" si="4"/>
        <v>1.5466475831843478E-2</v>
      </c>
      <c r="G70" s="147">
        <f t="shared" si="5"/>
        <v>4.5330726560729194E-2</v>
      </c>
      <c r="H70" s="147">
        <f t="shared" si="6"/>
        <v>0.12988579352203866</v>
      </c>
    </row>
    <row r="71" spans="2:8">
      <c r="B71" s="431">
        <v>2062</v>
      </c>
      <c r="C71" s="502"/>
      <c r="E71" s="433">
        <f t="shared" si="3"/>
        <v>2062</v>
      </c>
      <c r="F71" s="147">
        <f t="shared" si="4"/>
        <v>1.4229157765295999E-2</v>
      </c>
      <c r="G71" s="147">
        <f t="shared" si="5"/>
        <v>4.2610882967085442E-2</v>
      </c>
      <c r="H71" s="147">
        <f t="shared" si="6"/>
        <v>0.12469036178115711</v>
      </c>
    </row>
    <row r="72" spans="2:8">
      <c r="B72" s="431">
        <v>2063</v>
      </c>
      <c r="C72" s="502"/>
      <c r="E72" s="433">
        <f t="shared" si="3"/>
        <v>2063</v>
      </c>
      <c r="F72" s="147">
        <f t="shared" si="4"/>
        <v>1.3090825144072319E-2</v>
      </c>
      <c r="G72" s="147">
        <f t="shared" si="5"/>
        <v>4.0054229989060317E-2</v>
      </c>
      <c r="H72" s="147">
        <f t="shared" si="6"/>
        <v>0.11970274730991083</v>
      </c>
    </row>
    <row r="73" spans="2:8">
      <c r="B73" s="431">
        <v>2064</v>
      </c>
      <c r="C73" s="502"/>
      <c r="E73" s="433">
        <f t="shared" si="3"/>
        <v>2064</v>
      </c>
      <c r="F73" s="147">
        <f t="shared" si="4"/>
        <v>1.2043559132546533E-2</v>
      </c>
      <c r="G73" s="147">
        <f t="shared" si="5"/>
        <v>3.7650976189716696E-2</v>
      </c>
      <c r="H73" s="147">
        <f t="shared" si="6"/>
        <v>0.1149146374175144</v>
      </c>
    </row>
    <row r="74" spans="2:8">
      <c r="B74" s="431">
        <v>2065</v>
      </c>
      <c r="C74" s="502"/>
      <c r="E74" s="433">
        <f t="shared" si="3"/>
        <v>2065</v>
      </c>
      <c r="F74" s="147">
        <f t="shared" si="4"/>
        <v>1.1080074401942811E-2</v>
      </c>
      <c r="G74" s="147">
        <f t="shared" si="5"/>
        <v>3.5391917618333692E-2</v>
      </c>
      <c r="H74" s="147">
        <f t="shared" si="6"/>
        <v>0.11031805192081383</v>
      </c>
    </row>
    <row r="75" spans="2:8">
      <c r="B75" s="431">
        <v>2066</v>
      </c>
      <c r="C75" s="502"/>
      <c r="E75" s="433">
        <f t="shared" si="3"/>
        <v>2066</v>
      </c>
      <c r="F75" s="147">
        <f t="shared" ref="F75:F89" si="7">IF(E75&lt;Price_Base,"",IF(E75=Price_Base,1,F74-($C$5*F74)))</f>
        <v>1.0193668449787386E-2</v>
      </c>
      <c r="G75" s="147">
        <f t="shared" ref="G75:G89" si="8">IF(E75&lt;Price_Base,"",IF(E75=Price_Base,1,G74-($C$6*G74)))</f>
        <v>3.3268402561233673E-2</v>
      </c>
      <c r="H75" s="147">
        <f t="shared" ref="H75:H89" si="9">IF(E75&lt;Price_Base,"",IF(E75=Price_Base,1,H74-($C$7*H74)))</f>
        <v>0.10590532984398128</v>
      </c>
    </row>
    <row r="76" spans="2:8">
      <c r="B76" s="431">
        <v>2067</v>
      </c>
      <c r="C76" s="502"/>
      <c r="E76" s="433">
        <f t="shared" si="3"/>
        <v>2067</v>
      </c>
      <c r="F76" s="147">
        <f t="shared" si="7"/>
        <v>9.3781749738043943E-3</v>
      </c>
      <c r="G76" s="147">
        <f t="shared" si="8"/>
        <v>3.127229840755965E-2</v>
      </c>
      <c r="H76" s="147">
        <f t="shared" si="9"/>
        <v>0.10166911665022203</v>
      </c>
    </row>
    <row r="77" spans="2:8">
      <c r="B77" s="431">
        <v>2068</v>
      </c>
      <c r="C77" s="502"/>
      <c r="E77" s="433">
        <f t="shared" si="3"/>
        <v>2068</v>
      </c>
      <c r="F77" s="147">
        <f t="shared" si="7"/>
        <v>8.6279209759000421E-3</v>
      </c>
      <c r="G77" s="147">
        <f t="shared" si="8"/>
        <v>2.9395960503106069E-2</v>
      </c>
      <c r="H77" s="147">
        <f t="shared" si="9"/>
        <v>9.7602351984213145E-2</v>
      </c>
    </row>
    <row r="78" spans="2:8">
      <c r="B78" s="431">
        <v>2069</v>
      </c>
      <c r="C78" s="502"/>
      <c r="E78" s="433">
        <f t="shared" si="3"/>
        <v>2069</v>
      </c>
      <c r="F78" s="147">
        <f t="shared" si="7"/>
        <v>7.9376872978280388E-3</v>
      </c>
      <c r="G78" s="147">
        <f t="shared" si="8"/>
        <v>2.7632202872919707E-2</v>
      </c>
      <c r="H78" s="147">
        <f t="shared" si="9"/>
        <v>9.3698257904844623E-2</v>
      </c>
    </row>
    <row r="79" spans="2:8">
      <c r="B79" s="431">
        <v>2070</v>
      </c>
      <c r="C79" s="502"/>
      <c r="E79" s="433">
        <f t="shared" si="3"/>
        <v>2070</v>
      </c>
      <c r="F79" s="147">
        <f t="shared" si="7"/>
        <v>7.3026723140017956E-3</v>
      </c>
      <c r="G79" s="147">
        <f t="shared" si="8"/>
        <v>2.5974270700544526E-2</v>
      </c>
      <c r="H79" s="147">
        <f t="shared" si="9"/>
        <v>8.9950327588650833E-2</v>
      </c>
    </row>
    <row r="80" spans="2:8">
      <c r="B80" s="431">
        <v>2071</v>
      </c>
      <c r="C80" s="502"/>
      <c r="E80" s="433">
        <f t="shared" si="3"/>
        <v>2071</v>
      </c>
      <c r="F80" s="147">
        <f t="shared" si="7"/>
        <v>6.7184585288816521E-3</v>
      </c>
      <c r="G80" s="147">
        <f t="shared" si="8"/>
        <v>2.4415814458511854E-2</v>
      </c>
      <c r="H80" s="147">
        <f t="shared" si="9"/>
        <v>8.6352314485104803E-2</v>
      </c>
    </row>
    <row r="81" spans="2:8">
      <c r="B81" s="431">
        <v>2072</v>
      </c>
      <c r="C81" s="502"/>
      <c r="E81" s="433">
        <f t="shared" si="3"/>
        <v>2072</v>
      </c>
      <c r="F81" s="147">
        <f t="shared" si="7"/>
        <v>6.18098184657112E-3</v>
      </c>
      <c r="G81" s="147">
        <f t="shared" si="8"/>
        <v>2.2950865591001145E-2</v>
      </c>
      <c r="H81" s="147">
        <f t="shared" si="9"/>
        <v>8.2898221905700606E-2</v>
      </c>
    </row>
    <row r="82" spans="2:8">
      <c r="B82" s="431">
        <v>2073</v>
      </c>
      <c r="C82" s="502"/>
      <c r="E82" s="433">
        <f t="shared" si="3"/>
        <v>2073</v>
      </c>
      <c r="F82" s="147">
        <f t="shared" si="7"/>
        <v>5.68650329884543E-3</v>
      </c>
      <c r="G82" s="147">
        <f t="shared" si="8"/>
        <v>2.1573813655541077E-2</v>
      </c>
      <c r="H82" s="147">
        <f t="shared" si="9"/>
        <v>7.9582293029472576E-2</v>
      </c>
    </row>
    <row r="83" spans="2:8">
      <c r="B83" s="431">
        <v>2074</v>
      </c>
      <c r="C83" s="502"/>
      <c r="E83" s="433">
        <f t="shared" si="3"/>
        <v>2074</v>
      </c>
      <c r="F83" s="147">
        <f t="shared" si="7"/>
        <v>5.2315830349377954E-3</v>
      </c>
      <c r="G83" s="147">
        <f t="shared" si="8"/>
        <v>2.0279384836208614E-2</v>
      </c>
      <c r="H83" s="147">
        <f t="shared" si="9"/>
        <v>7.6399001308293676E-2</v>
      </c>
    </row>
    <row r="84" spans="2:8">
      <c r="B84" s="431">
        <v>2075</v>
      </c>
      <c r="C84" s="502"/>
      <c r="E84" s="433">
        <f t="shared" si="3"/>
        <v>2075</v>
      </c>
      <c r="F84" s="147">
        <f t="shared" si="7"/>
        <v>4.8130563921427718E-3</v>
      </c>
      <c r="G84" s="147">
        <f t="shared" si="8"/>
        <v>1.9062621746036096E-2</v>
      </c>
      <c r="H84" s="147">
        <f t="shared" si="9"/>
        <v>7.334304125596193E-2</v>
      </c>
    </row>
    <row r="85" spans="2:8">
      <c r="B85" s="431">
        <v>2076</v>
      </c>
      <c r="C85" s="502"/>
      <c r="E85" s="433">
        <f t="shared" si="3"/>
        <v>2076</v>
      </c>
      <c r="F85" s="147">
        <f t="shared" si="7"/>
        <v>4.4280118807713499E-3</v>
      </c>
      <c r="G85" s="147">
        <f t="shared" si="8"/>
        <v>1.791886444127393E-2</v>
      </c>
      <c r="H85" s="147">
        <f t="shared" si="9"/>
        <v>7.0409319605723455E-2</v>
      </c>
    </row>
    <row r="86" spans="2:8">
      <c r="B86" s="431">
        <v>2077</v>
      </c>
      <c r="C86" s="502"/>
      <c r="E86" s="433">
        <f t="shared" ref="E86:E89" si="10">E85+1</f>
        <v>2077</v>
      </c>
      <c r="F86" s="147">
        <f t="shared" si="7"/>
        <v>4.0737709303096418E-3</v>
      </c>
      <c r="G86" s="147">
        <f t="shared" si="8"/>
        <v>1.6843732574797494E-2</v>
      </c>
      <c r="H86" s="147">
        <f t="shared" si="9"/>
        <v>6.7592946821494512E-2</v>
      </c>
    </row>
    <row r="87" spans="2:8">
      <c r="B87" s="431">
        <v>2078</v>
      </c>
      <c r="C87" s="502"/>
      <c r="E87" s="433">
        <f t="shared" si="10"/>
        <v>2078</v>
      </c>
      <c r="F87" s="147">
        <f t="shared" si="7"/>
        <v>3.7478692558848706E-3</v>
      </c>
      <c r="G87" s="147">
        <f t="shared" si="8"/>
        <v>1.5833108620309646E-2</v>
      </c>
      <c r="H87" s="147">
        <f t="shared" si="9"/>
        <v>6.4889228948634733E-2</v>
      </c>
    </row>
    <row r="88" spans="2:8">
      <c r="B88" s="431">
        <v>2079</v>
      </c>
      <c r="C88" s="502"/>
      <c r="E88" s="433">
        <f t="shared" si="10"/>
        <v>2079</v>
      </c>
      <c r="F88" s="147">
        <f t="shared" si="7"/>
        <v>3.4480397154140808E-3</v>
      </c>
      <c r="G88" s="147">
        <f t="shared" si="8"/>
        <v>1.4883122103091067E-2</v>
      </c>
      <c r="H88" s="147">
        <f t="shared" si="9"/>
        <v>6.2293659790689342E-2</v>
      </c>
    </row>
    <row r="89" spans="2:8">
      <c r="B89" s="432">
        <v>2080</v>
      </c>
      <c r="C89" s="511"/>
      <c r="E89" s="434">
        <f t="shared" si="10"/>
        <v>2080</v>
      </c>
      <c r="F89" s="88">
        <f t="shared" si="7"/>
        <v>3.1721965381809542E-3</v>
      </c>
      <c r="G89" s="88">
        <f t="shared" si="8"/>
        <v>1.3990134776905604E-2</v>
      </c>
      <c r="H89" s="88">
        <f t="shared" si="9"/>
        <v>5.9801913399061768E-2</v>
      </c>
    </row>
  </sheetData>
  <sheetProtection password="EA07" sheet="1" objects="1" scenarios="1"/>
  <dataConsolidate/>
  <dataValidations count="1">
    <dataValidation type="list" allowBlank="1" showInputMessage="1" showErrorMessage="1" sqref="V49 A6:A19 D10">
      <formula1>"Reassigned, New, Access Mode shift, New mode shift, Same"</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B2:P133"/>
  <sheetViews>
    <sheetView topLeftCell="A94" workbookViewId="0">
      <selection activeCell="I114" sqref="I114"/>
    </sheetView>
  </sheetViews>
  <sheetFormatPr defaultColWidth="9.140625" defaultRowHeight="15"/>
  <cols>
    <col min="1" max="1" width="12.28515625" style="8" customWidth="1"/>
    <col min="2" max="2" width="32.42578125" style="8" customWidth="1"/>
    <col min="3" max="3" width="22" style="8" customWidth="1"/>
    <col min="4" max="5" width="18.7109375" style="8" customWidth="1"/>
    <col min="6" max="6" width="19.42578125" style="8" customWidth="1"/>
    <col min="7" max="7" width="9.140625" style="8"/>
    <col min="8" max="8" width="17.85546875" style="8" customWidth="1"/>
    <col min="9" max="9" width="15.85546875" style="8" customWidth="1"/>
    <col min="10" max="10" width="17.7109375" style="8" customWidth="1"/>
    <col min="11" max="12" width="9.140625" style="8" customWidth="1"/>
    <col min="13" max="13" width="15.85546875" style="8" customWidth="1"/>
    <col min="14" max="14" width="16" style="8" customWidth="1"/>
    <col min="15" max="17" width="9.140625" style="8" customWidth="1"/>
    <col min="18" max="18" width="16.28515625" style="8" customWidth="1"/>
    <col min="19" max="19" width="16.5703125" style="8" customWidth="1"/>
    <col min="20" max="20" width="9.140625" style="8" customWidth="1"/>
    <col min="21" max="21" width="9.140625" style="8"/>
    <col min="22" max="22" width="24.140625" style="8" customWidth="1"/>
    <col min="23" max="23" width="27.42578125" style="8" customWidth="1"/>
    <col min="24" max="16384" width="9.140625" style="8"/>
  </cols>
  <sheetData>
    <row r="2" spans="2:10" ht="18.75">
      <c r="B2" s="295" t="s">
        <v>22</v>
      </c>
      <c r="C2" s="296"/>
      <c r="D2" s="296"/>
      <c r="E2" s="296"/>
      <c r="F2" s="112"/>
    </row>
    <row r="4" spans="2:10">
      <c r="B4" s="297" t="s">
        <v>346</v>
      </c>
      <c r="C4" s="171"/>
      <c r="D4" s="171"/>
      <c r="E4" s="171"/>
      <c r="F4" s="171"/>
      <c r="G4" s="297"/>
      <c r="H4" s="297"/>
      <c r="I4" s="297"/>
      <c r="J4" s="171"/>
    </row>
    <row r="5" spans="2:10">
      <c r="C5" s="14" t="s">
        <v>27</v>
      </c>
      <c r="D5" s="14" t="s">
        <v>342</v>
      </c>
      <c r="E5" s="14" t="s">
        <v>343</v>
      </c>
      <c r="F5" s="14" t="s">
        <v>344</v>
      </c>
      <c r="G5" s="14" t="s">
        <v>345</v>
      </c>
    </row>
    <row r="6" spans="2:10">
      <c r="B6" s="109" t="s">
        <v>186</v>
      </c>
      <c r="C6" s="205">
        <v>12.68</v>
      </c>
      <c r="D6" s="205">
        <v>22.843811585543488</v>
      </c>
      <c r="E6" s="298">
        <f>(C6/D6)*60</f>
        <v>33.30442457691543</v>
      </c>
      <c r="F6" s="205">
        <v>30</v>
      </c>
      <c r="G6" s="205">
        <f>E6+F6</f>
        <v>63.30442457691543</v>
      </c>
    </row>
    <row r="7" spans="2:10">
      <c r="B7" s="109" t="s">
        <v>286</v>
      </c>
      <c r="C7" s="205">
        <v>19.079999999999998</v>
      </c>
      <c r="D7" s="205">
        <v>42.70393557884605</v>
      </c>
      <c r="E7" s="298">
        <f>(C7/D7)*60</f>
        <v>26.807833621945878</v>
      </c>
      <c r="F7" s="205">
        <v>30</v>
      </c>
      <c r="G7" s="205">
        <f>E7+F7</f>
        <v>56.807833621945875</v>
      </c>
    </row>
    <row r="8" spans="2:10">
      <c r="B8" s="109" t="s">
        <v>287</v>
      </c>
      <c r="C8" s="205">
        <v>20.63</v>
      </c>
      <c r="D8" s="205">
        <v>42.70393557884605</v>
      </c>
      <c r="E8" s="298">
        <f>(C8/D8)*60</f>
        <v>28.985618848047352</v>
      </c>
      <c r="F8" s="205">
        <v>30</v>
      </c>
      <c r="G8" s="205">
        <f>E8+F8</f>
        <v>58.985618848047352</v>
      </c>
    </row>
    <row r="9" spans="2:10">
      <c r="B9" s="109" t="s">
        <v>288</v>
      </c>
      <c r="C9" s="205">
        <v>20.63</v>
      </c>
      <c r="D9" s="205">
        <v>42.70393557884605</v>
      </c>
      <c r="E9" s="298">
        <f t="shared" ref="E9:E17" si="0">(C9/D9)*60</f>
        <v>28.985618848047352</v>
      </c>
      <c r="F9" s="205">
        <v>30</v>
      </c>
      <c r="G9" s="205">
        <f t="shared" ref="G9:G17" si="1">E9+F9</f>
        <v>58.985618848047352</v>
      </c>
    </row>
    <row r="10" spans="2:10">
      <c r="B10" s="109" t="s">
        <v>289</v>
      </c>
      <c r="C10" s="205">
        <v>20.63</v>
      </c>
      <c r="D10" s="205">
        <v>42.70393557884605</v>
      </c>
      <c r="E10" s="298">
        <f t="shared" si="0"/>
        <v>28.985618848047352</v>
      </c>
      <c r="F10" s="205">
        <v>30</v>
      </c>
      <c r="G10" s="205">
        <f t="shared" si="1"/>
        <v>58.985618848047352</v>
      </c>
    </row>
    <row r="11" spans="2:10">
      <c r="B11" s="109" t="s">
        <v>290</v>
      </c>
      <c r="C11" s="205">
        <v>20.63</v>
      </c>
      <c r="D11" s="205">
        <v>42.70393557884605</v>
      </c>
      <c r="E11" s="298">
        <f t="shared" si="0"/>
        <v>28.985618848047352</v>
      </c>
      <c r="F11" s="205">
        <v>30</v>
      </c>
      <c r="G11" s="205">
        <f t="shared" si="1"/>
        <v>58.985618848047352</v>
      </c>
    </row>
    <row r="12" spans="2:10">
      <c r="B12" s="109" t="s">
        <v>94</v>
      </c>
      <c r="C12" s="299">
        <v>20</v>
      </c>
      <c r="D12" s="299">
        <v>25</v>
      </c>
      <c r="E12" s="298">
        <f t="shared" si="0"/>
        <v>48</v>
      </c>
      <c r="F12" s="299">
        <v>20</v>
      </c>
      <c r="G12" s="205">
        <f t="shared" si="1"/>
        <v>68</v>
      </c>
    </row>
    <row r="13" spans="2:10">
      <c r="B13" s="246" t="s">
        <v>298</v>
      </c>
      <c r="C13" s="300">
        <v>14</v>
      </c>
      <c r="D13" s="300">
        <v>30</v>
      </c>
      <c r="E13" s="278">
        <f t="shared" si="0"/>
        <v>28</v>
      </c>
      <c r="F13" s="300">
        <v>10</v>
      </c>
      <c r="G13" s="301">
        <f t="shared" si="1"/>
        <v>38</v>
      </c>
    </row>
    <row r="14" spans="2:10">
      <c r="B14" s="109" t="s">
        <v>187</v>
      </c>
      <c r="C14" s="205">
        <v>10.236188636354276</v>
      </c>
      <c r="D14" s="205">
        <v>23.238913329435569</v>
      </c>
      <c r="E14" s="298">
        <f t="shared" si="0"/>
        <v>26.428573035010054</v>
      </c>
      <c r="F14" s="299">
        <v>20</v>
      </c>
      <c r="G14" s="205">
        <f t="shared" si="1"/>
        <v>46.428573035010054</v>
      </c>
    </row>
    <row r="15" spans="2:10">
      <c r="B15" s="109" t="s">
        <v>293</v>
      </c>
      <c r="C15" s="205">
        <v>7.8189675616472005</v>
      </c>
      <c r="D15" s="205">
        <v>19.019768682544949</v>
      </c>
      <c r="E15" s="298">
        <f t="shared" si="0"/>
        <v>24.665812793473929</v>
      </c>
      <c r="F15" s="299">
        <v>20</v>
      </c>
      <c r="G15" s="205">
        <f t="shared" si="1"/>
        <v>44.665812793473933</v>
      </c>
    </row>
    <row r="16" spans="2:10">
      <c r="B16" s="109" t="s">
        <v>294</v>
      </c>
      <c r="C16" s="205">
        <v>7.4979360472276504</v>
      </c>
      <c r="D16" s="205">
        <v>18.747217969034452</v>
      </c>
      <c r="E16" s="298">
        <f t="shared" si="0"/>
        <v>23.996955899095955</v>
      </c>
      <c r="F16" s="299">
        <v>20</v>
      </c>
      <c r="G16" s="205">
        <f t="shared" si="1"/>
        <v>43.996955899095951</v>
      </c>
    </row>
    <row r="17" spans="2:10">
      <c r="B17" s="109" t="s">
        <v>295</v>
      </c>
      <c r="C17" s="205">
        <v>9.8542536497429616</v>
      </c>
      <c r="D17" s="205">
        <v>24.030765537218297</v>
      </c>
      <c r="E17" s="298">
        <f t="shared" si="0"/>
        <v>24.604094200363914</v>
      </c>
      <c r="F17" s="299">
        <v>30</v>
      </c>
      <c r="G17" s="205">
        <f t="shared" si="1"/>
        <v>54.604094200363917</v>
      </c>
    </row>
    <row r="18" spans="2:10">
      <c r="B18" s="109" t="s">
        <v>296</v>
      </c>
      <c r="C18" s="299">
        <v>8.4614013472537302</v>
      </c>
      <c r="D18" s="299">
        <v>23.637686758601031</v>
      </c>
      <c r="E18" s="298">
        <f t="shared" ref="E18:E19" si="2">(C18/D18)*60</f>
        <v>21.477739595245847</v>
      </c>
      <c r="F18" s="299">
        <v>30</v>
      </c>
      <c r="G18" s="205">
        <f t="shared" ref="G18:G19" si="3">E18+F18</f>
        <v>51.477739595245851</v>
      </c>
    </row>
    <row r="19" spans="2:10">
      <c r="B19" s="109" t="s">
        <v>297</v>
      </c>
      <c r="C19" s="299">
        <v>8.9033164788732293</v>
      </c>
      <c r="D19" s="299">
        <v>18.57147420471702</v>
      </c>
      <c r="E19" s="298">
        <f t="shared" si="2"/>
        <v>28.764490252298391</v>
      </c>
      <c r="F19" s="299">
        <v>60</v>
      </c>
      <c r="G19" s="205">
        <f t="shared" si="3"/>
        <v>88.764490252298387</v>
      </c>
    </row>
    <row r="20" spans="2:10">
      <c r="B20" s="108"/>
    </row>
    <row r="21" spans="2:10">
      <c r="B21" s="297" t="s">
        <v>637</v>
      </c>
      <c r="C21" s="171"/>
      <c r="D21" s="171"/>
      <c r="E21" s="171"/>
      <c r="F21" s="171"/>
      <c r="G21" s="297"/>
      <c r="H21" s="297"/>
      <c r="I21" s="297"/>
      <c r="J21" s="171"/>
    </row>
    <row r="22" spans="2:10">
      <c r="B22" s="14"/>
      <c r="G22" s="14"/>
      <c r="H22" s="14"/>
      <c r="I22" s="14"/>
    </row>
    <row r="23" spans="2:10">
      <c r="B23" s="108"/>
      <c r="D23" s="33" t="s">
        <v>27</v>
      </c>
      <c r="E23" s="33" t="s">
        <v>347</v>
      </c>
      <c r="F23" s="33" t="s">
        <v>343</v>
      </c>
      <c r="G23" s="33" t="s">
        <v>348</v>
      </c>
      <c r="H23" s="33" t="s">
        <v>345</v>
      </c>
      <c r="I23" s="33" t="s">
        <v>351</v>
      </c>
      <c r="J23" s="33" t="s">
        <v>352</v>
      </c>
    </row>
    <row r="24" spans="2:10">
      <c r="B24" s="109" t="s">
        <v>36</v>
      </c>
      <c r="C24" s="109" t="s">
        <v>383</v>
      </c>
      <c r="D24" s="205">
        <v>1.814931136481726</v>
      </c>
      <c r="E24" s="205">
        <v>15.477764766110857</v>
      </c>
      <c r="F24" s="205">
        <f>((D24*1000)/E24)/60</f>
        <v>1.9543424216477578</v>
      </c>
      <c r="G24" s="205">
        <v>1.32</v>
      </c>
      <c r="H24" s="205">
        <f>F24*G24</f>
        <v>2.5797319965750405</v>
      </c>
      <c r="I24" s="302" t="s">
        <v>175</v>
      </c>
      <c r="J24" s="303" t="s">
        <v>175</v>
      </c>
    </row>
    <row r="25" spans="2:10">
      <c r="B25" s="172"/>
      <c r="C25" s="172"/>
      <c r="D25" s="304"/>
      <c r="E25" s="304"/>
      <c r="F25" s="304"/>
      <c r="G25" s="304"/>
      <c r="H25" s="304"/>
      <c r="I25" s="304"/>
      <c r="J25" s="304"/>
    </row>
    <row r="26" spans="2:10">
      <c r="B26" s="109" t="s">
        <v>186</v>
      </c>
      <c r="C26" s="109" t="s">
        <v>349</v>
      </c>
      <c r="D26" s="205">
        <v>1.33</v>
      </c>
      <c r="E26" s="205">
        <v>1.33</v>
      </c>
      <c r="F26" s="205">
        <f>((D26*1000)/E26)/60</f>
        <v>16.666666666666668</v>
      </c>
      <c r="G26" s="205">
        <v>1.77</v>
      </c>
      <c r="H26" s="205">
        <f>F26*G26</f>
        <v>29.500000000000004</v>
      </c>
      <c r="I26" s="205">
        <f t="shared" ref="I26:I31" si="4">G6+H26+$H$59</f>
        <v>95.711044975527471</v>
      </c>
      <c r="J26" s="305">
        <f>H26/I26</f>
        <v>0.30821939105923368</v>
      </c>
    </row>
    <row r="27" spans="2:10">
      <c r="B27" s="109" t="s">
        <v>286</v>
      </c>
      <c r="C27" s="109" t="s">
        <v>349</v>
      </c>
      <c r="D27" s="205">
        <v>0.93</v>
      </c>
      <c r="E27" s="205">
        <v>1.33</v>
      </c>
      <c r="F27" s="205">
        <f>((D27*1000)/E27)/60</f>
        <v>11.654135338345863</v>
      </c>
      <c r="G27" s="205">
        <v>1.77</v>
      </c>
      <c r="H27" s="205">
        <f>F27*G27</f>
        <v>20.627819548872179</v>
      </c>
      <c r="I27" s="205">
        <f t="shared" si="4"/>
        <v>80.342273569430091</v>
      </c>
      <c r="J27" s="305">
        <f t="shared" ref="J27:J37" si="5">H27/I27</f>
        <v>0.25674926327602682</v>
      </c>
    </row>
    <row r="28" spans="2:10">
      <c r="B28" s="109" t="s">
        <v>287</v>
      </c>
      <c r="C28" s="109" t="s">
        <v>349</v>
      </c>
      <c r="D28" s="205">
        <v>1.1299999999999999</v>
      </c>
      <c r="E28" s="205">
        <v>1.33</v>
      </c>
      <c r="F28" s="205">
        <f t="shared" ref="F28:F30" si="6">((D28*1000)/E28)/60</f>
        <v>14.160401002506264</v>
      </c>
      <c r="G28" s="205">
        <v>1.77</v>
      </c>
      <c r="H28" s="205">
        <f t="shared" ref="H28:H30" si="7">F28*G28</f>
        <v>25.063909774436087</v>
      </c>
      <c r="I28" s="205">
        <f t="shared" si="4"/>
        <v>86.95614902109547</v>
      </c>
      <c r="J28" s="305">
        <f t="shared" ref="J28:J30" si="8">H28/I28</f>
        <v>0.28823619786055166</v>
      </c>
    </row>
    <row r="29" spans="2:10">
      <c r="B29" s="109" t="s">
        <v>288</v>
      </c>
      <c r="C29" s="109" t="s">
        <v>349</v>
      </c>
      <c r="D29" s="205">
        <v>1.1299999999999999</v>
      </c>
      <c r="E29" s="205">
        <v>1.33</v>
      </c>
      <c r="F29" s="205">
        <f t="shared" si="6"/>
        <v>14.160401002506264</v>
      </c>
      <c r="G29" s="205">
        <v>1.77</v>
      </c>
      <c r="H29" s="205">
        <f t="shared" si="7"/>
        <v>25.063909774436087</v>
      </c>
      <c r="I29" s="205">
        <f t="shared" si="4"/>
        <v>86.95614902109547</v>
      </c>
      <c r="J29" s="305">
        <f t="shared" si="8"/>
        <v>0.28823619786055166</v>
      </c>
    </row>
    <row r="30" spans="2:10">
      <c r="B30" s="109" t="s">
        <v>289</v>
      </c>
      <c r="C30" s="109" t="s">
        <v>349</v>
      </c>
      <c r="D30" s="205">
        <v>1.1299999999999999</v>
      </c>
      <c r="E30" s="205">
        <v>1.33</v>
      </c>
      <c r="F30" s="205">
        <f t="shared" si="6"/>
        <v>14.160401002506264</v>
      </c>
      <c r="G30" s="205">
        <v>1.77</v>
      </c>
      <c r="H30" s="205">
        <f t="shared" si="7"/>
        <v>25.063909774436087</v>
      </c>
      <c r="I30" s="205">
        <f t="shared" si="4"/>
        <v>86.95614902109547</v>
      </c>
      <c r="J30" s="305">
        <f t="shared" si="8"/>
        <v>0.28823619786055166</v>
      </c>
    </row>
    <row r="31" spans="2:10">
      <c r="B31" s="109" t="s">
        <v>290</v>
      </c>
      <c r="C31" s="109" t="s">
        <v>349</v>
      </c>
      <c r="D31" s="205">
        <v>1.1299999999999999</v>
      </c>
      <c r="E31" s="205">
        <v>1.33</v>
      </c>
      <c r="F31" s="205">
        <f t="shared" ref="F31:F39" si="9">((D31*1000)/E31)/60</f>
        <v>14.160401002506264</v>
      </c>
      <c r="G31" s="205">
        <v>1.77</v>
      </c>
      <c r="H31" s="205">
        <f t="shared" ref="H31:H39" si="10">F31*G31</f>
        <v>25.063909774436087</v>
      </c>
      <c r="I31" s="205">
        <f t="shared" si="4"/>
        <v>86.95614902109547</v>
      </c>
      <c r="J31" s="305">
        <f t="shared" si="5"/>
        <v>0.28823619786055166</v>
      </c>
    </row>
    <row r="32" spans="2:10">
      <c r="B32" s="109" t="s">
        <v>94</v>
      </c>
      <c r="C32" s="109" t="s">
        <v>380</v>
      </c>
      <c r="D32" s="205">
        <v>0.61</v>
      </c>
      <c r="E32" s="205">
        <v>1.33</v>
      </c>
      <c r="F32" s="205">
        <f t="shared" si="9"/>
        <v>7.644110275689223</v>
      </c>
      <c r="G32" s="205">
        <v>1.77</v>
      </c>
      <c r="H32" s="205">
        <f t="shared" si="10"/>
        <v>13.530075187969924</v>
      </c>
      <c r="I32" s="205">
        <f t="shared" ref="I32:I39" si="11">G12+H32+$H$59</f>
        <v>84.436695586581962</v>
      </c>
      <c r="J32" s="305">
        <f t="shared" si="5"/>
        <v>0.1602392785977288</v>
      </c>
    </row>
    <row r="33" spans="2:10">
      <c r="B33" s="246" t="s">
        <v>298</v>
      </c>
      <c r="C33" s="246" t="s">
        <v>381</v>
      </c>
      <c r="D33" s="301">
        <v>0.7</v>
      </c>
      <c r="E33" s="301">
        <v>1.33</v>
      </c>
      <c r="F33" s="301">
        <f t="shared" si="9"/>
        <v>8.7719298245614024</v>
      </c>
      <c r="G33" s="205">
        <v>2.2999999999999998</v>
      </c>
      <c r="H33" s="205">
        <f t="shared" si="10"/>
        <v>20.175438596491222</v>
      </c>
      <c r="I33" s="205">
        <f t="shared" si="11"/>
        <v>61.08205899510326</v>
      </c>
      <c r="J33" s="305">
        <f t="shared" ref="J33" si="12">H33/I33</f>
        <v>0.33030056498436994</v>
      </c>
    </row>
    <row r="34" spans="2:10">
      <c r="B34" s="109" t="s">
        <v>187</v>
      </c>
      <c r="C34" s="109" t="s">
        <v>382</v>
      </c>
      <c r="D34" s="205">
        <v>0.38586746708566383</v>
      </c>
      <c r="E34" s="205">
        <v>1.33</v>
      </c>
      <c r="F34" s="205">
        <f t="shared" si="9"/>
        <v>4.835431918366714</v>
      </c>
      <c r="G34" s="205">
        <v>1.91</v>
      </c>
      <c r="H34" s="205">
        <f t="shared" si="10"/>
        <v>9.2356749640804239</v>
      </c>
      <c r="I34" s="205">
        <f t="shared" si="11"/>
        <v>58.570868397702519</v>
      </c>
      <c r="J34" s="305">
        <f t="shared" si="5"/>
        <v>0.15768376356261604</v>
      </c>
    </row>
    <row r="35" spans="2:10">
      <c r="B35" s="109" t="s">
        <v>293</v>
      </c>
      <c r="C35" s="109" t="s">
        <v>382</v>
      </c>
      <c r="D35" s="205">
        <v>0.35974071530257673</v>
      </c>
      <c r="E35" s="205">
        <v>1.33</v>
      </c>
      <c r="F35" s="205">
        <f t="shared" si="9"/>
        <v>4.5080290138167509</v>
      </c>
      <c r="G35" s="205">
        <v>1.91</v>
      </c>
      <c r="H35" s="205">
        <f t="shared" si="10"/>
        <v>8.6103354163899937</v>
      </c>
      <c r="I35" s="205">
        <f t="shared" si="11"/>
        <v>56.182768608475968</v>
      </c>
      <c r="J35" s="305">
        <f t="shared" si="5"/>
        <v>0.1532558047538263</v>
      </c>
    </row>
    <row r="36" spans="2:10">
      <c r="B36" s="109" t="s">
        <v>294</v>
      </c>
      <c r="C36" s="109" t="s">
        <v>382</v>
      </c>
      <c r="D36" s="205">
        <v>0.44917080932900633</v>
      </c>
      <c r="E36" s="205">
        <v>1.33</v>
      </c>
      <c r="F36" s="205">
        <f t="shared" si="9"/>
        <v>5.6287068838221339</v>
      </c>
      <c r="G36" s="205">
        <v>1.91</v>
      </c>
      <c r="H36" s="205">
        <f t="shared" si="10"/>
        <v>10.750830148100276</v>
      </c>
      <c r="I36" s="205">
        <f t="shared" si="11"/>
        <v>57.65440644580827</v>
      </c>
      <c r="J36" s="305">
        <f t="shared" si="5"/>
        <v>0.18647022510248926</v>
      </c>
    </row>
    <row r="37" spans="2:10">
      <c r="B37" s="109" t="s">
        <v>295</v>
      </c>
      <c r="C37" s="109" t="s">
        <v>382</v>
      </c>
      <c r="D37" s="205">
        <v>0.35965761695748516</v>
      </c>
      <c r="E37" s="205">
        <v>1.33</v>
      </c>
      <c r="F37" s="205">
        <f t="shared" si="9"/>
        <v>4.5069876811714931</v>
      </c>
      <c r="G37" s="205">
        <v>1.91</v>
      </c>
      <c r="H37" s="205">
        <f t="shared" si="10"/>
        <v>8.6083464710375512</v>
      </c>
      <c r="I37" s="205">
        <f t="shared" si="11"/>
        <v>66.119061070013501</v>
      </c>
      <c r="J37" s="305">
        <f t="shared" si="5"/>
        <v>0.13019462665875078</v>
      </c>
    </row>
    <row r="38" spans="2:10">
      <c r="B38" s="109" t="s">
        <v>296</v>
      </c>
      <c r="C38" s="109" t="s">
        <v>382</v>
      </c>
      <c r="D38" s="205">
        <v>0.23507806913454396</v>
      </c>
      <c r="E38" s="205">
        <v>1.33</v>
      </c>
      <c r="F38" s="205">
        <f t="shared" si="9"/>
        <v>2.9458404653451624</v>
      </c>
      <c r="G38" s="205">
        <v>1.91</v>
      </c>
      <c r="H38" s="205">
        <f t="shared" si="10"/>
        <v>5.6265552888092598</v>
      </c>
      <c r="I38" s="205">
        <f t="shared" si="11"/>
        <v>60.010915282667149</v>
      </c>
      <c r="J38" s="305">
        <f t="shared" ref="J38:J39" si="13">H38/I38</f>
        <v>9.3758864738301501E-2</v>
      </c>
    </row>
    <row r="39" spans="2:10">
      <c r="B39" s="109" t="s">
        <v>297</v>
      </c>
      <c r="C39" s="109" t="s">
        <v>382</v>
      </c>
      <c r="D39" s="205">
        <v>0.24922815117538302</v>
      </c>
      <c r="E39" s="205">
        <v>1.33</v>
      </c>
      <c r="F39" s="205">
        <f t="shared" si="9"/>
        <v>3.1231597891652005</v>
      </c>
      <c r="G39" s="205">
        <v>1.91</v>
      </c>
      <c r="H39" s="205">
        <f t="shared" si="10"/>
        <v>5.9652351973055326</v>
      </c>
      <c r="I39" s="205">
        <f t="shared" si="11"/>
        <v>97.636345848215953</v>
      </c>
      <c r="J39" s="305">
        <f t="shared" si="13"/>
        <v>6.1096461010318848E-2</v>
      </c>
    </row>
    <row r="40" spans="2:10">
      <c r="B40" s="108"/>
      <c r="D40" s="126"/>
      <c r="E40" s="126"/>
      <c r="F40" s="126"/>
      <c r="G40" s="126"/>
      <c r="H40" s="126"/>
      <c r="I40" s="126"/>
      <c r="J40" s="126"/>
    </row>
    <row r="41" spans="2:10">
      <c r="B41" s="246" t="s">
        <v>186</v>
      </c>
      <c r="C41" s="246" t="s">
        <v>354</v>
      </c>
      <c r="D41" s="301">
        <v>1.3</v>
      </c>
      <c r="E41" s="301">
        <v>4.17</v>
      </c>
      <c r="F41" s="301">
        <f>((D41*1000)/E41)/60</f>
        <v>5.1958433253397276</v>
      </c>
      <c r="G41" s="301">
        <v>1.77</v>
      </c>
      <c r="H41" s="301">
        <f>F41*G41</f>
        <v>9.1966426858513177</v>
      </c>
      <c r="I41" s="301">
        <f>G6+H41+$H$59</f>
        <v>75.407687661378787</v>
      </c>
      <c r="J41" s="306">
        <f t="shared" ref="J41:J45" si="14">H41/I41</f>
        <v>0.12195895366993889</v>
      </c>
    </row>
    <row r="42" spans="2:10">
      <c r="B42" s="246" t="s">
        <v>286</v>
      </c>
      <c r="C42" s="246" t="s">
        <v>354</v>
      </c>
      <c r="D42" s="301">
        <v>1.3</v>
      </c>
      <c r="E42" s="301">
        <v>4.17</v>
      </c>
      <c r="F42" s="301">
        <f t="shared" ref="F42:F45" si="15">((D42*1000)/E42)/60</f>
        <v>5.1958433253397276</v>
      </c>
      <c r="G42" s="301">
        <v>1.77</v>
      </c>
      <c r="H42" s="301">
        <f t="shared" ref="H42:H45" si="16">F42*G42</f>
        <v>9.1966426858513177</v>
      </c>
      <c r="I42" s="301">
        <f>G7+H42+$H$59</f>
        <v>68.911096706409225</v>
      </c>
      <c r="J42" s="306">
        <f t="shared" si="14"/>
        <v>0.13345662927166799</v>
      </c>
    </row>
    <row r="43" spans="2:10">
      <c r="B43" s="246" t="s">
        <v>287</v>
      </c>
      <c r="C43" s="246" t="s">
        <v>354</v>
      </c>
      <c r="D43" s="301">
        <v>1.3</v>
      </c>
      <c r="E43" s="301">
        <v>4.17</v>
      </c>
      <c r="F43" s="301">
        <f t="shared" si="15"/>
        <v>5.1958433253397276</v>
      </c>
      <c r="G43" s="301">
        <v>1.77</v>
      </c>
      <c r="H43" s="301">
        <f t="shared" si="16"/>
        <v>9.1966426858513177</v>
      </c>
      <c r="I43" s="301">
        <f t="shared" ref="I43:I54" si="17">G8+H43+$H$59</f>
        <v>71.088881932510702</v>
      </c>
      <c r="J43" s="306">
        <f t="shared" si="14"/>
        <v>0.12936822799635939</v>
      </c>
    </row>
    <row r="44" spans="2:10">
      <c r="B44" s="246" t="s">
        <v>288</v>
      </c>
      <c r="C44" s="246" t="s">
        <v>354</v>
      </c>
      <c r="D44" s="301">
        <v>1.3</v>
      </c>
      <c r="E44" s="301">
        <v>4.17</v>
      </c>
      <c r="F44" s="301">
        <f t="shared" si="15"/>
        <v>5.1958433253397276</v>
      </c>
      <c r="G44" s="301">
        <v>1.77</v>
      </c>
      <c r="H44" s="301">
        <f t="shared" si="16"/>
        <v>9.1966426858513177</v>
      </c>
      <c r="I44" s="301">
        <f t="shared" si="17"/>
        <v>71.088881932510702</v>
      </c>
      <c r="J44" s="306">
        <f t="shared" si="14"/>
        <v>0.12936822799635939</v>
      </c>
    </row>
    <row r="45" spans="2:10">
      <c r="B45" s="246" t="s">
        <v>289</v>
      </c>
      <c r="C45" s="246" t="s">
        <v>354</v>
      </c>
      <c r="D45" s="301">
        <v>1.3</v>
      </c>
      <c r="E45" s="301">
        <v>4.17</v>
      </c>
      <c r="F45" s="301">
        <f t="shared" si="15"/>
        <v>5.1958433253397276</v>
      </c>
      <c r="G45" s="301">
        <v>1.77</v>
      </c>
      <c r="H45" s="301">
        <f t="shared" si="16"/>
        <v>9.1966426858513177</v>
      </c>
      <c r="I45" s="301">
        <f t="shared" si="17"/>
        <v>71.088881932510702</v>
      </c>
      <c r="J45" s="306">
        <f t="shared" si="14"/>
        <v>0.12936822799635939</v>
      </c>
    </row>
    <row r="46" spans="2:10">
      <c r="B46" s="246" t="s">
        <v>290</v>
      </c>
      <c r="C46" s="246" t="s">
        <v>354</v>
      </c>
      <c r="D46" s="301">
        <v>1.3</v>
      </c>
      <c r="E46" s="301">
        <v>4.17</v>
      </c>
      <c r="F46" s="301">
        <f t="shared" ref="F46:F54" si="18">((D46*1000)/E46)/60</f>
        <v>5.1958433253397276</v>
      </c>
      <c r="G46" s="301">
        <v>1.77</v>
      </c>
      <c r="H46" s="301">
        <f t="shared" ref="H46" si="19">F46*G46</f>
        <v>9.1966426858513177</v>
      </c>
      <c r="I46" s="301">
        <f t="shared" si="17"/>
        <v>71.088881932510702</v>
      </c>
      <c r="J46" s="306">
        <f t="shared" ref="J46" si="20">H46/I46</f>
        <v>0.12936822799635939</v>
      </c>
    </row>
    <row r="47" spans="2:10">
      <c r="B47" s="246" t="s">
        <v>94</v>
      </c>
      <c r="C47" s="246" t="s">
        <v>384</v>
      </c>
      <c r="D47" s="301">
        <v>1.3</v>
      </c>
      <c r="E47" s="301">
        <v>4.17</v>
      </c>
      <c r="F47" s="301">
        <f t="shared" si="18"/>
        <v>5.1958433253397276</v>
      </c>
      <c r="G47" s="301">
        <v>1.77</v>
      </c>
      <c r="H47" s="301">
        <f t="shared" ref="H47:H54" si="21">F47*G47</f>
        <v>9.1966426858513177</v>
      </c>
      <c r="I47" s="301">
        <f t="shared" si="17"/>
        <v>80.10326308446335</v>
      </c>
      <c r="J47" s="306">
        <f t="shared" ref="J47:J54" si="22">H47/I47</f>
        <v>0.11480983834770993</v>
      </c>
    </row>
    <row r="48" spans="2:10">
      <c r="B48" s="246" t="s">
        <v>298</v>
      </c>
      <c r="C48" s="246" t="s">
        <v>385</v>
      </c>
      <c r="D48" s="301">
        <v>1.3</v>
      </c>
      <c r="E48" s="301">
        <v>4.17</v>
      </c>
      <c r="F48" s="301">
        <f t="shared" si="18"/>
        <v>5.1958433253397276</v>
      </c>
      <c r="G48" s="301">
        <v>2.2999999999999998</v>
      </c>
      <c r="H48" s="301">
        <f t="shared" si="21"/>
        <v>11.950439648281373</v>
      </c>
      <c r="I48" s="301">
        <f t="shared" si="17"/>
        <v>52.857060046893416</v>
      </c>
      <c r="J48" s="306">
        <f t="shared" si="22"/>
        <v>0.22608975296165265</v>
      </c>
    </row>
    <row r="49" spans="2:10">
      <c r="B49" s="246" t="s">
        <v>187</v>
      </c>
      <c r="C49" s="246" t="s">
        <v>386</v>
      </c>
      <c r="D49" s="301">
        <v>1.3</v>
      </c>
      <c r="E49" s="301">
        <v>4.17</v>
      </c>
      <c r="F49" s="301">
        <f t="shared" si="18"/>
        <v>5.1958433253397276</v>
      </c>
      <c r="G49" s="301">
        <v>1.91</v>
      </c>
      <c r="H49" s="301">
        <f t="shared" si="21"/>
        <v>9.9240607513988799</v>
      </c>
      <c r="I49" s="301">
        <f t="shared" si="17"/>
        <v>59.259254185020971</v>
      </c>
      <c r="J49" s="306">
        <f t="shared" si="22"/>
        <v>0.16746853951981386</v>
      </c>
    </row>
    <row r="50" spans="2:10">
      <c r="B50" s="246" t="s">
        <v>293</v>
      </c>
      <c r="C50" s="246" t="s">
        <v>386</v>
      </c>
      <c r="D50" s="301">
        <v>1.3</v>
      </c>
      <c r="E50" s="301">
        <v>4.17</v>
      </c>
      <c r="F50" s="301">
        <f t="shared" si="18"/>
        <v>5.1958433253397276</v>
      </c>
      <c r="G50" s="301">
        <v>1.91</v>
      </c>
      <c r="H50" s="301">
        <f t="shared" si="21"/>
        <v>9.9240607513988799</v>
      </c>
      <c r="I50" s="301">
        <f t="shared" si="17"/>
        <v>57.496493943484857</v>
      </c>
      <c r="J50" s="306">
        <f t="shared" si="22"/>
        <v>0.17260288533686169</v>
      </c>
    </row>
    <row r="51" spans="2:10">
      <c r="B51" s="246" t="s">
        <v>294</v>
      </c>
      <c r="C51" s="246" t="s">
        <v>386</v>
      </c>
      <c r="D51" s="301">
        <v>1.3</v>
      </c>
      <c r="E51" s="301">
        <v>4.17</v>
      </c>
      <c r="F51" s="301">
        <f t="shared" si="18"/>
        <v>5.1958433253397276</v>
      </c>
      <c r="G51" s="301">
        <v>1.91</v>
      </c>
      <c r="H51" s="301">
        <f t="shared" si="21"/>
        <v>9.9240607513988799</v>
      </c>
      <c r="I51" s="301">
        <f t="shared" si="17"/>
        <v>56.827637049106876</v>
      </c>
      <c r="J51" s="306">
        <f t="shared" si="22"/>
        <v>0.17463440795229845</v>
      </c>
    </row>
    <row r="52" spans="2:10">
      <c r="B52" s="246" t="s">
        <v>295</v>
      </c>
      <c r="C52" s="246" t="s">
        <v>386</v>
      </c>
      <c r="D52" s="301">
        <v>1.3</v>
      </c>
      <c r="E52" s="301">
        <v>4.17</v>
      </c>
      <c r="F52" s="301">
        <f t="shared" si="18"/>
        <v>5.1958433253397276</v>
      </c>
      <c r="G52" s="301">
        <v>1.91</v>
      </c>
      <c r="H52" s="301">
        <f t="shared" si="21"/>
        <v>9.9240607513988799</v>
      </c>
      <c r="I52" s="301">
        <f t="shared" si="17"/>
        <v>67.434775350374835</v>
      </c>
      <c r="J52" s="306">
        <f t="shared" si="22"/>
        <v>0.14716532678926939</v>
      </c>
    </row>
    <row r="53" spans="2:10">
      <c r="B53" s="246" t="s">
        <v>296</v>
      </c>
      <c r="C53" s="246" t="s">
        <v>386</v>
      </c>
      <c r="D53" s="301">
        <v>1.3</v>
      </c>
      <c r="E53" s="301">
        <v>4.17</v>
      </c>
      <c r="F53" s="301">
        <f t="shared" si="18"/>
        <v>5.1958433253397276</v>
      </c>
      <c r="G53" s="301">
        <v>1.91</v>
      </c>
      <c r="H53" s="301">
        <f t="shared" si="21"/>
        <v>9.9240607513988799</v>
      </c>
      <c r="I53" s="301">
        <f t="shared" si="17"/>
        <v>64.308420745256768</v>
      </c>
      <c r="J53" s="306">
        <f t="shared" si="22"/>
        <v>0.15431977082302795</v>
      </c>
    </row>
    <row r="54" spans="2:10">
      <c r="B54" s="246" t="s">
        <v>297</v>
      </c>
      <c r="C54" s="246" t="s">
        <v>386</v>
      </c>
      <c r="D54" s="301">
        <v>1.3</v>
      </c>
      <c r="E54" s="301">
        <v>4.17</v>
      </c>
      <c r="F54" s="301">
        <f t="shared" si="18"/>
        <v>5.1958433253397276</v>
      </c>
      <c r="G54" s="301">
        <v>1.91</v>
      </c>
      <c r="H54" s="301">
        <f t="shared" si="21"/>
        <v>9.9240607513988799</v>
      </c>
      <c r="I54" s="301">
        <f t="shared" si="17"/>
        <v>101.5951714023093</v>
      </c>
      <c r="J54" s="306">
        <f t="shared" si="22"/>
        <v>9.7682405712967782E-2</v>
      </c>
    </row>
    <row r="55" spans="2:10">
      <c r="B55" s="108"/>
    </row>
    <row r="56" spans="2:10">
      <c r="B56" s="297" t="s">
        <v>350</v>
      </c>
      <c r="C56" s="171"/>
      <c r="D56" s="171"/>
      <c r="E56" s="171"/>
      <c r="F56" s="171"/>
      <c r="G56" s="297"/>
      <c r="H56" s="297"/>
      <c r="I56" s="297"/>
      <c r="J56" s="171"/>
    </row>
    <row r="57" spans="2:10">
      <c r="B57" s="14"/>
      <c r="G57" s="14"/>
      <c r="H57" s="14"/>
      <c r="I57" s="14"/>
    </row>
    <row r="58" spans="2:10">
      <c r="B58" s="108"/>
      <c r="D58" s="33" t="s">
        <v>27</v>
      </c>
      <c r="E58" s="33" t="s">
        <v>347</v>
      </c>
      <c r="F58" s="33" t="s">
        <v>343</v>
      </c>
      <c r="G58" s="33" t="s">
        <v>348</v>
      </c>
      <c r="H58" s="33" t="s">
        <v>345</v>
      </c>
      <c r="I58" s="33" t="s">
        <v>351</v>
      </c>
      <c r="J58" s="33" t="s">
        <v>352</v>
      </c>
    </row>
    <row r="59" spans="2:10">
      <c r="B59" s="109" t="s">
        <v>36</v>
      </c>
      <c r="C59" s="109" t="s">
        <v>383</v>
      </c>
      <c r="D59" s="205">
        <v>1.4216450622298704</v>
      </c>
      <c r="E59" s="205">
        <v>10.760328863030084</v>
      </c>
      <c r="F59" s="205">
        <f>((D59*1000)/E59)/60</f>
        <v>2.2019851504636674</v>
      </c>
      <c r="G59" s="205">
        <v>1.32</v>
      </c>
      <c r="H59" s="205">
        <f>F59*G59</f>
        <v>2.9066203986120409</v>
      </c>
      <c r="I59" s="302" t="s">
        <v>175</v>
      </c>
      <c r="J59" s="303" t="s">
        <v>175</v>
      </c>
    </row>
    <row r="60" spans="2:10">
      <c r="B60" s="172"/>
      <c r="C60" s="172"/>
      <c r="D60" s="304"/>
      <c r="E60" s="304"/>
      <c r="F60" s="304"/>
      <c r="G60" s="304"/>
      <c r="H60" s="304"/>
      <c r="I60" s="304"/>
      <c r="J60" s="304"/>
    </row>
    <row r="61" spans="2:10">
      <c r="B61" s="109" t="s">
        <v>186</v>
      </c>
      <c r="C61" s="109" t="s">
        <v>349</v>
      </c>
      <c r="D61" s="205">
        <v>0.71</v>
      </c>
      <c r="E61" s="205">
        <v>1.33</v>
      </c>
      <c r="F61" s="205">
        <f t="shared" ref="F61:F65" si="23">((D61*1000)/E61)/60</f>
        <v>8.8972431077694232</v>
      </c>
      <c r="G61" s="205">
        <v>1.77</v>
      </c>
      <c r="H61" s="205">
        <f t="shared" ref="H61:H65" si="24">F61*G61</f>
        <v>15.748120300751879</v>
      </c>
      <c r="I61" s="205">
        <f t="shared" ref="I61:I74" si="25">G6+H61+$H$59</f>
        <v>81.95916527627935</v>
      </c>
      <c r="J61" s="305">
        <f t="shared" ref="J61:J65" si="26">H61/I61</f>
        <v>0.19214593325427273</v>
      </c>
    </row>
    <row r="62" spans="2:10">
      <c r="B62" s="109" t="s">
        <v>286</v>
      </c>
      <c r="C62" s="109" t="s">
        <v>349</v>
      </c>
      <c r="D62" s="205">
        <v>0.75</v>
      </c>
      <c r="E62" s="205">
        <v>1.33</v>
      </c>
      <c r="F62" s="205">
        <f t="shared" si="23"/>
        <v>9.3984962406015029</v>
      </c>
      <c r="G62" s="205">
        <v>1.77</v>
      </c>
      <c r="H62" s="205">
        <f t="shared" si="24"/>
        <v>16.63533834586466</v>
      </c>
      <c r="I62" s="205">
        <f t="shared" si="25"/>
        <v>76.349792366422577</v>
      </c>
      <c r="J62" s="305">
        <f t="shared" si="26"/>
        <v>0.21788321657807963</v>
      </c>
    </row>
    <row r="63" spans="2:10">
      <c r="B63" s="109" t="s">
        <v>287</v>
      </c>
      <c r="C63" s="109" t="s">
        <v>349</v>
      </c>
      <c r="D63" s="205">
        <v>0.91</v>
      </c>
      <c r="E63" s="205">
        <v>1.33</v>
      </c>
      <c r="F63" s="205">
        <f t="shared" si="23"/>
        <v>11.403508771929825</v>
      </c>
      <c r="G63" s="205">
        <v>1.77</v>
      </c>
      <c r="H63" s="205">
        <f t="shared" si="24"/>
        <v>20.184210526315791</v>
      </c>
      <c r="I63" s="205">
        <f t="shared" si="25"/>
        <v>82.076449772975181</v>
      </c>
      <c r="J63" s="305">
        <f t="shared" si="26"/>
        <v>0.24591963446452242</v>
      </c>
    </row>
    <row r="64" spans="2:10">
      <c r="B64" s="109" t="s">
        <v>288</v>
      </c>
      <c r="C64" s="109" t="s">
        <v>349</v>
      </c>
      <c r="D64" s="205">
        <v>0.91</v>
      </c>
      <c r="E64" s="205">
        <v>1.33</v>
      </c>
      <c r="F64" s="205">
        <f t="shared" si="23"/>
        <v>11.403508771929825</v>
      </c>
      <c r="G64" s="205">
        <v>1.77</v>
      </c>
      <c r="H64" s="205">
        <f t="shared" si="24"/>
        <v>20.184210526315791</v>
      </c>
      <c r="I64" s="205">
        <f t="shared" si="25"/>
        <v>82.076449772975181</v>
      </c>
      <c r="J64" s="305">
        <f t="shared" si="26"/>
        <v>0.24591963446452242</v>
      </c>
    </row>
    <row r="65" spans="2:10">
      <c r="B65" s="109" t="s">
        <v>289</v>
      </c>
      <c r="C65" s="109" t="s">
        <v>349</v>
      </c>
      <c r="D65" s="205">
        <v>0.91</v>
      </c>
      <c r="E65" s="205">
        <v>1.33</v>
      </c>
      <c r="F65" s="205">
        <f t="shared" si="23"/>
        <v>11.403508771929825</v>
      </c>
      <c r="G65" s="205">
        <v>1.77</v>
      </c>
      <c r="H65" s="205">
        <f t="shared" si="24"/>
        <v>20.184210526315791</v>
      </c>
      <c r="I65" s="205">
        <f t="shared" si="25"/>
        <v>82.076449772975181</v>
      </c>
      <c r="J65" s="305">
        <f t="shared" si="26"/>
        <v>0.24591963446452242</v>
      </c>
    </row>
    <row r="66" spans="2:10">
      <c r="B66" s="109" t="s">
        <v>290</v>
      </c>
      <c r="C66" s="109" t="s">
        <v>349</v>
      </c>
      <c r="D66" s="205">
        <v>0.91</v>
      </c>
      <c r="E66" s="205">
        <v>1.33</v>
      </c>
      <c r="F66" s="205">
        <f t="shared" ref="F66:F74" si="27">((D66*1000)/E66)/60</f>
        <v>11.403508771929825</v>
      </c>
      <c r="G66" s="205">
        <v>1.77</v>
      </c>
      <c r="H66" s="205">
        <f t="shared" ref="H66:H74" si="28">F66*G66</f>
        <v>20.184210526315791</v>
      </c>
      <c r="I66" s="205">
        <f t="shared" si="25"/>
        <v>82.076449772975181</v>
      </c>
      <c r="J66" s="305">
        <f t="shared" ref="J66:J74" si="29">H66/I66</f>
        <v>0.24591963446452242</v>
      </c>
    </row>
    <row r="67" spans="2:10">
      <c r="B67" s="109" t="s">
        <v>94</v>
      </c>
      <c r="C67" s="109" t="s">
        <v>380</v>
      </c>
      <c r="D67" s="205">
        <v>0.95</v>
      </c>
      <c r="E67" s="205">
        <v>1.33</v>
      </c>
      <c r="F67" s="205">
        <f t="shared" si="27"/>
        <v>11.904761904761903</v>
      </c>
      <c r="G67" s="205">
        <v>1.77</v>
      </c>
      <c r="H67" s="205">
        <f t="shared" si="28"/>
        <v>21.071428571428569</v>
      </c>
      <c r="I67" s="205">
        <f t="shared" si="25"/>
        <v>91.978048970040604</v>
      </c>
      <c r="J67" s="305">
        <f t="shared" si="29"/>
        <v>0.2290919279913409</v>
      </c>
    </row>
    <row r="68" spans="2:10">
      <c r="B68" s="246" t="s">
        <v>298</v>
      </c>
      <c r="C68" s="246" t="s">
        <v>381</v>
      </c>
      <c r="D68" s="301">
        <v>0.7</v>
      </c>
      <c r="E68" s="301">
        <v>1.33</v>
      </c>
      <c r="F68" s="301">
        <f t="shared" si="27"/>
        <v>8.7719298245614024</v>
      </c>
      <c r="G68" s="205">
        <v>2.2999999999999998</v>
      </c>
      <c r="H68" s="205">
        <f t="shared" si="28"/>
        <v>20.175438596491222</v>
      </c>
      <c r="I68" s="205">
        <f t="shared" si="25"/>
        <v>61.08205899510326</v>
      </c>
      <c r="J68" s="305">
        <f t="shared" si="29"/>
        <v>0.33030056498436994</v>
      </c>
    </row>
    <row r="69" spans="2:10">
      <c r="B69" s="109" t="s">
        <v>187</v>
      </c>
      <c r="C69" s="109" t="s">
        <v>382</v>
      </c>
      <c r="D69" s="205">
        <v>0.29945923754743392</v>
      </c>
      <c r="E69" s="205">
        <v>1.33</v>
      </c>
      <c r="F69" s="205">
        <f t="shared" si="27"/>
        <v>3.7526220244039337</v>
      </c>
      <c r="G69" s="205">
        <v>1.91</v>
      </c>
      <c r="H69" s="205">
        <f t="shared" si="28"/>
        <v>7.1675080666115134</v>
      </c>
      <c r="I69" s="205">
        <f t="shared" si="25"/>
        <v>56.502701500233606</v>
      </c>
      <c r="J69" s="305">
        <f t="shared" si="29"/>
        <v>0.12685248450610595</v>
      </c>
    </row>
    <row r="70" spans="2:10">
      <c r="B70" s="109" t="s">
        <v>293</v>
      </c>
      <c r="C70" s="109" t="s">
        <v>382</v>
      </c>
      <c r="D70" s="205">
        <v>0.28957565657316531</v>
      </c>
      <c r="E70" s="205">
        <v>1.33</v>
      </c>
      <c r="F70" s="205">
        <f t="shared" si="27"/>
        <v>3.6287676262301414</v>
      </c>
      <c r="G70" s="205">
        <v>1.91</v>
      </c>
      <c r="H70" s="205">
        <f t="shared" si="28"/>
        <v>6.9309461660995701</v>
      </c>
      <c r="I70" s="205">
        <f t="shared" si="25"/>
        <v>54.503379358185548</v>
      </c>
      <c r="J70" s="305">
        <f t="shared" si="29"/>
        <v>0.12716543905563632</v>
      </c>
    </row>
    <row r="71" spans="2:10">
      <c r="B71" s="109" t="s">
        <v>294</v>
      </c>
      <c r="C71" s="109" t="s">
        <v>382</v>
      </c>
      <c r="D71" s="205">
        <v>0.36015367959765604</v>
      </c>
      <c r="E71" s="205">
        <v>1.33</v>
      </c>
      <c r="F71" s="205">
        <f t="shared" si="27"/>
        <v>4.5132040049831579</v>
      </c>
      <c r="G71" s="205">
        <v>1.91</v>
      </c>
      <c r="H71" s="205">
        <f t="shared" si="28"/>
        <v>8.620219649517832</v>
      </c>
      <c r="I71" s="205">
        <f t="shared" si="25"/>
        <v>55.523795947225828</v>
      </c>
      <c r="J71" s="305">
        <f t="shared" si="29"/>
        <v>0.15525270746458267</v>
      </c>
    </row>
    <row r="72" spans="2:10">
      <c r="B72" s="109" t="s">
        <v>295</v>
      </c>
      <c r="C72" s="109" t="s">
        <v>382</v>
      </c>
      <c r="D72" s="205">
        <v>0.18083063276130337</v>
      </c>
      <c r="E72" s="205">
        <v>1.33</v>
      </c>
      <c r="F72" s="205">
        <f t="shared" si="27"/>
        <v>2.2660480295902676</v>
      </c>
      <c r="G72" s="205">
        <v>1.91</v>
      </c>
      <c r="H72" s="205">
        <f t="shared" si="28"/>
        <v>4.3281517365174107</v>
      </c>
      <c r="I72" s="205">
        <f t="shared" si="25"/>
        <v>61.838866335493371</v>
      </c>
      <c r="J72" s="305">
        <f t="shared" si="29"/>
        <v>6.9990800171464349E-2</v>
      </c>
    </row>
    <row r="73" spans="2:10">
      <c r="B73" s="109" t="s">
        <v>296</v>
      </c>
      <c r="C73" s="109" t="s">
        <v>382</v>
      </c>
      <c r="D73" s="205">
        <v>7.3022486941623083E-2</v>
      </c>
      <c r="E73" s="205">
        <v>1.33</v>
      </c>
      <c r="F73" s="205">
        <f t="shared" si="27"/>
        <v>0.91506875866695592</v>
      </c>
      <c r="G73" s="205">
        <v>1.91</v>
      </c>
      <c r="H73" s="205">
        <f t="shared" si="28"/>
        <v>1.7477813290538857</v>
      </c>
      <c r="I73" s="205">
        <f t="shared" si="25"/>
        <v>56.132141322911778</v>
      </c>
      <c r="J73" s="305">
        <f t="shared" si="29"/>
        <v>3.1136908157474545E-2</v>
      </c>
    </row>
    <row r="74" spans="2:10">
      <c r="B74" s="109" t="s">
        <v>297</v>
      </c>
      <c r="C74" s="109" t="s">
        <v>382</v>
      </c>
      <c r="D74" s="205">
        <v>0.11242395123874226</v>
      </c>
      <c r="E74" s="205">
        <v>1.33</v>
      </c>
      <c r="F74" s="205">
        <f t="shared" si="27"/>
        <v>1.4088214440945144</v>
      </c>
      <c r="G74" s="205">
        <v>1.91</v>
      </c>
      <c r="H74" s="205">
        <f t="shared" si="28"/>
        <v>2.6908489582205224</v>
      </c>
      <c r="I74" s="205">
        <f t="shared" si="25"/>
        <v>94.361959609130949</v>
      </c>
      <c r="J74" s="305">
        <f t="shared" si="29"/>
        <v>2.8516247112360116E-2</v>
      </c>
    </row>
    <row r="75" spans="2:10">
      <c r="B75" s="108"/>
      <c r="D75" s="126"/>
      <c r="E75" s="126"/>
      <c r="F75" s="126"/>
      <c r="G75" s="126"/>
      <c r="H75" s="126"/>
      <c r="I75" s="126"/>
      <c r="J75" s="126"/>
    </row>
    <row r="76" spans="2:10">
      <c r="B76" s="246" t="s">
        <v>186</v>
      </c>
      <c r="C76" s="246" t="s">
        <v>354</v>
      </c>
      <c r="D76" s="301">
        <v>1.3</v>
      </c>
      <c r="E76" s="301">
        <v>4.17</v>
      </c>
      <c r="F76" s="301">
        <f>((D76*1000)/E76)/60</f>
        <v>5.1958433253397276</v>
      </c>
      <c r="G76" s="301">
        <v>1.77</v>
      </c>
      <c r="H76" s="301">
        <f>F76*G76</f>
        <v>9.1966426858513177</v>
      </c>
      <c r="I76" s="301">
        <f>G6+H76+$H$24</f>
        <v>75.080799259341788</v>
      </c>
      <c r="J76" s="306">
        <f t="shared" ref="J76:J77" si="30">H76/I76</f>
        <v>0.12248994119101686</v>
      </c>
    </row>
    <row r="77" spans="2:10">
      <c r="B77" s="246" t="s">
        <v>286</v>
      </c>
      <c r="C77" s="246" t="s">
        <v>354</v>
      </c>
      <c r="D77" s="301">
        <v>1.3</v>
      </c>
      <c r="E77" s="301">
        <v>4.17</v>
      </c>
      <c r="F77" s="301">
        <f t="shared" ref="F77:F78" si="31">((D77*1000)/E77)/60</f>
        <v>5.1958433253397276</v>
      </c>
      <c r="G77" s="301">
        <v>1.77</v>
      </c>
      <c r="H77" s="301">
        <f t="shared" ref="H77:H78" si="32">F77*G77</f>
        <v>9.1966426858513177</v>
      </c>
      <c r="I77" s="301">
        <f>G7+H77+$H$24</f>
        <v>68.584208304372225</v>
      </c>
      <c r="J77" s="306">
        <f t="shared" si="30"/>
        <v>0.13409271482783938</v>
      </c>
    </row>
    <row r="78" spans="2:10">
      <c r="B78" s="246" t="s">
        <v>287</v>
      </c>
      <c r="C78" s="246" t="s">
        <v>354</v>
      </c>
      <c r="D78" s="301">
        <v>1.3</v>
      </c>
      <c r="E78" s="301">
        <v>4.17</v>
      </c>
      <c r="F78" s="301">
        <f t="shared" si="31"/>
        <v>5.1958433253397276</v>
      </c>
      <c r="G78" s="301">
        <v>1.77</v>
      </c>
      <c r="H78" s="301">
        <f t="shared" si="32"/>
        <v>9.1966426858513177</v>
      </c>
      <c r="I78" s="301">
        <f t="shared" ref="I78:I89" si="33">G8+H78+$H$24</f>
        <v>70.761993530473703</v>
      </c>
      <c r="J78" s="306">
        <f t="shared" ref="J78:J89" si="34">H78/I78</f>
        <v>0.12996585069202124</v>
      </c>
    </row>
    <row r="79" spans="2:10">
      <c r="B79" s="246" t="s">
        <v>288</v>
      </c>
      <c r="C79" s="246" t="s">
        <v>354</v>
      </c>
      <c r="D79" s="301">
        <v>1.3</v>
      </c>
      <c r="E79" s="301">
        <v>4.17</v>
      </c>
      <c r="F79" s="301">
        <f t="shared" ref="F79:F89" si="35">((D79*1000)/E79)/60</f>
        <v>5.1958433253397276</v>
      </c>
      <c r="G79" s="301">
        <v>1.77</v>
      </c>
      <c r="H79" s="301">
        <f t="shared" ref="H79:H89" si="36">F79*G79</f>
        <v>9.1966426858513177</v>
      </c>
      <c r="I79" s="301">
        <f t="shared" si="33"/>
        <v>70.761993530473703</v>
      </c>
      <c r="J79" s="306">
        <f t="shared" si="34"/>
        <v>0.12996585069202124</v>
      </c>
    </row>
    <row r="80" spans="2:10">
      <c r="B80" s="246" t="s">
        <v>289</v>
      </c>
      <c r="C80" s="246" t="s">
        <v>354</v>
      </c>
      <c r="D80" s="301">
        <v>1.3</v>
      </c>
      <c r="E80" s="301">
        <v>4.17</v>
      </c>
      <c r="F80" s="301">
        <f t="shared" si="35"/>
        <v>5.1958433253397276</v>
      </c>
      <c r="G80" s="301">
        <v>1.77</v>
      </c>
      <c r="H80" s="301">
        <f t="shared" si="36"/>
        <v>9.1966426858513177</v>
      </c>
      <c r="I80" s="301">
        <f t="shared" si="33"/>
        <v>70.761993530473703</v>
      </c>
      <c r="J80" s="306">
        <f t="shared" si="34"/>
        <v>0.12996585069202124</v>
      </c>
    </row>
    <row r="81" spans="2:10">
      <c r="B81" s="246" t="s">
        <v>290</v>
      </c>
      <c r="C81" s="246" t="s">
        <v>354</v>
      </c>
      <c r="D81" s="301">
        <v>1.3</v>
      </c>
      <c r="E81" s="301">
        <v>4.17</v>
      </c>
      <c r="F81" s="301">
        <f t="shared" si="35"/>
        <v>5.1958433253397276</v>
      </c>
      <c r="G81" s="301">
        <v>1.77</v>
      </c>
      <c r="H81" s="301">
        <f t="shared" si="36"/>
        <v>9.1966426858513177</v>
      </c>
      <c r="I81" s="301">
        <f t="shared" si="33"/>
        <v>70.761993530473703</v>
      </c>
      <c r="J81" s="306">
        <f t="shared" si="34"/>
        <v>0.12996585069202124</v>
      </c>
    </row>
    <row r="82" spans="2:10">
      <c r="B82" s="246" t="s">
        <v>94</v>
      </c>
      <c r="C82" s="246" t="s">
        <v>384</v>
      </c>
      <c r="D82" s="301">
        <v>1.3</v>
      </c>
      <c r="E82" s="301">
        <v>4.17</v>
      </c>
      <c r="F82" s="301">
        <f t="shared" si="35"/>
        <v>5.1958433253397276</v>
      </c>
      <c r="G82" s="301">
        <v>1.77</v>
      </c>
      <c r="H82" s="301">
        <f t="shared" si="36"/>
        <v>9.1966426858513177</v>
      </c>
      <c r="I82" s="301">
        <f t="shared" si="33"/>
        <v>79.776374682426351</v>
      </c>
      <c r="J82" s="306">
        <f t="shared" si="34"/>
        <v>0.11528027843407646</v>
      </c>
    </row>
    <row r="83" spans="2:10">
      <c r="B83" s="246" t="s">
        <v>298</v>
      </c>
      <c r="C83" s="246" t="s">
        <v>385</v>
      </c>
      <c r="D83" s="301">
        <v>1.3</v>
      </c>
      <c r="E83" s="301">
        <v>4.17</v>
      </c>
      <c r="F83" s="301">
        <f t="shared" si="35"/>
        <v>5.1958433253397276</v>
      </c>
      <c r="G83" s="301">
        <v>2.2999999999999998</v>
      </c>
      <c r="H83" s="301">
        <f t="shared" si="36"/>
        <v>11.950439648281373</v>
      </c>
      <c r="I83" s="301">
        <f t="shared" si="33"/>
        <v>52.530171644856416</v>
      </c>
      <c r="J83" s="306">
        <f t="shared" si="34"/>
        <v>0.22749667998565393</v>
      </c>
    </row>
    <row r="84" spans="2:10">
      <c r="B84" s="246" t="s">
        <v>187</v>
      </c>
      <c r="C84" s="246" t="s">
        <v>386</v>
      </c>
      <c r="D84" s="301">
        <v>1.3</v>
      </c>
      <c r="E84" s="301">
        <v>4.17</v>
      </c>
      <c r="F84" s="301">
        <f t="shared" si="35"/>
        <v>5.1958433253397276</v>
      </c>
      <c r="G84" s="301">
        <v>1.91</v>
      </c>
      <c r="H84" s="301">
        <f t="shared" si="36"/>
        <v>9.9240607513988799</v>
      </c>
      <c r="I84" s="301">
        <f t="shared" si="33"/>
        <v>58.932365782983972</v>
      </c>
      <c r="J84" s="306">
        <f t="shared" si="34"/>
        <v>0.16839746070849806</v>
      </c>
    </row>
    <row r="85" spans="2:10">
      <c r="B85" s="246" t="s">
        <v>293</v>
      </c>
      <c r="C85" s="246" t="s">
        <v>386</v>
      </c>
      <c r="D85" s="301">
        <v>1.3</v>
      </c>
      <c r="E85" s="301">
        <v>4.17</v>
      </c>
      <c r="F85" s="301">
        <f t="shared" si="35"/>
        <v>5.1958433253397276</v>
      </c>
      <c r="G85" s="301">
        <v>1.91</v>
      </c>
      <c r="H85" s="301">
        <f t="shared" si="36"/>
        <v>9.9240607513988799</v>
      </c>
      <c r="I85" s="301">
        <f t="shared" si="33"/>
        <v>57.169605541447858</v>
      </c>
      <c r="J85" s="306">
        <f t="shared" si="34"/>
        <v>0.1735898062862084</v>
      </c>
    </row>
    <row r="86" spans="2:10">
      <c r="B86" s="246" t="s">
        <v>294</v>
      </c>
      <c r="C86" s="246" t="s">
        <v>386</v>
      </c>
      <c r="D86" s="301">
        <v>1.3</v>
      </c>
      <c r="E86" s="301">
        <v>4.17</v>
      </c>
      <c r="F86" s="301">
        <f t="shared" si="35"/>
        <v>5.1958433253397276</v>
      </c>
      <c r="G86" s="301">
        <v>1.91</v>
      </c>
      <c r="H86" s="301">
        <f t="shared" si="36"/>
        <v>9.9240607513988799</v>
      </c>
      <c r="I86" s="301">
        <f t="shared" si="33"/>
        <v>56.500748647069877</v>
      </c>
      <c r="J86" s="306">
        <f t="shared" si="34"/>
        <v>0.17564476558335906</v>
      </c>
    </row>
    <row r="87" spans="2:10">
      <c r="B87" s="246" t="s">
        <v>295</v>
      </c>
      <c r="C87" s="246" t="s">
        <v>386</v>
      </c>
      <c r="D87" s="301">
        <v>1.3</v>
      </c>
      <c r="E87" s="301">
        <v>4.17</v>
      </c>
      <c r="F87" s="301">
        <f t="shared" si="35"/>
        <v>5.1958433253397276</v>
      </c>
      <c r="G87" s="301">
        <v>1.91</v>
      </c>
      <c r="H87" s="301">
        <f t="shared" si="36"/>
        <v>9.9240607513988799</v>
      </c>
      <c r="I87" s="301">
        <f t="shared" si="33"/>
        <v>67.107886948337836</v>
      </c>
      <c r="J87" s="306">
        <f t="shared" si="34"/>
        <v>0.14788218200103356</v>
      </c>
    </row>
    <row r="88" spans="2:10">
      <c r="B88" s="246" t="s">
        <v>296</v>
      </c>
      <c r="C88" s="246" t="s">
        <v>386</v>
      </c>
      <c r="D88" s="301">
        <v>1.3</v>
      </c>
      <c r="E88" s="301">
        <v>4.17</v>
      </c>
      <c r="F88" s="301">
        <f t="shared" si="35"/>
        <v>5.1958433253397276</v>
      </c>
      <c r="G88" s="301">
        <v>1.91</v>
      </c>
      <c r="H88" s="301">
        <f t="shared" si="36"/>
        <v>9.9240607513988799</v>
      </c>
      <c r="I88" s="301">
        <f t="shared" si="33"/>
        <v>63.981532343219776</v>
      </c>
      <c r="J88" s="306">
        <f t="shared" si="34"/>
        <v>0.15510820682072252</v>
      </c>
    </row>
    <row r="89" spans="2:10">
      <c r="B89" s="246" t="s">
        <v>297</v>
      </c>
      <c r="C89" s="246" t="s">
        <v>386</v>
      </c>
      <c r="D89" s="301">
        <v>1.3</v>
      </c>
      <c r="E89" s="301">
        <v>4.17</v>
      </c>
      <c r="F89" s="301">
        <f t="shared" si="35"/>
        <v>5.1958433253397276</v>
      </c>
      <c r="G89" s="301">
        <v>1.91</v>
      </c>
      <c r="H89" s="301">
        <f t="shared" si="36"/>
        <v>9.9240607513988799</v>
      </c>
      <c r="I89" s="301">
        <f t="shared" si="33"/>
        <v>101.26828300027231</v>
      </c>
      <c r="J89" s="306">
        <f t="shared" si="34"/>
        <v>9.799771910196399E-2</v>
      </c>
    </row>
    <row r="90" spans="2:10">
      <c r="B90" s="108"/>
      <c r="C90" s="108"/>
      <c r="D90" s="108"/>
      <c r="E90" s="108"/>
      <c r="F90" s="108"/>
      <c r="G90" s="108"/>
      <c r="H90" s="108"/>
      <c r="I90" s="108"/>
      <c r="J90" s="108"/>
    </row>
    <row r="91" spans="2:10">
      <c r="B91" s="297" t="s">
        <v>353</v>
      </c>
      <c r="C91" s="171"/>
      <c r="D91" s="171"/>
      <c r="E91" s="171"/>
      <c r="F91" s="171"/>
      <c r="G91" s="171"/>
      <c r="H91" s="171"/>
      <c r="I91" s="171"/>
      <c r="J91" s="171"/>
    </row>
    <row r="93" spans="2:10">
      <c r="B93" s="23" t="s">
        <v>487</v>
      </c>
      <c r="C93" s="307">
        <v>-0.35</v>
      </c>
    </row>
    <row r="94" spans="2:10">
      <c r="B94" s="23" t="s">
        <v>488</v>
      </c>
      <c r="C94" s="307">
        <v>-0.32</v>
      </c>
    </row>
    <row r="96" spans="2:10">
      <c r="B96" s="297" t="s">
        <v>59</v>
      </c>
      <c r="C96" s="171"/>
      <c r="D96" s="171"/>
      <c r="E96" s="171"/>
      <c r="F96" s="171"/>
      <c r="G96" s="171"/>
      <c r="H96" s="171"/>
      <c r="I96" s="171"/>
      <c r="J96" s="171"/>
    </row>
    <row r="97" spans="2:15">
      <c r="B97" s="14"/>
    </row>
    <row r="98" spans="2:15">
      <c r="C98" s="109" t="s">
        <v>46</v>
      </c>
      <c r="D98" s="23" t="s">
        <v>431</v>
      </c>
      <c r="E98" s="109" t="s">
        <v>45</v>
      </c>
    </row>
    <row r="99" spans="2:15">
      <c r="B99" s="152" t="s">
        <v>173</v>
      </c>
      <c r="C99" s="252">
        <v>4.0000000000000001E-3</v>
      </c>
      <c r="D99" s="252">
        <v>8.0000000000000002E-3</v>
      </c>
      <c r="E99" s="309">
        <v>0.03</v>
      </c>
      <c r="L99" s="313"/>
    </row>
    <row r="100" spans="2:15">
      <c r="B100" s="152" t="s">
        <v>94</v>
      </c>
      <c r="C100" s="252">
        <v>4.0000000000000001E-3</v>
      </c>
      <c r="D100" s="252">
        <v>8.0000000000000002E-3</v>
      </c>
      <c r="E100" s="309">
        <v>0.04</v>
      </c>
      <c r="L100" s="313"/>
      <c r="M100" s="313"/>
    </row>
    <row r="101" spans="2:15">
      <c r="B101" s="152" t="s">
        <v>225</v>
      </c>
      <c r="C101" s="252">
        <v>0</v>
      </c>
      <c r="D101" s="252">
        <v>4.0000000000000001E-3</v>
      </c>
      <c r="E101" s="309">
        <v>0.02</v>
      </c>
      <c r="L101" s="313"/>
      <c r="M101" s="313"/>
      <c r="N101" s="100"/>
    </row>
    <row r="102" spans="2:15">
      <c r="B102" s="152" t="s">
        <v>53</v>
      </c>
      <c r="C102" s="252">
        <v>0</v>
      </c>
      <c r="D102" s="312">
        <v>4.0000000000000001E-3</v>
      </c>
      <c r="E102" s="311">
        <v>1.2E-2</v>
      </c>
    </row>
    <row r="104" spans="2:15">
      <c r="B104" s="297" t="s">
        <v>368</v>
      </c>
      <c r="C104" s="171"/>
      <c r="D104" s="171"/>
      <c r="E104" s="171"/>
      <c r="F104" s="171"/>
      <c r="G104" s="171"/>
      <c r="H104" s="171"/>
      <c r="I104" s="171"/>
      <c r="J104" s="171"/>
    </row>
    <row r="105" spans="2:15">
      <c r="B105" s="14"/>
    </row>
    <row r="106" spans="2:15">
      <c r="C106" s="109" t="s">
        <v>46</v>
      </c>
      <c r="D106" s="109" t="s">
        <v>45</v>
      </c>
    </row>
    <row r="107" spans="2:15">
      <c r="B107" s="152" t="s">
        <v>369</v>
      </c>
      <c r="C107" s="310">
        <v>0</v>
      </c>
      <c r="D107" s="308">
        <v>9.2999999999999992E-3</v>
      </c>
    </row>
    <row r="109" spans="2:15">
      <c r="B109" s="297" t="s">
        <v>140</v>
      </c>
      <c r="C109" s="171"/>
      <c r="D109" s="171"/>
      <c r="E109" s="171"/>
      <c r="F109" s="171"/>
      <c r="G109" s="171"/>
      <c r="H109" s="171"/>
      <c r="I109" s="171"/>
      <c r="J109" s="171"/>
    </row>
    <row r="111" spans="2:15">
      <c r="B111" s="109"/>
      <c r="C111" s="42" t="s">
        <v>173</v>
      </c>
      <c r="D111" s="42" t="s">
        <v>94</v>
      </c>
      <c r="E111" s="42" t="s">
        <v>225</v>
      </c>
      <c r="F111" s="42" t="s">
        <v>53</v>
      </c>
    </row>
    <row r="112" spans="2:15">
      <c r="B112" s="318" t="s">
        <v>89</v>
      </c>
      <c r="C112" s="315">
        <v>0.01</v>
      </c>
      <c r="D112" s="316">
        <v>0.01</v>
      </c>
      <c r="E112" s="316">
        <v>8.0000000000000002E-3</v>
      </c>
      <c r="F112" s="316">
        <v>8.0000000000000002E-3</v>
      </c>
      <c r="O112" s="313"/>
    </row>
    <row r="113" spans="2:16">
      <c r="B113" s="318" t="s">
        <v>139</v>
      </c>
      <c r="C113" s="315">
        <v>3.5000000000000003E-2</v>
      </c>
      <c r="D113" s="316">
        <v>3.5000000000000003E-2</v>
      </c>
      <c r="E113" s="316">
        <v>0.02</v>
      </c>
      <c r="F113" s="316">
        <v>1.4999999999999999E-2</v>
      </c>
      <c r="O113" s="313"/>
    </row>
    <row r="114" spans="2:16" ht="30">
      <c r="B114" s="318" t="s">
        <v>141</v>
      </c>
      <c r="C114" s="315">
        <f>C113*1.05</f>
        <v>3.6750000000000005E-2</v>
      </c>
      <c r="D114" s="315">
        <f t="shared" ref="D114:F114" si="37">D113*1.05</f>
        <v>3.6750000000000005E-2</v>
      </c>
      <c r="E114" s="315">
        <f t="shared" si="37"/>
        <v>2.1000000000000001E-2</v>
      </c>
      <c r="F114" s="315">
        <f t="shared" si="37"/>
        <v>1.575E-2</v>
      </c>
      <c r="O114" s="313"/>
      <c r="P114" s="314"/>
    </row>
    <row r="117" spans="2:16">
      <c r="B117" s="297" t="s">
        <v>375</v>
      </c>
      <c r="C117" s="171"/>
      <c r="D117" s="171"/>
      <c r="E117" s="171"/>
      <c r="F117" s="171"/>
      <c r="G117" s="171"/>
      <c r="H117" s="171"/>
      <c r="I117" s="171"/>
      <c r="J117" s="171"/>
    </row>
    <row r="119" spans="2:16">
      <c r="B119" s="23" t="s">
        <v>487</v>
      </c>
      <c r="C119" s="307">
        <v>-0.35</v>
      </c>
    </row>
    <row r="120" spans="2:16">
      <c r="B120" s="23" t="s">
        <v>488</v>
      </c>
      <c r="C120" s="164">
        <v>-0.16</v>
      </c>
    </row>
    <row r="131" spans="2:5">
      <c r="B131" s="108"/>
      <c r="C131" s="108"/>
      <c r="D131" s="108"/>
      <c r="E131" s="108"/>
    </row>
    <row r="132" spans="2:5">
      <c r="B132" s="108"/>
      <c r="C132" s="108"/>
      <c r="D132" s="108"/>
      <c r="E132" s="108"/>
    </row>
    <row r="133" spans="2:5">
      <c r="B133" s="108"/>
      <c r="C133" s="108"/>
      <c r="D133" s="108"/>
      <c r="E133" s="108"/>
    </row>
  </sheetData>
  <sheetProtection password="EA07" sheet="1" objects="1" scenarios="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sheetPr>
    <tabColor theme="3"/>
  </sheetPr>
  <dimension ref="A1:P36"/>
  <sheetViews>
    <sheetView tabSelected="1" workbookViewId="0">
      <selection activeCell="C4" sqref="C4:H4"/>
    </sheetView>
  </sheetViews>
  <sheetFormatPr defaultColWidth="9.140625" defaultRowHeight="15"/>
  <cols>
    <col min="1" max="1" width="9.140625" style="396"/>
    <col min="2" max="2" width="25.42578125" style="396" customWidth="1"/>
    <col min="3" max="9" width="15.7109375" style="396" customWidth="1"/>
    <col min="10" max="10" width="29.85546875" style="396" customWidth="1"/>
    <col min="11" max="11" width="19" style="396" customWidth="1"/>
    <col min="12" max="14" width="9.140625" style="396"/>
    <col min="15" max="15" width="24" style="396" hidden="1" customWidth="1"/>
    <col min="16" max="16" width="0" style="396" hidden="1" customWidth="1"/>
    <col min="17" max="16384" width="9.140625" style="396"/>
  </cols>
  <sheetData>
    <row r="1" spans="1:15">
      <c r="B1" s="397"/>
      <c r="C1" s="397"/>
      <c r="D1" s="397"/>
      <c r="E1" s="397"/>
      <c r="F1" s="397"/>
      <c r="G1" s="397"/>
      <c r="H1" s="397"/>
      <c r="I1" s="397"/>
      <c r="J1" s="397"/>
      <c r="K1" s="397"/>
      <c r="L1" s="397"/>
      <c r="M1" s="397"/>
      <c r="N1" s="397"/>
    </row>
    <row r="2" spans="1:15">
      <c r="B2" s="536" t="s">
        <v>193</v>
      </c>
      <c r="C2" s="537"/>
      <c r="D2" s="397"/>
      <c r="E2" s="397"/>
      <c r="F2" s="397"/>
      <c r="G2" s="397"/>
      <c r="H2" s="397"/>
      <c r="I2" s="397"/>
      <c r="J2" s="536" t="s">
        <v>525</v>
      </c>
      <c r="K2" s="537"/>
      <c r="L2" s="397"/>
      <c r="M2" s="397"/>
      <c r="N2" s="397"/>
    </row>
    <row r="3" spans="1:15">
      <c r="B3" s="397"/>
      <c r="C3" s="398"/>
      <c r="D3" s="399"/>
      <c r="E3" s="399"/>
      <c r="F3" s="399"/>
      <c r="G3" s="399"/>
      <c r="H3" s="399"/>
      <c r="I3" s="399"/>
      <c r="J3" s="397"/>
      <c r="K3" s="397"/>
      <c r="L3" s="397"/>
      <c r="M3" s="397"/>
      <c r="N3" s="397"/>
    </row>
    <row r="4" spans="1:15">
      <c r="B4" s="400" t="s">
        <v>50</v>
      </c>
      <c r="C4" s="538"/>
      <c r="D4" s="539"/>
      <c r="E4" s="539"/>
      <c r="F4" s="539"/>
      <c r="G4" s="539"/>
      <c r="H4" s="540"/>
      <c r="I4" s="397"/>
      <c r="J4" s="411" t="s">
        <v>51</v>
      </c>
      <c r="K4" s="413"/>
      <c r="L4" s="401" t="s">
        <v>60</v>
      </c>
      <c r="M4" s="397"/>
      <c r="N4" s="397"/>
    </row>
    <row r="5" spans="1:15">
      <c r="B5" s="400" t="s">
        <v>48</v>
      </c>
      <c r="C5" s="542"/>
      <c r="D5" s="543"/>
      <c r="E5" s="543"/>
      <c r="F5" s="543"/>
      <c r="G5" s="543"/>
      <c r="H5" s="544"/>
      <c r="I5" s="397"/>
      <c r="J5" s="411" t="s">
        <v>61</v>
      </c>
      <c r="K5" s="413"/>
      <c r="L5" s="401" t="s">
        <v>77</v>
      </c>
      <c r="M5" s="397"/>
      <c r="N5" s="397"/>
    </row>
    <row r="6" spans="1:15">
      <c r="B6" s="400" t="s">
        <v>49</v>
      </c>
      <c r="C6" s="542"/>
      <c r="D6" s="543"/>
      <c r="E6" s="543"/>
      <c r="F6" s="543"/>
      <c r="G6" s="543"/>
      <c r="H6" s="544"/>
      <c r="I6" s="397"/>
      <c r="J6" s="482" t="s">
        <v>129</v>
      </c>
      <c r="K6" s="413"/>
      <c r="L6" s="401" t="s">
        <v>77</v>
      </c>
      <c r="M6" s="397"/>
      <c r="N6" s="397"/>
    </row>
    <row r="7" spans="1:15">
      <c r="B7" s="402"/>
      <c r="C7" s="403"/>
      <c r="D7" s="403"/>
      <c r="E7" s="403"/>
      <c r="F7" s="403"/>
      <c r="G7" s="403"/>
      <c r="H7" s="403"/>
      <c r="I7" s="397"/>
      <c r="J7" s="411" t="s">
        <v>198</v>
      </c>
      <c r="K7" s="504">
        <v>2011</v>
      </c>
      <c r="L7" s="401" t="s">
        <v>77</v>
      </c>
      <c r="M7" s="397"/>
      <c r="N7" s="397"/>
    </row>
    <row r="8" spans="1:15">
      <c r="B8" s="404" t="s">
        <v>522</v>
      </c>
      <c r="C8" s="403"/>
      <c r="D8" s="403"/>
      <c r="E8" s="403"/>
      <c r="F8" s="403"/>
      <c r="G8" s="403"/>
      <c r="H8" s="403"/>
      <c r="I8" s="397"/>
      <c r="M8" s="397"/>
      <c r="N8" s="397"/>
    </row>
    <row r="9" spans="1:15" ht="90" customHeight="1">
      <c r="B9" s="533"/>
      <c r="C9" s="534"/>
      <c r="D9" s="534"/>
      <c r="E9" s="534"/>
      <c r="F9" s="534"/>
      <c r="G9" s="534"/>
      <c r="H9" s="535"/>
      <c r="I9" s="397"/>
      <c r="J9" s="397"/>
      <c r="K9" s="397"/>
      <c r="L9" s="397"/>
      <c r="M9" s="397"/>
      <c r="N9" s="397"/>
    </row>
    <row r="10" spans="1:15">
      <c r="B10" s="398"/>
      <c r="C10" s="399"/>
      <c r="D10" s="399"/>
      <c r="E10" s="399"/>
      <c r="F10" s="399"/>
      <c r="G10" s="399"/>
      <c r="H10" s="399"/>
      <c r="I10" s="397"/>
      <c r="J10" s="397"/>
      <c r="K10" s="397"/>
      <c r="L10" s="397"/>
      <c r="M10" s="397"/>
      <c r="N10" s="397"/>
    </row>
    <row r="11" spans="1:15">
      <c r="B11" s="416" t="s">
        <v>500</v>
      </c>
      <c r="C11" s="399"/>
      <c r="D11" s="399"/>
      <c r="E11" s="399"/>
      <c r="F11" s="399"/>
      <c r="G11" s="399"/>
      <c r="H11" s="399"/>
      <c r="I11" s="397"/>
      <c r="J11" s="397"/>
      <c r="K11" s="397"/>
      <c r="L11" s="397"/>
      <c r="M11" s="397"/>
      <c r="N11" s="397"/>
    </row>
    <row r="12" spans="1:15">
      <c r="B12" s="416" t="s">
        <v>501</v>
      </c>
      <c r="C12" s="399"/>
      <c r="D12" s="399"/>
      <c r="E12" s="399"/>
      <c r="F12" s="399"/>
      <c r="G12" s="399"/>
      <c r="H12" s="399"/>
      <c r="I12" s="397"/>
      <c r="J12" s="397"/>
      <c r="K12" s="397"/>
      <c r="L12" s="397"/>
      <c r="M12" s="397"/>
      <c r="N12" s="397"/>
    </row>
    <row r="13" spans="1:15">
      <c r="B13" s="405"/>
      <c r="C13" s="399"/>
      <c r="D13" s="399"/>
      <c r="E13" s="399"/>
      <c r="F13" s="399"/>
      <c r="G13" s="399"/>
      <c r="H13" s="399"/>
      <c r="I13" s="397"/>
      <c r="J13" s="397"/>
      <c r="K13" s="397"/>
      <c r="L13" s="397"/>
      <c r="M13" s="397"/>
      <c r="N13" s="397"/>
    </row>
    <row r="14" spans="1:15">
      <c r="A14" s="397"/>
      <c r="B14" s="406" t="s">
        <v>124</v>
      </c>
      <c r="C14" s="219"/>
      <c r="D14" s="403"/>
      <c r="E14" s="406" t="s">
        <v>125</v>
      </c>
      <c r="F14" s="219"/>
      <c r="G14" s="403"/>
      <c r="H14" s="406" t="s">
        <v>126</v>
      </c>
      <c r="I14" s="219"/>
      <c r="J14" s="403"/>
      <c r="O14" s="407" t="s">
        <v>45</v>
      </c>
    </row>
    <row r="15" spans="1:15">
      <c r="A15" s="397"/>
      <c r="B15" s="399"/>
      <c r="C15" s="399"/>
      <c r="D15" s="399"/>
      <c r="E15" s="399"/>
      <c r="F15" s="399"/>
      <c r="G15" s="399"/>
      <c r="H15" s="397"/>
      <c r="I15" s="397"/>
      <c r="J15" s="397"/>
      <c r="O15" s="407" t="s">
        <v>46</v>
      </c>
    </row>
    <row r="16" spans="1:15">
      <c r="A16" s="397"/>
      <c r="B16" s="404" t="s">
        <v>194</v>
      </c>
      <c r="C16" s="397"/>
      <c r="D16" s="397"/>
      <c r="E16" s="408"/>
      <c r="F16" s="408"/>
      <c r="G16" s="408"/>
      <c r="H16" s="408"/>
      <c r="I16" s="397"/>
      <c r="J16" s="397"/>
    </row>
    <row r="17" spans="1:16" ht="48.75" customHeight="1">
      <c r="A17" s="397"/>
      <c r="B17" s="406" t="s">
        <v>124</v>
      </c>
      <c r="C17" s="531"/>
      <c r="D17" s="541"/>
      <c r="E17" s="541"/>
      <c r="F17" s="541"/>
      <c r="G17" s="541"/>
      <c r="H17" s="541"/>
      <c r="I17" s="397"/>
      <c r="J17" s="397"/>
    </row>
    <row r="18" spans="1:16" ht="48.75" customHeight="1">
      <c r="A18" s="397"/>
      <c r="B18" s="406" t="s">
        <v>125</v>
      </c>
      <c r="C18" s="531"/>
      <c r="D18" s="532"/>
      <c r="E18" s="532"/>
      <c r="F18" s="532"/>
      <c r="G18" s="532"/>
      <c r="H18" s="532"/>
      <c r="I18" s="397"/>
      <c r="J18" s="397"/>
    </row>
    <row r="19" spans="1:16" ht="48.75" customHeight="1">
      <c r="A19" s="397"/>
      <c r="B19" s="406" t="s">
        <v>126</v>
      </c>
      <c r="C19" s="531"/>
      <c r="D19" s="532"/>
      <c r="E19" s="532"/>
      <c r="F19" s="532"/>
      <c r="G19" s="532"/>
      <c r="H19" s="532"/>
      <c r="I19" s="397"/>
      <c r="J19" s="397"/>
    </row>
    <row r="20" spans="1:16">
      <c r="A20" s="397"/>
      <c r="B20" s="397"/>
      <c r="C20" s="397"/>
      <c r="D20" s="397"/>
      <c r="E20" s="408"/>
      <c r="F20" s="408"/>
      <c r="G20" s="408"/>
      <c r="H20" s="408"/>
      <c r="I20" s="397"/>
      <c r="J20" s="397"/>
    </row>
    <row r="21" spans="1:16">
      <c r="A21" s="397"/>
      <c r="B21" s="409" t="s">
        <v>526</v>
      </c>
      <c r="C21" s="410"/>
      <c r="D21" s="397"/>
      <c r="E21" s="408"/>
      <c r="F21" s="408"/>
      <c r="G21" s="408"/>
      <c r="H21" s="408"/>
      <c r="I21" s="397"/>
      <c r="J21" s="397"/>
    </row>
    <row r="22" spans="1:16">
      <c r="A22" s="397"/>
      <c r="B22" s="397"/>
      <c r="C22" s="397"/>
      <c r="D22" s="397"/>
      <c r="E22" s="408"/>
      <c r="F22" s="408"/>
      <c r="G22" s="408"/>
      <c r="H22" s="408"/>
      <c r="I22" s="397"/>
      <c r="J22" s="397"/>
    </row>
    <row r="23" spans="1:16">
      <c r="A23" s="397"/>
      <c r="B23" s="417" t="s">
        <v>561</v>
      </c>
      <c r="C23" s="397"/>
      <c r="D23" s="397"/>
      <c r="E23" s="408"/>
      <c r="F23" s="408"/>
      <c r="G23" s="408"/>
      <c r="H23" s="408"/>
      <c r="I23" s="397"/>
      <c r="J23" s="397"/>
    </row>
    <row r="24" spans="1:16">
      <c r="A24" s="397"/>
      <c r="B24" s="417" t="s">
        <v>560</v>
      </c>
      <c r="C24" s="397"/>
      <c r="D24" s="397"/>
      <c r="E24" s="408"/>
      <c r="F24" s="408"/>
      <c r="G24" s="408"/>
      <c r="H24" s="408"/>
      <c r="I24" s="397"/>
      <c r="J24" s="397"/>
      <c r="O24" s="407" t="s">
        <v>556</v>
      </c>
      <c r="P24" s="477">
        <v>0.2</v>
      </c>
    </row>
    <row r="25" spans="1:16">
      <c r="A25" s="397"/>
      <c r="B25" s="412" t="s">
        <v>555</v>
      </c>
      <c r="C25" s="530"/>
      <c r="D25" s="530"/>
      <c r="E25" s="478" t="e">
        <f>VLOOKUP(C25,$O$24:$P$27,2,FALSE)</f>
        <v>#N/A</v>
      </c>
      <c r="F25" s="408"/>
      <c r="G25" s="408"/>
      <c r="H25" s="408"/>
      <c r="I25" s="397"/>
      <c r="J25" s="397"/>
      <c r="O25" s="407" t="s">
        <v>557</v>
      </c>
      <c r="P25" s="477">
        <v>0.15</v>
      </c>
    </row>
    <row r="26" spans="1:16">
      <c r="A26" s="397"/>
      <c r="B26" s="397"/>
      <c r="C26" s="397"/>
      <c r="D26" s="397"/>
      <c r="E26" s="408"/>
      <c r="F26" s="408"/>
      <c r="G26" s="408"/>
      <c r="H26" s="408"/>
      <c r="I26" s="397"/>
      <c r="J26" s="397"/>
      <c r="O26" s="407" t="s">
        <v>558</v>
      </c>
      <c r="P26" s="477">
        <v>0.1</v>
      </c>
    </row>
    <row r="27" spans="1:16">
      <c r="A27" s="397"/>
      <c r="B27" s="417" t="s">
        <v>612</v>
      </c>
      <c r="C27" s="397"/>
      <c r="D27" s="397"/>
      <c r="E27" s="397"/>
      <c r="F27" s="397"/>
      <c r="G27" s="397"/>
      <c r="H27" s="397"/>
      <c r="I27" s="397"/>
      <c r="J27" s="397"/>
      <c r="O27" s="407" t="s">
        <v>559</v>
      </c>
      <c r="P27" s="477">
        <v>0.05</v>
      </c>
    </row>
    <row r="28" spans="1:16">
      <c r="A28" s="397"/>
      <c r="B28" s="417" t="s">
        <v>611</v>
      </c>
      <c r="C28" s="397"/>
      <c r="D28" s="397"/>
      <c r="E28" s="397"/>
      <c r="F28" s="397"/>
      <c r="G28" s="397"/>
      <c r="H28" s="397"/>
      <c r="I28" s="397"/>
      <c r="J28" s="397"/>
    </row>
    <row r="29" spans="1:16">
      <c r="A29" s="397"/>
      <c r="B29" s="412" t="s">
        <v>524</v>
      </c>
      <c r="C29" s="512"/>
      <c r="D29" s="397"/>
      <c r="E29" s="397"/>
      <c r="F29" s="397"/>
      <c r="G29" s="397"/>
      <c r="H29" s="397"/>
      <c r="I29" s="397"/>
      <c r="J29" s="397"/>
    </row>
    <row r="30" spans="1:16">
      <c r="A30" s="397"/>
      <c r="B30" s="397"/>
      <c r="C30" s="397"/>
      <c r="D30" s="397"/>
      <c r="E30" s="397"/>
      <c r="F30" s="397"/>
      <c r="G30" s="397"/>
      <c r="H30" s="397"/>
      <c r="I30" s="397"/>
      <c r="J30" s="397"/>
    </row>
    <row r="31" spans="1:16">
      <c r="A31" s="397"/>
      <c r="B31" s="417" t="s">
        <v>562</v>
      </c>
      <c r="C31" s="397"/>
      <c r="D31" s="397"/>
      <c r="E31" s="397"/>
      <c r="F31" s="397"/>
      <c r="G31" s="397"/>
      <c r="H31" s="397"/>
      <c r="I31" s="397"/>
      <c r="J31" s="397"/>
    </row>
    <row r="32" spans="1:16">
      <c r="A32" s="397"/>
      <c r="B32" s="411" t="s">
        <v>299</v>
      </c>
      <c r="C32" s="415"/>
      <c r="D32" s="397"/>
      <c r="E32" s="397"/>
      <c r="F32" s="397"/>
      <c r="G32" s="397"/>
      <c r="H32" s="397"/>
      <c r="I32" s="397"/>
      <c r="J32" s="397"/>
    </row>
    <row r="33" spans="1:10">
      <c r="A33" s="397"/>
      <c r="B33" s="397"/>
      <c r="C33" s="397"/>
      <c r="E33" s="397"/>
      <c r="F33" s="397"/>
      <c r="G33" s="397"/>
      <c r="H33" s="397"/>
      <c r="I33" s="397"/>
      <c r="J33" s="397"/>
    </row>
    <row r="34" spans="1:10">
      <c r="A34" s="397"/>
      <c r="B34" s="412" t="s">
        <v>523</v>
      </c>
      <c r="C34" s="481">
        <f>IF('Station parameters'!$C$8="Rural",'EEM values'!$D$82,'EEM values'!$D$81)</f>
        <v>1.4</v>
      </c>
      <c r="D34" s="417" t="s">
        <v>567</v>
      </c>
      <c r="E34" s="397"/>
      <c r="F34" s="397"/>
      <c r="G34" s="397"/>
      <c r="H34" s="397"/>
      <c r="I34" s="397"/>
      <c r="J34" s="397"/>
    </row>
    <row r="35" spans="1:10">
      <c r="B35" s="397"/>
      <c r="C35" s="397"/>
      <c r="D35" s="397"/>
    </row>
    <row r="36" spans="1:10">
      <c r="B36" s="397"/>
      <c r="C36" s="397"/>
    </row>
  </sheetData>
  <sheetProtection password="EA07" sheet="1" objects="1" scenarios="1" formatRows="0"/>
  <mergeCells count="10">
    <mergeCell ref="C25:D25"/>
    <mergeCell ref="C19:H19"/>
    <mergeCell ref="B9:H9"/>
    <mergeCell ref="B2:C2"/>
    <mergeCell ref="J2:K2"/>
    <mergeCell ref="C4:H4"/>
    <mergeCell ref="C17:H17"/>
    <mergeCell ref="C18:H18"/>
    <mergeCell ref="C5:H5"/>
    <mergeCell ref="C6:H6"/>
  </mergeCells>
  <conditionalFormatting sqref="C17:H17">
    <cfRule type="expression" dxfId="42" priority="3">
      <formula>$C$14="Yes"</formula>
    </cfRule>
  </conditionalFormatting>
  <conditionalFormatting sqref="C18:H18">
    <cfRule type="expression" dxfId="41" priority="2">
      <formula>$F$14="Yes"</formula>
    </cfRule>
  </conditionalFormatting>
  <conditionalFormatting sqref="C19:H19">
    <cfRule type="expression" dxfId="40" priority="1">
      <formula>$I$14="Yes"</formula>
    </cfRule>
  </conditionalFormatting>
  <dataValidations count="4">
    <dataValidation type="list" allowBlank="1" showInputMessage="1" showErrorMessage="1" sqref="C14 I14 F14">
      <formula1>$O$14:$O$15</formula1>
    </dataValidation>
    <dataValidation allowBlank="1" showErrorMessage="1" prompt="Insert your name, title and organisation" sqref="C4:H4"/>
    <dataValidation type="list" allowBlank="1" showInputMessage="1" showErrorMessage="1" sqref="C25:D25">
      <formula1>$O$24:$O$27</formula1>
    </dataValidation>
    <dataValidation type="whole" allowBlank="1" showInputMessage="1" showErrorMessage="1" error="Cell value limited to between 2007 and 2011" sqref="K6">
      <formula1>2007</formula1>
      <formula2>2011</formula2>
    </dataValidation>
  </dataValidation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sheetPr>
    <tabColor rgb="FFFF0000"/>
  </sheetPr>
  <dimension ref="B2:J41"/>
  <sheetViews>
    <sheetView workbookViewId="0">
      <selection activeCell="C15" sqref="C15"/>
    </sheetView>
  </sheetViews>
  <sheetFormatPr defaultColWidth="9.140625" defaultRowHeight="15"/>
  <cols>
    <col min="1" max="1" width="9.140625" style="1" customWidth="1"/>
    <col min="2" max="2" width="25.5703125" style="1" customWidth="1"/>
    <col min="3" max="5" width="13.28515625" style="1" customWidth="1"/>
    <col min="6" max="6" width="7.28515625" style="1" customWidth="1"/>
    <col min="7" max="7" width="21.7109375" style="1" customWidth="1"/>
    <col min="8" max="9" width="14.28515625" style="1" customWidth="1"/>
    <col min="10" max="10" width="16.42578125" style="1" customWidth="1"/>
    <col min="11" max="16384" width="9.140625" style="1"/>
  </cols>
  <sheetData>
    <row r="2" spans="2:9">
      <c r="B2" s="297" t="s">
        <v>389</v>
      </c>
      <c r="C2" s="297"/>
      <c r="D2" s="297"/>
      <c r="E2" s="297"/>
      <c r="F2" s="297"/>
      <c r="G2" s="297"/>
      <c r="H2" s="297"/>
      <c r="I2" s="297"/>
    </row>
    <row r="4" spans="2:9">
      <c r="B4" s="443" t="s">
        <v>47</v>
      </c>
      <c r="C4" s="444" t="s">
        <v>205</v>
      </c>
      <c r="D4" s="444" t="s">
        <v>27</v>
      </c>
    </row>
    <row r="5" spans="2:9">
      <c r="B5" s="435" t="s">
        <v>206</v>
      </c>
      <c r="C5" s="436" t="s">
        <v>175</v>
      </c>
      <c r="D5" s="436" t="s">
        <v>175</v>
      </c>
      <c r="F5" s="523"/>
    </row>
    <row r="6" spans="2:9">
      <c r="B6" s="437" t="s">
        <v>42</v>
      </c>
      <c r="C6" s="438">
        <v>0.95220000000000005</v>
      </c>
      <c r="D6" s="436">
        <v>1.2097</v>
      </c>
    </row>
    <row r="7" spans="2:9">
      <c r="B7" s="437" t="s">
        <v>40</v>
      </c>
      <c r="C7" s="438">
        <v>0</v>
      </c>
      <c r="D7" s="438">
        <v>0</v>
      </c>
    </row>
    <row r="8" spans="2:9">
      <c r="B8" s="437" t="s">
        <v>157</v>
      </c>
      <c r="C8" s="438">
        <v>-1.5819000000000001</v>
      </c>
      <c r="D8" s="436">
        <v>-22.712</v>
      </c>
      <c r="F8" s="519"/>
      <c r="G8" s="520"/>
    </row>
    <row r="9" spans="2:9">
      <c r="B9" s="437" t="s">
        <v>158</v>
      </c>
      <c r="C9" s="438">
        <v>0.30740000000000001</v>
      </c>
      <c r="D9" s="438">
        <v>-7.4291</v>
      </c>
      <c r="F9" s="519"/>
      <c r="G9" s="519"/>
    </row>
    <row r="10" spans="2:9">
      <c r="B10" s="439" t="s">
        <v>25</v>
      </c>
      <c r="C10" s="438">
        <v>0</v>
      </c>
      <c r="D10" s="438">
        <v>0</v>
      </c>
    </row>
    <row r="11" spans="2:9">
      <c r="B11" s="163"/>
      <c r="C11" s="244"/>
      <c r="D11" s="244"/>
    </row>
    <row r="12" spans="2:9">
      <c r="B12" s="297" t="s">
        <v>390</v>
      </c>
      <c r="C12" s="297"/>
      <c r="D12" s="297"/>
      <c r="E12" s="297"/>
      <c r="F12" s="297"/>
      <c r="G12" s="297"/>
      <c r="H12" s="297"/>
      <c r="I12" s="297"/>
    </row>
    <row r="14" spans="2:9" ht="45">
      <c r="B14" s="443" t="s">
        <v>638</v>
      </c>
      <c r="C14" s="444" t="s">
        <v>395</v>
      </c>
      <c r="D14" s="444" t="s">
        <v>396</v>
      </c>
      <c r="E14" s="444" t="s">
        <v>397</v>
      </c>
      <c r="G14" s="443" t="s">
        <v>391</v>
      </c>
      <c r="H14" s="444" t="s">
        <v>205</v>
      </c>
      <c r="I14" s="444" t="s">
        <v>27</v>
      </c>
    </row>
    <row r="15" spans="2:9">
      <c r="B15" s="435" t="s">
        <v>323</v>
      </c>
      <c r="C15" s="440" t="e">
        <f>IF('Station catchment'!$C$5&lt;=Catchments!$C$45,Catchments!$C46,IF('Station catchment'!$C$5&lt;=Catchments!$D$45,Catchments!$D46,Catchments!$E46))</f>
        <v>#N/A</v>
      </c>
      <c r="D15" s="436" t="e">
        <f>-(VLOOKUP('Diversion factors'!$B15,'Diversion (option 1)'!$B$7:$H$12,2,FALSE)/(1-'Diversion (option 1)'!$C$7))*C15</f>
        <v>#N/A</v>
      </c>
      <c r="E15" s="436" t="e">
        <f>D15*(-1/$D$20)</f>
        <v>#N/A</v>
      </c>
      <c r="G15" s="435" t="s">
        <v>323</v>
      </c>
      <c r="H15" s="436">
        <f>-(VLOOKUP('Diversion factors'!$G15,'Diversion (option 1)'!$B$7:$H$12,5,FALSE)/(1-'Diversion (option 1)'!$F$7))</f>
        <v>0</v>
      </c>
      <c r="I15" s="436">
        <f>-(VLOOKUP('Diversion factors'!$G15,'Diversion (option 1)'!$B$7:$H$12,5,FALSE)/(1-'Diversion (option 1)'!$F$7))</f>
        <v>0</v>
      </c>
    </row>
    <row r="16" spans="2:9">
      <c r="B16" s="437" t="s">
        <v>42</v>
      </c>
      <c r="C16" s="441" t="s">
        <v>175</v>
      </c>
      <c r="D16" s="441" t="s">
        <v>175</v>
      </c>
      <c r="E16" s="441" t="s">
        <v>175</v>
      </c>
      <c r="G16" s="437" t="s">
        <v>42</v>
      </c>
      <c r="H16" s="441" t="s">
        <v>175</v>
      </c>
      <c r="I16" s="441" t="s">
        <v>175</v>
      </c>
    </row>
    <row r="17" spans="2:10">
      <c r="B17" s="437" t="s">
        <v>40</v>
      </c>
      <c r="C17" s="440" t="e">
        <f>IF('Station catchment'!$C$5&lt;=Catchments!$C$45,Catchments!$C48,IF('Station catchment'!$C$5&lt;=Catchments!$D$45,Catchments!$D48,Catchments!$E48))</f>
        <v>#N/A</v>
      </c>
      <c r="D17" s="436" t="e">
        <f>-(VLOOKUP('Diversion factors'!$B17,'Diversion (option 1)'!$B$7:$H$12,2,FALSE)/(1-'Diversion (option 1)'!$C$7))*C17</f>
        <v>#N/A</v>
      </c>
      <c r="E17" s="436" t="e">
        <f>D17*(-1/$D$20)</f>
        <v>#N/A</v>
      </c>
      <c r="G17" s="437" t="s">
        <v>40</v>
      </c>
      <c r="H17" s="436">
        <f>-(VLOOKUP('Diversion factors'!$G17,'Diversion (option 1)'!$B$7:$H$12,5,FALSE)/(1-'Diversion (option 1)'!$F$7))</f>
        <v>0</v>
      </c>
      <c r="I17" s="436">
        <f>-(VLOOKUP('Diversion factors'!$G17,'Diversion (option 1)'!$B$7:$H$12,5,FALSE)/(1-'Diversion (option 1)'!$F$7))</f>
        <v>0</v>
      </c>
    </row>
    <row r="18" spans="2:10">
      <c r="B18" s="437" t="s">
        <v>157</v>
      </c>
      <c r="C18" s="440" t="e">
        <f>IF('Station catchment'!$C$5&lt;=Catchments!$C$45,Catchments!$C49,IF('Station catchment'!$C$5&lt;=Catchments!$D$45,Catchments!$D49,Catchments!$E49))</f>
        <v>#N/A</v>
      </c>
      <c r="D18" s="436" t="e">
        <f>-(VLOOKUP('Diversion factors'!$B18,'Diversion (option 1)'!$B$7:$H$12,2,FALSE)/(1-'Diversion (option 1)'!$C$7))*C18</f>
        <v>#N/A</v>
      </c>
      <c r="E18" s="436" t="e">
        <f>D18*(-1/$D$20)</f>
        <v>#N/A</v>
      </c>
      <c r="G18" s="437" t="s">
        <v>157</v>
      </c>
      <c r="H18" s="436">
        <f>-(VLOOKUP('Diversion factors'!$G18,'Diversion (option 1)'!$B$7:$H$12,5,FALSE)/(1-'Diversion (option 1)'!$F$7))</f>
        <v>0</v>
      </c>
      <c r="I18" s="436">
        <f>-(VLOOKUP('Diversion factors'!$G18,'Diversion (option 1)'!$B$7:$H$12,5,FALSE)/(1-'Diversion (option 1)'!$F$7))</f>
        <v>0</v>
      </c>
    </row>
    <row r="19" spans="2:10">
      <c r="B19" s="437" t="s">
        <v>158</v>
      </c>
      <c r="C19" s="440" t="e">
        <f>IF('Station catchment'!$C$5&lt;=Catchments!$C$45,Catchments!$C50,IF('Station catchment'!$C$5&lt;=Catchments!$D$45,Catchments!$D50,Catchments!$E50))</f>
        <v>#N/A</v>
      </c>
      <c r="D19" s="436" t="e">
        <f>-(VLOOKUP('Diversion factors'!$B19,'Diversion (option 1)'!$B$7:$H$12,2,FALSE)/(1-'Diversion (option 1)'!$C$7))*C19</f>
        <v>#N/A</v>
      </c>
      <c r="E19" s="436" t="e">
        <f>D19*(-1/$D$20)</f>
        <v>#N/A</v>
      </c>
      <c r="G19" s="437" t="s">
        <v>158</v>
      </c>
      <c r="H19" s="436">
        <f>-(VLOOKUP('Diversion factors'!$G19,'Diversion (option 1)'!$B$7:$H$12,5,FALSE)/(1-'Diversion (option 1)'!$F$7))</f>
        <v>0</v>
      </c>
      <c r="I19" s="436">
        <f>-(VLOOKUP('Diversion factors'!$G19,'Diversion (option 1)'!$B$7:$H$12,5,FALSE)/(1-'Diversion (option 1)'!$F$7))</f>
        <v>0</v>
      </c>
    </row>
    <row r="20" spans="2:10">
      <c r="B20" s="163"/>
      <c r="D20" s="164" t="e">
        <f>SUM(D15:D19)</f>
        <v>#N/A</v>
      </c>
      <c r="F20" s="163"/>
    </row>
    <row r="21" spans="2:10">
      <c r="B21" s="163"/>
      <c r="C21" s="244"/>
      <c r="D21" s="244"/>
      <c r="F21" s="163"/>
      <c r="J21" s="163"/>
    </row>
    <row r="22" spans="2:10">
      <c r="B22" s="297" t="s">
        <v>392</v>
      </c>
      <c r="C22" s="297"/>
      <c r="D22" s="297"/>
      <c r="E22" s="297"/>
      <c r="F22" s="297"/>
      <c r="G22" s="297"/>
      <c r="H22" s="297"/>
      <c r="I22" s="297"/>
    </row>
    <row r="24" spans="2:10" ht="45">
      <c r="B24" s="443" t="s">
        <v>638</v>
      </c>
      <c r="C24" s="444" t="s">
        <v>395</v>
      </c>
      <c r="D24" s="444" t="s">
        <v>396</v>
      </c>
      <c r="E24" s="444" t="s">
        <v>397</v>
      </c>
      <c r="G24" s="443" t="s">
        <v>391</v>
      </c>
      <c r="H24" s="444" t="s">
        <v>205</v>
      </c>
      <c r="I24" s="444" t="s">
        <v>27</v>
      </c>
    </row>
    <row r="25" spans="2:10">
      <c r="B25" s="435" t="s">
        <v>323</v>
      </c>
      <c r="C25" s="440" t="e">
        <f>IF('Station catchment'!$I$5&lt;=Catchments!$F$45,Catchments!$F46,Catchments!$G46)</f>
        <v>#N/A</v>
      </c>
      <c r="D25" s="436" t="e">
        <f>-(VLOOKUP('Diversion factors'!$B25,'Diversion (option 1)'!$B$7:$H$12,2,FALSE)/(1-'Diversion (option 1)'!$C$8))*C25</f>
        <v>#N/A</v>
      </c>
      <c r="E25" s="436" t="e">
        <f>D25*(-1/$D$30)</f>
        <v>#N/A</v>
      </c>
      <c r="G25" s="435" t="s">
        <v>323</v>
      </c>
      <c r="H25" s="436">
        <v>-0.64</v>
      </c>
      <c r="I25" s="436">
        <v>-0.64</v>
      </c>
    </row>
    <row r="26" spans="2:10">
      <c r="B26" s="437" t="s">
        <v>42</v>
      </c>
      <c r="C26" s="440" t="e">
        <f>IF('Station catchment'!$I$5&lt;=Catchments!$F$45,Catchments!$F47,Catchments!$G47)</f>
        <v>#N/A</v>
      </c>
      <c r="D26" s="436" t="e">
        <f>-(VLOOKUP('Diversion factors'!$B26,'Diversion (option 1)'!$B$7:$H$12,2,FALSE)/(1-'Diversion (option 1)'!$C$8))*C26</f>
        <v>#N/A</v>
      </c>
      <c r="E26" s="436" t="e">
        <f>D26*(-1/$D$30)</f>
        <v>#N/A</v>
      </c>
      <c r="G26" s="437" t="s">
        <v>42</v>
      </c>
      <c r="H26" s="436">
        <v>-0.28999999999999998</v>
      </c>
      <c r="I26" s="436">
        <v>-0.28999999999999998</v>
      </c>
    </row>
    <row r="27" spans="2:10">
      <c r="B27" s="437" t="s">
        <v>40</v>
      </c>
      <c r="C27" s="442" t="s">
        <v>175</v>
      </c>
      <c r="D27" s="441" t="s">
        <v>175</v>
      </c>
      <c r="E27" s="441" t="s">
        <v>175</v>
      </c>
      <c r="G27" s="437" t="s">
        <v>40</v>
      </c>
      <c r="H27" s="441" t="s">
        <v>175</v>
      </c>
      <c r="I27" s="441" t="s">
        <v>175</v>
      </c>
    </row>
    <row r="28" spans="2:10">
      <c r="B28" s="437" t="s">
        <v>157</v>
      </c>
      <c r="C28" s="440" t="e">
        <f>IF('Station catchment'!$I$5&lt;=Catchments!$F$45,Catchments!$F49,Catchments!$G49)</f>
        <v>#N/A</v>
      </c>
      <c r="D28" s="436" t="e">
        <f>-(VLOOKUP('Diversion factors'!$B28,'Diversion (option 1)'!$B$7:$H$12,2,FALSE)/(1-'Diversion (option 1)'!$C$8))*C28</f>
        <v>#N/A</v>
      </c>
      <c r="E28" s="436" t="e">
        <f>D28*(-1/$D$30)</f>
        <v>#N/A</v>
      </c>
      <c r="G28" s="437" t="s">
        <v>157</v>
      </c>
      <c r="H28" s="436">
        <v>0</v>
      </c>
      <c r="I28" s="436">
        <v>0</v>
      </c>
    </row>
    <row r="29" spans="2:10">
      <c r="B29" s="437" t="s">
        <v>158</v>
      </c>
      <c r="C29" s="440" t="e">
        <f>IF('Station catchment'!$I$5&lt;=Catchments!$F$45,Catchments!$F50,Catchments!$G50)</f>
        <v>#N/A</v>
      </c>
      <c r="D29" s="436" t="e">
        <f>-(VLOOKUP('Diversion factors'!$B29,'Diversion (option 1)'!$B$7:$H$12,2,FALSE)/(1-'Diversion (option 1)'!$C$8))*C29</f>
        <v>#N/A</v>
      </c>
      <c r="E29" s="436" t="e">
        <f>D29*(-1/$D$30)</f>
        <v>#N/A</v>
      </c>
      <c r="G29" s="437" t="s">
        <v>158</v>
      </c>
      <c r="H29" s="436">
        <v>-0.03</v>
      </c>
      <c r="I29" s="436">
        <v>-0.03</v>
      </c>
    </row>
    <row r="30" spans="2:10">
      <c r="B30" s="163"/>
      <c r="D30" s="164" t="e">
        <f>SUM(D25:D29)</f>
        <v>#N/A</v>
      </c>
      <c r="F30" s="163"/>
    </row>
    <row r="32" spans="2:10">
      <c r="B32" s="163"/>
      <c r="C32" s="161"/>
    </row>
    <row r="33" spans="2:4">
      <c r="B33" s="163"/>
      <c r="C33" s="161"/>
    </row>
    <row r="34" spans="2:4">
      <c r="B34" s="163"/>
      <c r="C34" s="161"/>
    </row>
    <row r="35" spans="2:4">
      <c r="B35" s="162"/>
      <c r="C35" s="160"/>
      <c r="D35" s="125"/>
    </row>
    <row r="36" spans="2:4">
      <c r="B36" s="125"/>
      <c r="C36" s="125"/>
      <c r="D36" s="125"/>
    </row>
    <row r="37" spans="2:4">
      <c r="B37" s="125"/>
      <c r="C37" s="125"/>
      <c r="D37" s="125"/>
    </row>
    <row r="38" spans="2:4">
      <c r="B38" s="125"/>
      <c r="C38" s="125"/>
      <c r="D38" s="125"/>
    </row>
    <row r="39" spans="2:4">
      <c r="B39" s="125"/>
      <c r="C39" s="125"/>
      <c r="D39" s="125"/>
    </row>
    <row r="41" spans="2:4">
      <c r="B41" s="163"/>
      <c r="C41" s="161"/>
    </row>
  </sheetData>
  <sheetProtection password="EA07" sheet="1" objects="1" scenarios="1"/>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sheetPr>
    <tabColor theme="7"/>
  </sheetPr>
  <dimension ref="A1:P176"/>
  <sheetViews>
    <sheetView workbookViewId="0">
      <selection activeCell="D33" sqref="D33"/>
    </sheetView>
  </sheetViews>
  <sheetFormatPr defaultColWidth="9.140625" defaultRowHeight="15"/>
  <cols>
    <col min="1" max="1" width="10" style="1" customWidth="1"/>
    <col min="2" max="2" width="22.42578125" style="1" customWidth="1"/>
    <col min="3" max="3" width="18.140625" style="1" customWidth="1"/>
    <col min="4" max="4" width="12.85546875" style="1" customWidth="1"/>
    <col min="5" max="11" width="14.5703125" style="1" customWidth="1"/>
    <col min="12" max="15" width="16.140625" style="1" customWidth="1"/>
    <col min="16" max="16" width="14.28515625" style="1" customWidth="1"/>
    <col min="17" max="16384" width="9.140625" style="1"/>
  </cols>
  <sheetData>
    <row r="1" spans="1:16">
      <c r="A1" s="34"/>
    </row>
    <row r="2" spans="1:16">
      <c r="A2" s="34"/>
      <c r="B2" s="101" t="s">
        <v>154</v>
      </c>
      <c r="C2" s="99"/>
      <c r="D2" s="99"/>
      <c r="E2" s="99"/>
      <c r="F2" s="99"/>
      <c r="G2" s="99"/>
      <c r="H2" s="99"/>
      <c r="I2" s="99"/>
      <c r="J2" s="99"/>
      <c r="K2" s="99"/>
      <c r="L2" s="99"/>
      <c r="M2" s="99"/>
      <c r="N2" s="99"/>
      <c r="O2" s="99"/>
      <c r="P2" s="99"/>
    </row>
    <row r="3" spans="1:16">
      <c r="A3" s="34"/>
    </row>
    <row r="4" spans="1:16">
      <c r="A4" s="34"/>
      <c r="B4" s="86" t="s">
        <v>302</v>
      </c>
    </row>
    <row r="5" spans="1:16">
      <c r="A5" s="34"/>
      <c r="C5" s="599" t="s">
        <v>639</v>
      </c>
      <c r="D5" s="600"/>
      <c r="E5" s="601"/>
      <c r="F5" s="599" t="s">
        <v>153</v>
      </c>
      <c r="G5" s="600"/>
      <c r="H5" s="601"/>
      <c r="I5" s="602" t="s">
        <v>11</v>
      </c>
    </row>
    <row r="6" spans="1:16">
      <c r="A6" s="34"/>
      <c r="C6" s="234" t="s">
        <v>151</v>
      </c>
      <c r="D6" s="234" t="s">
        <v>161</v>
      </c>
      <c r="E6" s="234" t="s">
        <v>162</v>
      </c>
      <c r="F6" s="234" t="s">
        <v>151</v>
      </c>
      <c r="G6" s="234" t="s">
        <v>161</v>
      </c>
      <c r="H6" s="234" t="s">
        <v>162</v>
      </c>
      <c r="I6" s="603"/>
    </row>
    <row r="7" spans="1:16">
      <c r="A7" s="34"/>
      <c r="B7" s="140" t="s">
        <v>42</v>
      </c>
      <c r="C7" s="237" t="b">
        <f>'Station parameters'!$C$75</f>
        <v>0</v>
      </c>
      <c r="D7" s="235">
        <f>$C7*SUM('Station parameters'!$C$26:$C$29,'Station parameters'!$D$34:$D$37)</f>
        <v>0</v>
      </c>
      <c r="E7" s="235">
        <f>$C7*((0.5*SUM('Station parameters'!$C$44:$C$47))+(0.5*SUM('Station parameters'!$D$44:$D$47)))</f>
        <v>0</v>
      </c>
      <c r="F7" s="237" t="b">
        <f>'Station parameters'!$D$75</f>
        <v>0</v>
      </c>
      <c r="G7" s="235">
        <f>$F7*SUM('Station parameters'!$C$34:$C$37,'Station parameters'!$D$26:$D$29)</f>
        <v>0</v>
      </c>
      <c r="H7" s="235">
        <f>$F7*((0.5*SUM('Station parameters'!$C$44:$C$47))+(0.5*SUM('Station parameters'!$D$44:$D$47)))</f>
        <v>0</v>
      </c>
      <c r="I7" s="235">
        <f t="shared" ref="I7:I12" si="0">SUM(D7:E7)+SUM(G7:H7)</f>
        <v>0</v>
      </c>
    </row>
    <row r="8" spans="1:16">
      <c r="A8" s="34"/>
      <c r="B8" s="140" t="s">
        <v>40</v>
      </c>
      <c r="C8" s="237" t="b">
        <f>'Station parameters'!$C$76</f>
        <v>0</v>
      </c>
      <c r="D8" s="235">
        <f>$C8*SUM('Station parameters'!$C$26:$C$29,'Station parameters'!$D$34:$D$37)</f>
        <v>0</v>
      </c>
      <c r="E8" s="235">
        <f>$C8*((0.5*SUM('Station parameters'!$C$44:$C$47))+(0.5*SUM('Station parameters'!$D$44:$D$47)))</f>
        <v>0</v>
      </c>
      <c r="F8" s="237" t="b">
        <f>'Station parameters'!$D$76</f>
        <v>0</v>
      </c>
      <c r="G8" s="235">
        <f>$F8*SUM('Station parameters'!$C$34:$C$37,'Station parameters'!$D$26:$D$29)</f>
        <v>0</v>
      </c>
      <c r="H8" s="235">
        <f>$F8*((0.5*SUM('Station parameters'!$C$44:$C$47))+(0.5*SUM('Station parameters'!$D$44:$D$47)))</f>
        <v>0</v>
      </c>
      <c r="I8" s="235">
        <f t="shared" si="0"/>
        <v>0</v>
      </c>
    </row>
    <row r="9" spans="1:16">
      <c r="A9" s="34"/>
      <c r="B9" s="238" t="s">
        <v>323</v>
      </c>
      <c r="C9" s="237">
        <f>'Station parameters'!$C$77</f>
        <v>0</v>
      </c>
      <c r="D9" s="235">
        <f>$C9*SUM('Station parameters'!$C$26:$C$29,'Station parameters'!$D$34:$D$37)</f>
        <v>0</v>
      </c>
      <c r="E9" s="235">
        <f>$C9*((0.5*SUM('Station parameters'!$C$44:$C$47))+(0.5*SUM('Station parameters'!$D$44:$D$47)))</f>
        <v>0</v>
      </c>
      <c r="F9" s="237">
        <f>'Station parameters'!$D$77</f>
        <v>0</v>
      </c>
      <c r="G9" s="235">
        <f>$F9*SUM('Station parameters'!$C$34:$C$37,'Station parameters'!$D$26:$D$29)</f>
        <v>0</v>
      </c>
      <c r="H9" s="235">
        <f>$F9*((0.5*SUM('Station parameters'!$C$44:$C$47))+(0.5*SUM('Station parameters'!$D$44:$D$47)))</f>
        <v>0</v>
      </c>
      <c r="I9" s="235">
        <f t="shared" si="0"/>
        <v>0</v>
      </c>
    </row>
    <row r="10" spans="1:16">
      <c r="A10" s="34"/>
      <c r="B10" s="140" t="s">
        <v>157</v>
      </c>
      <c r="C10" s="237" t="b">
        <f>'Station parameters'!$C$78</f>
        <v>0</v>
      </c>
      <c r="D10" s="235">
        <f>$C10*SUM('Station parameters'!$C$26:$C$29,'Station parameters'!$D$34:$D$37)</f>
        <v>0</v>
      </c>
      <c r="E10" s="235">
        <f>$C10*((0.5*SUM('Station parameters'!$C$44:$C$47))+(0.5*SUM('Station parameters'!$D$44:$D$47)))</f>
        <v>0</v>
      </c>
      <c r="F10" s="237" t="b">
        <f>'Station parameters'!$D$78</f>
        <v>0</v>
      </c>
      <c r="G10" s="235">
        <f>$F10*SUM('Station parameters'!$C$34:$C$37,'Station parameters'!$D$26:$D$29)</f>
        <v>0</v>
      </c>
      <c r="H10" s="235">
        <f>$F10*((0.5*SUM('Station parameters'!$C$44:$C$47))+(0.5*SUM('Station parameters'!$D$44:$D$47)))</f>
        <v>0</v>
      </c>
      <c r="I10" s="235">
        <f t="shared" si="0"/>
        <v>0</v>
      </c>
    </row>
    <row r="11" spans="1:16">
      <c r="A11" s="34"/>
      <c r="B11" s="140" t="s">
        <v>158</v>
      </c>
      <c r="C11" s="237" t="b">
        <f>'Station parameters'!$C$79</f>
        <v>0</v>
      </c>
      <c r="D11" s="235">
        <f>$C11*SUM('Station parameters'!$C$26:$C$29,'Station parameters'!$D$34:$D$37)</f>
        <v>0</v>
      </c>
      <c r="E11" s="235">
        <f>$C11*((0.5*SUM('Station parameters'!$C$44:$C$47))+(0.5*SUM('Station parameters'!$D$44:$D$47)))</f>
        <v>0</v>
      </c>
      <c r="F11" s="237" t="b">
        <f>'Station parameters'!$D$79</f>
        <v>0</v>
      </c>
      <c r="G11" s="235">
        <f>$F11*SUM('Station parameters'!$C$34:$C$37,'Station parameters'!$D$26:$D$29)</f>
        <v>0</v>
      </c>
      <c r="H11" s="235">
        <f>$F11*((0.5*SUM('Station parameters'!$C$44:$C$47))+(0.5*SUM('Station parameters'!$D$44:$D$47)))</f>
        <v>0</v>
      </c>
      <c r="I11" s="235">
        <f t="shared" si="0"/>
        <v>0</v>
      </c>
    </row>
    <row r="12" spans="1:16">
      <c r="A12" s="34"/>
      <c r="B12" s="140" t="s">
        <v>25</v>
      </c>
      <c r="C12" s="237" t="b">
        <f>'Station parameters'!$C$80</f>
        <v>0</v>
      </c>
      <c r="D12" s="235">
        <f>$C12*SUM('Station parameters'!$C$26:$C$29,'Station parameters'!$D$34:$D$37)</f>
        <v>0</v>
      </c>
      <c r="E12" s="235">
        <f>$C12*((0.5*SUM('Station parameters'!$C$44:$C$47))+(0.5*SUM('Station parameters'!$D$44:$D$47)))</f>
        <v>0</v>
      </c>
      <c r="F12" s="237" t="b">
        <f>'Station parameters'!$D$80</f>
        <v>0</v>
      </c>
      <c r="G12" s="235">
        <f>$F12*SUM('Station parameters'!$C$34:$C$37,'Station parameters'!$D$26:$D$29)</f>
        <v>0</v>
      </c>
      <c r="H12" s="235">
        <f>$F12*((0.5*SUM('Station parameters'!$C$44:$C$47))+(0.5*SUM('Station parameters'!$D$44:$D$47)))</f>
        <v>0</v>
      </c>
      <c r="I12" s="235">
        <f t="shared" si="0"/>
        <v>0</v>
      </c>
    </row>
    <row r="13" spans="1:16">
      <c r="A13" s="34"/>
      <c r="D13" s="242">
        <f>SUM(D7:E12)</f>
        <v>0</v>
      </c>
      <c r="G13" s="242">
        <f>SUM(G7:H12)</f>
        <v>0</v>
      </c>
      <c r="H13" s="119"/>
      <c r="I13" s="119"/>
    </row>
    <row r="14" spans="1:16">
      <c r="A14" s="34"/>
      <c r="B14" s="108"/>
      <c r="C14" s="118"/>
      <c r="D14" s="119"/>
      <c r="E14" s="119"/>
      <c r="F14" s="118"/>
      <c r="G14" s="120"/>
      <c r="H14" s="119"/>
    </row>
    <row r="15" spans="1:16">
      <c r="A15" s="34"/>
      <c r="B15" s="86" t="s">
        <v>165</v>
      </c>
      <c r="C15" s="118"/>
      <c r="D15" s="240" t="s">
        <v>167</v>
      </c>
      <c r="E15" s="239" t="e">
        <f>'Station catchment'!$C$5</f>
        <v>#N/A</v>
      </c>
      <c r="F15" s="127" t="s">
        <v>168</v>
      </c>
      <c r="G15" s="241" t="s">
        <v>169</v>
      </c>
      <c r="H15" s="239">
        <f>'Station catchment'!$C$14</f>
        <v>0</v>
      </c>
      <c r="J15" s="241" t="s">
        <v>170</v>
      </c>
      <c r="K15" s="288">
        <f>'Station catchment'!$C$15</f>
        <v>0</v>
      </c>
    </row>
    <row r="16" spans="1:16">
      <c r="A16" s="34"/>
      <c r="B16" s="108"/>
      <c r="C16" s="118"/>
      <c r="D16" s="119"/>
      <c r="E16" s="119"/>
      <c r="F16" s="118"/>
      <c r="G16" s="120"/>
      <c r="H16" s="119"/>
    </row>
    <row r="17" spans="1:16">
      <c r="A17" s="34"/>
      <c r="B17" s="253"/>
      <c r="C17" s="596" t="s">
        <v>47</v>
      </c>
      <c r="D17" s="597"/>
      <c r="E17" s="597"/>
      <c r="F17" s="598"/>
      <c r="H17" s="596" t="s">
        <v>639</v>
      </c>
      <c r="I17" s="597"/>
      <c r="J17" s="597"/>
      <c r="K17" s="598"/>
      <c r="M17" s="596" t="s">
        <v>153</v>
      </c>
      <c r="N17" s="597"/>
      <c r="O17" s="597"/>
      <c r="P17" s="598"/>
    </row>
    <row r="18" spans="1:16" ht="30">
      <c r="A18" s="34"/>
      <c r="B18" s="258" t="s">
        <v>47</v>
      </c>
      <c r="C18" s="258" t="s">
        <v>159</v>
      </c>
      <c r="D18" s="258" t="s">
        <v>200</v>
      </c>
      <c r="E18" s="258" t="s">
        <v>363</v>
      </c>
      <c r="F18" s="258" t="s">
        <v>201</v>
      </c>
      <c r="G18" s="258" t="s">
        <v>93</v>
      </c>
      <c r="H18" s="258" t="s">
        <v>159</v>
      </c>
      <c r="I18" s="258" t="s">
        <v>200</v>
      </c>
      <c r="J18" s="258" t="s">
        <v>363</v>
      </c>
      <c r="K18" s="258" t="s">
        <v>202</v>
      </c>
      <c r="L18" s="258" t="s">
        <v>93</v>
      </c>
      <c r="M18" s="258" t="s">
        <v>152</v>
      </c>
      <c r="N18" s="258" t="s">
        <v>200</v>
      </c>
      <c r="O18" s="258" t="s">
        <v>363</v>
      </c>
      <c r="P18" s="258" t="s">
        <v>203</v>
      </c>
    </row>
    <row r="19" spans="1:16">
      <c r="A19" s="34"/>
      <c r="B19" s="259" t="s">
        <v>206</v>
      </c>
      <c r="C19" s="257" t="e">
        <f>(D13*0.75)/H15</f>
        <v>#DIV/0!</v>
      </c>
      <c r="D19" s="166" t="e">
        <f>C19*$H$15</f>
        <v>#DIV/0!</v>
      </c>
      <c r="E19" s="256" t="e">
        <f>VLOOKUP('Station parameters'!$C$8,Catchments!$B$56:$N$61,8,FALSE)</f>
        <v>#N/A</v>
      </c>
      <c r="F19" s="166" t="e">
        <f>D19*E19</f>
        <v>#DIV/0!</v>
      </c>
      <c r="G19" s="268" t="s">
        <v>323</v>
      </c>
      <c r="H19" s="261" t="e">
        <f>(SUM(D9:E9)*0.75)/H$15</f>
        <v>#DIV/0!</v>
      </c>
      <c r="I19" s="262" t="e">
        <f>$H19*$H$15</f>
        <v>#DIV/0!</v>
      </c>
      <c r="J19" s="124"/>
      <c r="K19" s="260"/>
      <c r="L19" s="268" t="s">
        <v>323</v>
      </c>
      <c r="M19" s="261" t="e">
        <f>(SUM(G9:H9)*0.75)/K$15</f>
        <v>#DIV/0!</v>
      </c>
      <c r="N19" s="262" t="e">
        <f>$M19*$K$15</f>
        <v>#DIV/0!</v>
      </c>
      <c r="O19" s="104"/>
      <c r="P19" s="104"/>
    </row>
    <row r="20" spans="1:16">
      <c r="A20" s="34"/>
      <c r="B20" s="259" t="s">
        <v>42</v>
      </c>
      <c r="C20" s="256" t="e">
        <f>VLOOKUP('Station parameters'!$C$8,Catchments!$B$56:$N$61,3,FALSE)</f>
        <v>#N/A</v>
      </c>
      <c r="D20" s="166" t="e">
        <f t="shared" ref="D20:D24" si="1">C20*$H$15</f>
        <v>#N/A</v>
      </c>
      <c r="E20" s="256" t="e">
        <f>VLOOKUP('Station parameters'!$C$8,Catchments!$B$56:$N$61,9,FALSE)</f>
        <v>#N/A</v>
      </c>
      <c r="F20" s="166" t="e">
        <f t="shared" ref="F20:F24" si="2">D20*E20</f>
        <v>#N/A</v>
      </c>
      <c r="G20" s="259" t="s">
        <v>42</v>
      </c>
      <c r="H20" s="261" t="e">
        <f>(SUM(D7:E7)*0.75)/H$15</f>
        <v>#DIV/0!</v>
      </c>
      <c r="I20" s="262" t="e">
        <f>$H20*$H$15</f>
        <v>#DIV/0!</v>
      </c>
      <c r="J20" s="256" t="e">
        <f>VLOOKUP('Station parameters'!$C$8,Catchments!$B$67:$G$72,2,FALSE)</f>
        <v>#N/A</v>
      </c>
      <c r="K20" s="166" t="e">
        <f>I20*J20</f>
        <v>#DIV/0!</v>
      </c>
      <c r="L20" s="259" t="s">
        <v>42</v>
      </c>
      <c r="M20" s="261" t="e">
        <f>(SUM(G7:H7)*0.75)/K$15</f>
        <v>#DIV/0!</v>
      </c>
      <c r="N20" s="262" t="e">
        <f>$M20*$K$15</f>
        <v>#DIV/0!</v>
      </c>
      <c r="O20" s="256" t="e">
        <f>VLOOKUP('Station parameters'!$C$8,Catchments!$B$67:$L$72,7,FALSE)</f>
        <v>#N/A</v>
      </c>
      <c r="P20" s="166" t="e">
        <f>N20*O20</f>
        <v>#DIV/0!</v>
      </c>
    </row>
    <row r="21" spans="1:16">
      <c r="A21" s="34"/>
      <c r="B21" s="259" t="s">
        <v>40</v>
      </c>
      <c r="C21" s="256" t="e">
        <f>VLOOKUP('Station parameters'!$C$8,Catchments!$B$56:$N$61,4,FALSE)</f>
        <v>#N/A</v>
      </c>
      <c r="D21" s="166" t="e">
        <f t="shared" si="1"/>
        <v>#N/A</v>
      </c>
      <c r="E21" s="256" t="e">
        <f>VLOOKUP('Station parameters'!$C$8,Catchments!$B$56:$N$61,10,FALSE)</f>
        <v>#N/A</v>
      </c>
      <c r="F21" s="166" t="e">
        <f t="shared" si="2"/>
        <v>#N/A</v>
      </c>
      <c r="G21" s="259" t="s">
        <v>40</v>
      </c>
      <c r="H21" s="261" t="e">
        <f>(SUM(D8:E8)*0.75)/H$15</f>
        <v>#DIV/0!</v>
      </c>
      <c r="I21" s="262" t="e">
        <f>$H21*$H$15</f>
        <v>#DIV/0!</v>
      </c>
      <c r="J21" s="256" t="e">
        <f>VLOOKUP('Station parameters'!$C$8,Catchments!$B$67:$G$72,3,FALSE)</f>
        <v>#N/A</v>
      </c>
      <c r="K21" s="166" t="e">
        <f t="shared" ref="K21:K24" si="3">I21*J21</f>
        <v>#DIV/0!</v>
      </c>
      <c r="L21" s="259" t="s">
        <v>40</v>
      </c>
      <c r="M21" s="261" t="e">
        <f t="shared" ref="M21" si="4">(SUM(G8:H8)*0.75)/K$15</f>
        <v>#DIV/0!</v>
      </c>
      <c r="N21" s="262" t="e">
        <f t="shared" ref="N21:N24" si="5">$M21*$K$15</f>
        <v>#DIV/0!</v>
      </c>
      <c r="O21" s="256" t="e">
        <f>VLOOKUP('Station parameters'!$C$8,Catchments!$B$67:$L$72,8,FALSE)</f>
        <v>#N/A</v>
      </c>
      <c r="P21" s="166" t="e">
        <f t="shared" ref="P21:P24" si="6">N21*O21</f>
        <v>#DIV/0!</v>
      </c>
    </row>
    <row r="22" spans="1:16">
      <c r="A22" s="34"/>
      <c r="B22" s="259" t="s">
        <v>157</v>
      </c>
      <c r="C22" s="256" t="e">
        <f>VLOOKUP('Station parameters'!$C$8,Catchments!$B$56:$N$61,5,FALSE)</f>
        <v>#N/A</v>
      </c>
      <c r="D22" s="166" t="e">
        <f t="shared" si="1"/>
        <v>#N/A</v>
      </c>
      <c r="E22" s="256" t="e">
        <f>VLOOKUP('Station parameters'!$C$8,Catchments!$B$56:$N$61,11,FALSE)</f>
        <v>#N/A</v>
      </c>
      <c r="F22" s="166" t="e">
        <f t="shared" si="2"/>
        <v>#N/A</v>
      </c>
      <c r="G22" s="259" t="s">
        <v>157</v>
      </c>
      <c r="H22" s="261" t="e">
        <f>(SUM(D10:E10)*0.75)/H$15</f>
        <v>#DIV/0!</v>
      </c>
      <c r="I22" s="262" t="e">
        <f t="shared" ref="I22:I24" si="7">$H22*$H$15</f>
        <v>#DIV/0!</v>
      </c>
      <c r="J22" s="256" t="e">
        <f>VLOOKUP('Station parameters'!$C$8,Catchments!$B$67:$G$72,4,FALSE)</f>
        <v>#N/A</v>
      </c>
      <c r="K22" s="166" t="e">
        <f t="shared" si="3"/>
        <v>#DIV/0!</v>
      </c>
      <c r="L22" s="259" t="s">
        <v>157</v>
      </c>
      <c r="M22" s="261" t="e">
        <f>(SUM(G10:H10)*0.75)/K$15</f>
        <v>#DIV/0!</v>
      </c>
      <c r="N22" s="262" t="e">
        <f t="shared" si="5"/>
        <v>#DIV/0!</v>
      </c>
      <c r="O22" s="256" t="e">
        <f>VLOOKUP('Station parameters'!$C$8,Catchments!$B$67:$L$72,9,FALSE)</f>
        <v>#N/A</v>
      </c>
      <c r="P22" s="166" t="e">
        <f t="shared" si="6"/>
        <v>#DIV/0!</v>
      </c>
    </row>
    <row r="23" spans="1:16">
      <c r="A23" s="34"/>
      <c r="B23" s="259" t="s">
        <v>158</v>
      </c>
      <c r="C23" s="256" t="e">
        <f>VLOOKUP('Station parameters'!$C$8,Catchments!$B$56:$N$61,6,FALSE)</f>
        <v>#N/A</v>
      </c>
      <c r="D23" s="166" t="e">
        <f t="shared" si="1"/>
        <v>#N/A</v>
      </c>
      <c r="E23" s="256" t="e">
        <f>VLOOKUP('Station parameters'!$C$8,Catchments!$B$56:$N$61,12,FALSE)</f>
        <v>#N/A</v>
      </c>
      <c r="F23" s="166" t="e">
        <f t="shared" si="2"/>
        <v>#N/A</v>
      </c>
      <c r="G23" s="259" t="s">
        <v>158</v>
      </c>
      <c r="H23" s="261" t="e">
        <f t="shared" ref="H23:H24" si="8">(SUM(D11:E11)*0.75)/H$15</f>
        <v>#DIV/0!</v>
      </c>
      <c r="I23" s="262" t="e">
        <f t="shared" si="7"/>
        <v>#DIV/0!</v>
      </c>
      <c r="J23" s="256" t="e">
        <f>VLOOKUP('Station parameters'!$C$8,Catchments!$B$67:$G$72,5,FALSE)</f>
        <v>#N/A</v>
      </c>
      <c r="K23" s="166" t="e">
        <f t="shared" si="3"/>
        <v>#DIV/0!</v>
      </c>
      <c r="L23" s="259" t="s">
        <v>158</v>
      </c>
      <c r="M23" s="261" t="e">
        <f t="shared" ref="M23:M24" si="9">(SUM(G11:H11)*0.75)/K$15</f>
        <v>#DIV/0!</v>
      </c>
      <c r="N23" s="262" t="e">
        <f t="shared" si="5"/>
        <v>#DIV/0!</v>
      </c>
      <c r="O23" s="256" t="e">
        <f>VLOOKUP('Station parameters'!$C$8,Catchments!$B$67:$L$72,10,FALSE)</f>
        <v>#N/A</v>
      </c>
      <c r="P23" s="166" t="e">
        <f t="shared" si="6"/>
        <v>#DIV/0!</v>
      </c>
    </row>
    <row r="24" spans="1:16">
      <c r="A24" s="34"/>
      <c r="B24" s="259" t="s">
        <v>25</v>
      </c>
      <c r="C24" s="256" t="e">
        <f>VLOOKUP('Station parameters'!$C$8,Catchments!$B$56:$N$61,7,FALSE)</f>
        <v>#N/A</v>
      </c>
      <c r="D24" s="166" t="e">
        <f t="shared" si="1"/>
        <v>#N/A</v>
      </c>
      <c r="E24" s="256" t="e">
        <f>VLOOKUP('Station parameters'!$C$8,Catchments!$B$56:$N$61,13,FALSE)</f>
        <v>#N/A</v>
      </c>
      <c r="F24" s="166" t="e">
        <f t="shared" si="2"/>
        <v>#N/A</v>
      </c>
      <c r="G24" s="259" t="s">
        <v>25</v>
      </c>
      <c r="H24" s="261" t="e">
        <f t="shared" si="8"/>
        <v>#DIV/0!</v>
      </c>
      <c r="I24" s="262" t="e">
        <f t="shared" si="7"/>
        <v>#DIV/0!</v>
      </c>
      <c r="J24" s="256" t="e">
        <f>VLOOKUP('Station parameters'!$C$8,Catchments!$B$67:$G$72,6,FALSE)</f>
        <v>#N/A</v>
      </c>
      <c r="K24" s="166" t="e">
        <f t="shared" si="3"/>
        <v>#DIV/0!</v>
      </c>
      <c r="L24" s="259" t="s">
        <v>25</v>
      </c>
      <c r="M24" s="261" t="e">
        <f t="shared" si="9"/>
        <v>#DIV/0!</v>
      </c>
      <c r="N24" s="262" t="e">
        <f t="shared" si="5"/>
        <v>#DIV/0!</v>
      </c>
      <c r="O24" s="256" t="e">
        <f>VLOOKUP('Station parameters'!$C$8,Catchments!$B$67:$L$72,11,FALSE)</f>
        <v>#N/A</v>
      </c>
      <c r="P24" s="166" t="e">
        <f t="shared" si="6"/>
        <v>#DIV/0!</v>
      </c>
    </row>
    <row r="25" spans="1:16">
      <c r="A25" s="34"/>
      <c r="B25" s="112"/>
      <c r="C25" s="125"/>
      <c r="D25" s="112"/>
      <c r="E25" s="126"/>
      <c r="F25" s="126"/>
      <c r="G25" s="108"/>
      <c r="H25" s="15"/>
      <c r="I25" s="15"/>
      <c r="J25" s="15"/>
      <c r="K25" s="123"/>
      <c r="L25" s="123"/>
      <c r="M25" s="15"/>
    </row>
    <row r="26" spans="1:16">
      <c r="B26" s="86" t="s">
        <v>166</v>
      </c>
      <c r="C26" s="118"/>
      <c r="D26" s="240" t="s">
        <v>167</v>
      </c>
      <c r="E26" s="239" t="e">
        <f>'Station catchment'!$I$5</f>
        <v>#N/A</v>
      </c>
      <c r="F26" s="127" t="s">
        <v>168</v>
      </c>
      <c r="G26" s="241" t="s">
        <v>169</v>
      </c>
      <c r="H26" s="239">
        <f>'Station catchment'!$I$14</f>
        <v>0</v>
      </c>
      <c r="J26" s="241" t="s">
        <v>170</v>
      </c>
      <c r="K26" s="288">
        <f>'Station catchment'!$I$15</f>
        <v>0</v>
      </c>
    </row>
    <row r="27" spans="1:16">
      <c r="A27" s="34"/>
    </row>
    <row r="28" spans="1:16">
      <c r="A28" s="34"/>
      <c r="B28" s="253"/>
      <c r="C28" s="596" t="s">
        <v>47</v>
      </c>
      <c r="D28" s="597"/>
      <c r="E28" s="597"/>
      <c r="F28" s="598"/>
      <c r="H28" s="596" t="s">
        <v>639</v>
      </c>
      <c r="I28" s="597"/>
      <c r="J28" s="597"/>
      <c r="K28" s="598"/>
      <c r="M28" s="596" t="s">
        <v>153</v>
      </c>
      <c r="N28" s="597"/>
      <c r="O28" s="597"/>
      <c r="P28" s="598"/>
    </row>
    <row r="29" spans="1:16" ht="30">
      <c r="A29" s="34"/>
      <c r="B29" s="258" t="s">
        <v>47</v>
      </c>
      <c r="C29" s="258" t="s">
        <v>159</v>
      </c>
      <c r="D29" s="258" t="s">
        <v>200</v>
      </c>
      <c r="E29" s="258" t="s">
        <v>363</v>
      </c>
      <c r="F29" s="258" t="s">
        <v>201</v>
      </c>
      <c r="G29" s="258" t="s">
        <v>93</v>
      </c>
      <c r="H29" s="258" t="s">
        <v>159</v>
      </c>
      <c r="I29" s="258" t="s">
        <v>200</v>
      </c>
      <c r="J29" s="258" t="s">
        <v>363</v>
      </c>
      <c r="K29" s="258" t="s">
        <v>202</v>
      </c>
      <c r="L29" s="258" t="s">
        <v>93</v>
      </c>
      <c r="M29" s="258" t="s">
        <v>152</v>
      </c>
      <c r="N29" s="258" t="s">
        <v>200</v>
      </c>
      <c r="O29" s="258" t="s">
        <v>363</v>
      </c>
      <c r="P29" s="258" t="s">
        <v>203</v>
      </c>
    </row>
    <row r="30" spans="1:16">
      <c r="A30" s="34"/>
      <c r="B30" s="259" t="s">
        <v>206</v>
      </c>
      <c r="C30" s="257" t="e">
        <f>(D13*0.75)/H26</f>
        <v>#DIV/0!</v>
      </c>
      <c r="D30" s="166" t="e">
        <f>C30*$H$26</f>
        <v>#DIV/0!</v>
      </c>
      <c r="E30" s="256" t="e">
        <f>VLOOKUP('Station parameters'!$C$8,Catchments!$B$56:$N$61,8,FALSE)</f>
        <v>#N/A</v>
      </c>
      <c r="F30" s="166" t="e">
        <f t="shared" ref="F30:F35" si="10">D30*E30</f>
        <v>#DIV/0!</v>
      </c>
      <c r="G30" s="268" t="s">
        <v>323</v>
      </c>
      <c r="H30" s="261" t="e">
        <f>(SUM(D9:E9)*0.75)/H$26</f>
        <v>#DIV/0!</v>
      </c>
      <c r="I30" s="262" t="e">
        <f>$H30*$H$26</f>
        <v>#DIV/0!</v>
      </c>
      <c r="J30" s="260"/>
      <c r="K30" s="260"/>
      <c r="L30" s="268" t="s">
        <v>323</v>
      </c>
      <c r="M30" s="261" t="e">
        <f>(SUM(G9:H9)*0.75)/K$26</f>
        <v>#DIV/0!</v>
      </c>
      <c r="N30" s="262" t="e">
        <f>$M30*$K$26</f>
        <v>#DIV/0!</v>
      </c>
      <c r="O30" s="104"/>
      <c r="P30" s="104"/>
    </row>
    <row r="31" spans="1:16">
      <c r="A31" s="34"/>
      <c r="B31" s="259" t="s">
        <v>42</v>
      </c>
      <c r="C31" s="256" t="e">
        <f>VLOOKUP('Station parameters'!$C$8,Catchments!$B$56:$N$61,3,FALSE)</f>
        <v>#N/A</v>
      </c>
      <c r="D31" s="166" t="e">
        <f t="shared" ref="D31:D35" si="11">C31*$H$26</f>
        <v>#N/A</v>
      </c>
      <c r="E31" s="256" t="e">
        <f>VLOOKUP('Station parameters'!$C$8,Catchments!$B$56:$N$61,9,FALSE)</f>
        <v>#N/A</v>
      </c>
      <c r="F31" s="166" t="e">
        <f t="shared" si="10"/>
        <v>#N/A</v>
      </c>
      <c r="G31" s="259" t="s">
        <v>42</v>
      </c>
      <c r="H31" s="261" t="e">
        <f>(SUM(D7:E7)*0.75)/H$26</f>
        <v>#DIV/0!</v>
      </c>
      <c r="I31" s="262" t="e">
        <f>$H31*$H$26</f>
        <v>#DIV/0!</v>
      </c>
      <c r="J31" s="256" t="e">
        <f>VLOOKUP('Station parameters'!$C$8,Catchments!$B$67:$G$72,2,FALSE)</f>
        <v>#N/A</v>
      </c>
      <c r="K31" s="166" t="e">
        <f>I31*J31</f>
        <v>#DIV/0!</v>
      </c>
      <c r="L31" s="259" t="s">
        <v>42</v>
      </c>
      <c r="M31" s="261" t="e">
        <f>(SUM(G7:H7)*0.75)/K$15</f>
        <v>#DIV/0!</v>
      </c>
      <c r="N31" s="262" t="e">
        <f>$M31*$H$15</f>
        <v>#DIV/0!</v>
      </c>
      <c r="O31" s="256" t="e">
        <f>VLOOKUP('Station parameters'!$C$8,Catchments!$B$67:$L$72,7,FALSE)</f>
        <v>#N/A</v>
      </c>
      <c r="P31" s="166" t="e">
        <f>N31*O31</f>
        <v>#DIV/0!</v>
      </c>
    </row>
    <row r="32" spans="1:16">
      <c r="A32" s="34"/>
      <c r="B32" s="259" t="s">
        <v>40</v>
      </c>
      <c r="C32" s="256" t="e">
        <f>VLOOKUP('Station parameters'!$C$8,Catchments!$B$56:$N$61,4,FALSE)</f>
        <v>#N/A</v>
      </c>
      <c r="D32" s="166" t="e">
        <f t="shared" si="11"/>
        <v>#N/A</v>
      </c>
      <c r="E32" s="256" t="e">
        <f>VLOOKUP('Station parameters'!$C$8,Catchments!$B$56:$N$61,10,FALSE)</f>
        <v>#N/A</v>
      </c>
      <c r="F32" s="166" t="e">
        <f t="shared" si="10"/>
        <v>#N/A</v>
      </c>
      <c r="G32" s="259" t="s">
        <v>40</v>
      </c>
      <c r="H32" s="261" t="e">
        <f t="shared" ref="H32" si="12">(SUM(D8:E8)*0.75)/H$26</f>
        <v>#DIV/0!</v>
      </c>
      <c r="I32" s="262" t="e">
        <f t="shared" ref="I32:I35" si="13">$H32*$H$26</f>
        <v>#DIV/0!</v>
      </c>
      <c r="J32" s="256" t="e">
        <f>VLOOKUP('Station parameters'!$C$8,Catchments!$B$67:$G$72,3,FALSE)</f>
        <v>#N/A</v>
      </c>
      <c r="K32" s="166" t="e">
        <f t="shared" ref="K32:K35" si="14">I32*J32</f>
        <v>#DIV/0!</v>
      </c>
      <c r="L32" s="259" t="s">
        <v>40</v>
      </c>
      <c r="M32" s="261" t="e">
        <f t="shared" ref="M32" si="15">(SUM(G8:H8)*0.75)/K$15</f>
        <v>#DIV/0!</v>
      </c>
      <c r="N32" s="262" t="e">
        <f>$M32*$H$15</f>
        <v>#DIV/0!</v>
      </c>
      <c r="O32" s="256" t="e">
        <f>VLOOKUP('Station parameters'!$C$8,Catchments!$B$67:$L$72,8,FALSE)</f>
        <v>#N/A</v>
      </c>
      <c r="P32" s="166" t="e">
        <f t="shared" ref="P32:P35" si="16">N32*O32</f>
        <v>#DIV/0!</v>
      </c>
    </row>
    <row r="33" spans="1:16">
      <c r="A33" s="34"/>
      <c r="B33" s="259" t="s">
        <v>157</v>
      </c>
      <c r="C33" s="256" t="e">
        <f>VLOOKUP('Station parameters'!$C$8,Catchments!$B$56:$N$61,5,FALSE)</f>
        <v>#N/A</v>
      </c>
      <c r="D33" s="166" t="e">
        <f>C33*$H$26</f>
        <v>#N/A</v>
      </c>
      <c r="E33" s="256" t="e">
        <f>VLOOKUP('Station parameters'!$C$8,Catchments!$B$56:$N$61,11,FALSE)</f>
        <v>#N/A</v>
      </c>
      <c r="F33" s="166" t="e">
        <f t="shared" si="10"/>
        <v>#N/A</v>
      </c>
      <c r="G33" s="259" t="s">
        <v>157</v>
      </c>
      <c r="H33" s="261" t="e">
        <f>(SUM(D10:E10)*0.75)/H$26</f>
        <v>#DIV/0!</v>
      </c>
      <c r="I33" s="262" t="e">
        <f t="shared" si="13"/>
        <v>#DIV/0!</v>
      </c>
      <c r="J33" s="256" t="e">
        <f>VLOOKUP('Station parameters'!$C$8,Catchments!$B$67:$G$72,4,FALSE)</f>
        <v>#N/A</v>
      </c>
      <c r="K33" s="166" t="e">
        <f t="shared" si="14"/>
        <v>#DIV/0!</v>
      </c>
      <c r="L33" s="259" t="s">
        <v>157</v>
      </c>
      <c r="M33" s="261" t="e">
        <f>(SUM(G10:H10)*0.75)/K$15</f>
        <v>#DIV/0!</v>
      </c>
      <c r="N33" s="262" t="e">
        <f>$M33*$H$15</f>
        <v>#DIV/0!</v>
      </c>
      <c r="O33" s="256" t="e">
        <f>VLOOKUP('Station parameters'!$C$8,Catchments!$B$67:$L$72,9,FALSE)</f>
        <v>#N/A</v>
      </c>
      <c r="P33" s="166" t="e">
        <f t="shared" si="16"/>
        <v>#DIV/0!</v>
      </c>
    </row>
    <row r="34" spans="1:16">
      <c r="A34" s="34"/>
      <c r="B34" s="259" t="s">
        <v>158</v>
      </c>
      <c r="C34" s="256" t="e">
        <f>VLOOKUP('Station parameters'!$C$8,Catchments!$B$56:$N$61,6,FALSE)</f>
        <v>#N/A</v>
      </c>
      <c r="D34" s="166" t="e">
        <f t="shared" si="11"/>
        <v>#N/A</v>
      </c>
      <c r="E34" s="256" t="e">
        <f>VLOOKUP('Station parameters'!$C$8,Catchments!$B$56:$N$61,12,FALSE)</f>
        <v>#N/A</v>
      </c>
      <c r="F34" s="166" t="e">
        <f t="shared" si="10"/>
        <v>#N/A</v>
      </c>
      <c r="G34" s="259" t="s">
        <v>158</v>
      </c>
      <c r="H34" s="261" t="e">
        <f>(SUM(D11:E11)*0.75)/H$26</f>
        <v>#DIV/0!</v>
      </c>
      <c r="I34" s="262" t="e">
        <f t="shared" si="13"/>
        <v>#DIV/0!</v>
      </c>
      <c r="J34" s="256" t="e">
        <f>VLOOKUP('Station parameters'!$C$8,Catchments!$B$67:$G$72,5,FALSE)</f>
        <v>#N/A</v>
      </c>
      <c r="K34" s="166" t="e">
        <f t="shared" si="14"/>
        <v>#DIV/0!</v>
      </c>
      <c r="L34" s="259" t="s">
        <v>158</v>
      </c>
      <c r="M34" s="261" t="e">
        <f t="shared" ref="M34:M35" si="17">(SUM(G11:H11)*0.75)/K$15</f>
        <v>#DIV/0!</v>
      </c>
      <c r="N34" s="262" t="e">
        <f>$M34*$H$15</f>
        <v>#DIV/0!</v>
      </c>
      <c r="O34" s="256" t="e">
        <f>VLOOKUP('Station parameters'!$C$8,Catchments!$B$67:$L$72,10,FALSE)</f>
        <v>#N/A</v>
      </c>
      <c r="P34" s="166" t="e">
        <f t="shared" si="16"/>
        <v>#DIV/0!</v>
      </c>
    </row>
    <row r="35" spans="1:16">
      <c r="A35" s="34"/>
      <c r="B35" s="259" t="s">
        <v>25</v>
      </c>
      <c r="C35" s="256" t="e">
        <f>VLOOKUP('Station parameters'!$C$8,Catchments!$B$56:$N$61,7,FALSE)</f>
        <v>#N/A</v>
      </c>
      <c r="D35" s="166" t="e">
        <f t="shared" si="11"/>
        <v>#N/A</v>
      </c>
      <c r="E35" s="256" t="e">
        <f>VLOOKUP('Station parameters'!$C$8,Catchments!$B$56:$N$61,13,FALSE)</f>
        <v>#N/A</v>
      </c>
      <c r="F35" s="166" t="e">
        <f t="shared" si="10"/>
        <v>#N/A</v>
      </c>
      <c r="G35" s="259" t="s">
        <v>25</v>
      </c>
      <c r="H35" s="261" t="e">
        <f t="shared" ref="H35" si="18">(SUM(D12:E12)*0.75)/H$26</f>
        <v>#DIV/0!</v>
      </c>
      <c r="I35" s="262" t="e">
        <f t="shared" si="13"/>
        <v>#DIV/0!</v>
      </c>
      <c r="J35" s="256" t="e">
        <f>VLOOKUP('Station parameters'!$C$8,Catchments!$B$67:$G$72,6,FALSE)</f>
        <v>#N/A</v>
      </c>
      <c r="K35" s="166" t="e">
        <f t="shared" si="14"/>
        <v>#DIV/0!</v>
      </c>
      <c r="L35" s="259" t="s">
        <v>25</v>
      </c>
      <c r="M35" s="261" t="e">
        <f t="shared" si="17"/>
        <v>#DIV/0!</v>
      </c>
      <c r="N35" s="262" t="e">
        <f>$M35*$H$15</f>
        <v>#DIV/0!</v>
      </c>
      <c r="O35" s="256" t="e">
        <f>VLOOKUP('Station parameters'!$C$8,Catchments!$B$67:$L$72,11,FALSE)</f>
        <v>#N/A</v>
      </c>
      <c r="P35" s="166" t="e">
        <f t="shared" si="16"/>
        <v>#DIV/0!</v>
      </c>
    </row>
    <row r="36" spans="1:16">
      <c r="A36" s="34"/>
    </row>
    <row r="37" spans="1:16">
      <c r="A37" s="34"/>
      <c r="B37" s="101" t="s">
        <v>192</v>
      </c>
      <c r="C37" s="99"/>
      <c r="D37" s="99"/>
      <c r="E37" s="99"/>
      <c r="F37" s="99"/>
      <c r="G37" s="99"/>
      <c r="H37" s="99"/>
      <c r="I37" s="99"/>
      <c r="J37" s="99"/>
      <c r="K37" s="99"/>
      <c r="L37" s="99"/>
      <c r="M37" s="99"/>
      <c r="N37" s="99"/>
      <c r="O37" s="99"/>
      <c r="P37" s="99"/>
    </row>
    <row r="38" spans="1:16">
      <c r="A38" s="34"/>
    </row>
    <row r="39" spans="1:16">
      <c r="A39" s="34"/>
      <c r="B39" s="86" t="s">
        <v>330</v>
      </c>
    </row>
    <row r="40" spans="1:16">
      <c r="A40" s="34"/>
      <c r="B40" s="86"/>
      <c r="H40" s="155" t="s">
        <v>358</v>
      </c>
      <c r="I40" s="214"/>
      <c r="J40" s="156"/>
      <c r="K40" s="155" t="s">
        <v>640</v>
      </c>
      <c r="L40" s="214"/>
      <c r="M40" s="156"/>
      <c r="N40" s="155" t="s">
        <v>387</v>
      </c>
      <c r="O40" s="214"/>
      <c r="P40" s="156"/>
    </row>
    <row r="41" spans="1:16">
      <c r="A41" s="34"/>
      <c r="B41" s="238" t="s">
        <v>374</v>
      </c>
      <c r="C41" s="238" t="s">
        <v>304</v>
      </c>
      <c r="D41" s="238" t="s">
        <v>356</v>
      </c>
      <c r="E41" s="238" t="s">
        <v>357</v>
      </c>
      <c r="F41" s="238" t="s">
        <v>355</v>
      </c>
      <c r="G41" s="238" t="s">
        <v>359</v>
      </c>
      <c r="H41" s="238" t="s">
        <v>360</v>
      </c>
      <c r="I41" s="238" t="s">
        <v>329</v>
      </c>
      <c r="J41" s="238" t="s">
        <v>361</v>
      </c>
      <c r="K41" s="238" t="s">
        <v>360</v>
      </c>
      <c r="L41" s="238" t="s">
        <v>329</v>
      </c>
      <c r="M41" s="238" t="s">
        <v>361</v>
      </c>
      <c r="N41" s="238" t="s">
        <v>360</v>
      </c>
      <c r="O41" s="238" t="s">
        <v>329</v>
      </c>
      <c r="P41" s="238" t="s">
        <v>361</v>
      </c>
    </row>
    <row r="42" spans="1:16">
      <c r="A42" s="34"/>
      <c r="B42" s="595" t="s">
        <v>30</v>
      </c>
      <c r="C42" s="238" t="s">
        <v>324</v>
      </c>
      <c r="D42" s="242">
        <f>'Project details'!$D99</f>
        <v>0</v>
      </c>
      <c r="E42" s="242">
        <f>'Project details'!E99</f>
        <v>0</v>
      </c>
      <c r="F42" s="242">
        <f>IF(Option1="No",0,(E42-D42)/60)</f>
        <v>0</v>
      </c>
      <c r="G42" s="243">
        <f>'Project details'!$D$70</f>
        <v>0</v>
      </c>
      <c r="H42" s="242" t="e">
        <f>$H$48*$G42</f>
        <v>#DIV/0!</v>
      </c>
      <c r="I42" s="255" t="e">
        <f>$F42/VLOOKUP('Station parameters'!$O$3,HomeWalkGJT,8,FALSE)*Elasticities!$C$93</f>
        <v>#N/A</v>
      </c>
      <c r="J42" s="242" t="e">
        <f>H42*I42</f>
        <v>#DIV/0!</v>
      </c>
      <c r="K42" s="242">
        <f>$K$48*$G42</f>
        <v>0</v>
      </c>
      <c r="L42" s="255" t="e">
        <f>$F42/VLOOKUP('Station parameters'!$O$3,HomeWalkGJT,7,FALSE)*Elasticities!$C$93</f>
        <v>#N/A</v>
      </c>
      <c r="M42" s="242" t="e">
        <f>K42*L42</f>
        <v>#N/A</v>
      </c>
      <c r="N42" s="242">
        <f>$N$48*$G42</f>
        <v>0</v>
      </c>
      <c r="O42" s="255" t="e">
        <f>$F42/VLOOKUP('Station parameters'!$O$3,DestinationWalkGJT,7,FALSE)*Elasticities!$C$93</f>
        <v>#N/A</v>
      </c>
      <c r="P42" s="242" t="e">
        <f>N42*O42</f>
        <v>#N/A</v>
      </c>
    </row>
    <row r="43" spans="1:16">
      <c r="A43" s="34"/>
      <c r="B43" s="595"/>
      <c r="C43" s="238" t="s">
        <v>325</v>
      </c>
      <c r="D43" s="242">
        <f>'Project details'!$D140</f>
        <v>0</v>
      </c>
      <c r="E43" s="242">
        <f>'Project details'!E140</f>
        <v>0</v>
      </c>
      <c r="F43" s="242">
        <f>IF(Option1="No",0,(E43-D43)/60)</f>
        <v>0</v>
      </c>
      <c r="G43" s="243">
        <f>'Project details'!$D$111</f>
        <v>0</v>
      </c>
      <c r="H43" s="242" t="e">
        <f t="shared" ref="H43:H46" si="19">$H$48*$G43</f>
        <v>#DIV/0!</v>
      </c>
      <c r="I43" s="255" t="e">
        <f>$F43/VLOOKUP('Station parameters'!$O$3,HomeWalkGJT,8,FALSE)*Elasticities!$C$93</f>
        <v>#N/A</v>
      </c>
      <c r="J43" s="242" t="e">
        <f t="shared" ref="J43:J46" si="20">H43*I43</f>
        <v>#DIV/0!</v>
      </c>
      <c r="K43" s="242">
        <f t="shared" ref="K43:K46" si="21">$K$48*$G43</f>
        <v>0</v>
      </c>
      <c r="L43" s="255" t="e">
        <f>$F43/VLOOKUP('Station parameters'!$O$3,HomeWalkGJT,7,FALSE)*Elasticities!$C$93</f>
        <v>#N/A</v>
      </c>
      <c r="M43" s="242" t="e">
        <f t="shared" ref="M43:M46" si="22">K43*L43</f>
        <v>#N/A</v>
      </c>
      <c r="N43" s="242">
        <f>$N$48*$G43</f>
        <v>0</v>
      </c>
      <c r="O43" s="255" t="e">
        <f>$F43/VLOOKUP('Station parameters'!$O$3,DestinationWalkGJT,7,FALSE)*Elasticities!$C$93</f>
        <v>#N/A</v>
      </c>
      <c r="P43" s="242" t="e">
        <f t="shared" ref="P43:P46" si="23">N43*O43</f>
        <v>#N/A</v>
      </c>
    </row>
    <row r="44" spans="1:16">
      <c r="A44" s="34"/>
      <c r="B44" s="595"/>
      <c r="C44" s="238" t="s">
        <v>326</v>
      </c>
      <c r="D44" s="242">
        <f>'Project details'!$D181</f>
        <v>0</v>
      </c>
      <c r="E44" s="242">
        <f>'Project details'!E181</f>
        <v>0</v>
      </c>
      <c r="F44" s="242">
        <f>IF(Option1="No",0,(E44-D44)/60)</f>
        <v>0</v>
      </c>
      <c r="G44" s="243">
        <f>'Project details'!$D$152</f>
        <v>0</v>
      </c>
      <c r="H44" s="242" t="e">
        <f t="shared" si="19"/>
        <v>#DIV/0!</v>
      </c>
      <c r="I44" s="255" t="e">
        <f>$F44/VLOOKUP('Station parameters'!$O$3,HomeWalkGJT,8,FALSE)*Elasticities!$C$93</f>
        <v>#N/A</v>
      </c>
      <c r="J44" s="242" t="e">
        <f t="shared" si="20"/>
        <v>#DIV/0!</v>
      </c>
      <c r="K44" s="242">
        <f t="shared" si="21"/>
        <v>0</v>
      </c>
      <c r="L44" s="255" t="e">
        <f>$F44/VLOOKUP('Station parameters'!$O$3,HomeWalkGJT,7,FALSE)*Elasticities!$C$93</f>
        <v>#N/A</v>
      </c>
      <c r="M44" s="242" t="e">
        <f t="shared" si="22"/>
        <v>#N/A</v>
      </c>
      <c r="N44" s="242">
        <f t="shared" ref="N44:N46" si="24">$N$48*$G44</f>
        <v>0</v>
      </c>
      <c r="O44" s="255" t="e">
        <f>$F44/VLOOKUP('Station parameters'!$O$3,DestinationWalkGJT,7,FALSE)*Elasticities!$C$93</f>
        <v>#N/A</v>
      </c>
      <c r="P44" s="242" t="e">
        <f t="shared" si="23"/>
        <v>#N/A</v>
      </c>
    </row>
    <row r="45" spans="1:16">
      <c r="A45" s="34"/>
      <c r="B45" s="595"/>
      <c r="C45" s="238" t="s">
        <v>327</v>
      </c>
      <c r="D45" s="242">
        <f>'Project details'!$D222</f>
        <v>0</v>
      </c>
      <c r="E45" s="242">
        <f>'Project details'!E222</f>
        <v>0</v>
      </c>
      <c r="F45" s="242">
        <f>IF(Option1="No",0,(E45-D45)/60)</f>
        <v>0</v>
      </c>
      <c r="G45" s="243">
        <f>'Project details'!$D$193</f>
        <v>0</v>
      </c>
      <c r="H45" s="242" t="e">
        <f t="shared" si="19"/>
        <v>#DIV/0!</v>
      </c>
      <c r="I45" s="255" t="e">
        <f>$F45/VLOOKUP('Station parameters'!$O$3,HomeWalkGJT,8,FALSE)*Elasticities!$C$93</f>
        <v>#N/A</v>
      </c>
      <c r="J45" s="242" t="e">
        <f t="shared" si="20"/>
        <v>#DIV/0!</v>
      </c>
      <c r="K45" s="242">
        <f t="shared" si="21"/>
        <v>0</v>
      </c>
      <c r="L45" s="255" t="e">
        <f>$F45/VLOOKUP('Station parameters'!$O$3,HomeWalkGJT,7,FALSE)*Elasticities!$C$93</f>
        <v>#N/A</v>
      </c>
      <c r="M45" s="242" t="e">
        <f t="shared" si="22"/>
        <v>#N/A</v>
      </c>
      <c r="N45" s="242">
        <f t="shared" si="24"/>
        <v>0</v>
      </c>
      <c r="O45" s="255" t="e">
        <f>$F45/VLOOKUP('Station parameters'!$O$3,DestinationWalkGJT,7,FALSE)*Elasticities!$C$93</f>
        <v>#N/A</v>
      </c>
      <c r="P45" s="242" t="e">
        <f t="shared" si="23"/>
        <v>#N/A</v>
      </c>
    </row>
    <row r="46" spans="1:16">
      <c r="A46" s="34"/>
      <c r="B46" s="595"/>
      <c r="C46" s="238" t="s">
        <v>328</v>
      </c>
      <c r="D46" s="242">
        <f>'Project details'!$D263</f>
        <v>0</v>
      </c>
      <c r="E46" s="242">
        <f>'Project details'!E263</f>
        <v>0</v>
      </c>
      <c r="F46" s="242">
        <f>IF(Option1="No",0,(E46-D46)/60)</f>
        <v>0</v>
      </c>
      <c r="G46" s="243">
        <f>'Project details'!$D$234</f>
        <v>0</v>
      </c>
      <c r="H46" s="242" t="e">
        <f t="shared" si="19"/>
        <v>#DIV/0!</v>
      </c>
      <c r="I46" s="255" t="e">
        <f>$F46/VLOOKUP('Station parameters'!$O$3,HomeWalkGJT,8,FALSE)*Elasticities!$C$93</f>
        <v>#N/A</v>
      </c>
      <c r="J46" s="242" t="e">
        <f t="shared" si="20"/>
        <v>#DIV/0!</v>
      </c>
      <c r="K46" s="242">
        <f t="shared" si="21"/>
        <v>0</v>
      </c>
      <c r="L46" s="255" t="e">
        <f>$F46/VLOOKUP('Station parameters'!$O$3,HomeWalkGJT,7,FALSE)*Elasticities!$C$93</f>
        <v>#N/A</v>
      </c>
      <c r="M46" s="242" t="e">
        <f t="shared" si="22"/>
        <v>#N/A</v>
      </c>
      <c r="N46" s="242">
        <f t="shared" si="24"/>
        <v>0</v>
      </c>
      <c r="O46" s="255" t="e">
        <f>$F46/VLOOKUP('Station parameters'!$O$3,DestinationWalkGJT,7,FALSE)*Elasticities!$C$93</f>
        <v>#N/A</v>
      </c>
      <c r="P46" s="242" t="e">
        <f t="shared" si="23"/>
        <v>#N/A</v>
      </c>
    </row>
    <row r="47" spans="1:16">
      <c r="A47" s="34"/>
      <c r="B47" s="595"/>
      <c r="C47" s="61" t="s">
        <v>331</v>
      </c>
      <c r="D47" s="236" t="s">
        <v>175</v>
      </c>
      <c r="E47" s="236" t="s">
        <v>175</v>
      </c>
      <c r="F47" s="236" t="s">
        <v>175</v>
      </c>
      <c r="G47" s="243">
        <f>1-SUM(G42:G46)</f>
        <v>1</v>
      </c>
      <c r="H47" s="236" t="s">
        <v>175</v>
      </c>
      <c r="I47" s="281">
        <v>0</v>
      </c>
      <c r="J47" s="342" t="s">
        <v>175</v>
      </c>
      <c r="K47" s="236" t="s">
        <v>175</v>
      </c>
      <c r="L47" s="281">
        <v>0</v>
      </c>
      <c r="M47" s="236" t="s">
        <v>175</v>
      </c>
      <c r="N47" s="236" t="s">
        <v>175</v>
      </c>
      <c r="O47" s="281">
        <v>0</v>
      </c>
      <c r="P47" s="236" t="s">
        <v>175</v>
      </c>
    </row>
    <row r="48" spans="1:16">
      <c r="A48" s="34"/>
      <c r="B48" s="238" t="s">
        <v>377</v>
      </c>
      <c r="C48" s="238" t="s">
        <v>11</v>
      </c>
      <c r="D48" s="266"/>
      <c r="E48" s="267"/>
      <c r="F48" s="267"/>
      <c r="G48" s="275"/>
      <c r="H48" s="239" t="e">
        <f>('Station parameters'!$E$39-(SUM('Station parameters'!$C$53:$C$55)*('Station parameters'!$E$39/'Station parameters'!$E$49)))*0.75</f>
        <v>#DIV/0!</v>
      </c>
      <c r="I48" s="276" t="e">
        <f>SUMPRODUCT(G42:G47,I42:I47)/SUM(G42:G47)</f>
        <v>#N/A</v>
      </c>
      <c r="J48" s="276" t="e">
        <f>SUM(J42:J46)</f>
        <v>#DIV/0!</v>
      </c>
      <c r="K48" s="239">
        <f>SUM($D$7)*0.75</f>
        <v>0</v>
      </c>
      <c r="L48" s="167" t="e">
        <f>SUMPRODUCT(G42:G47,L42:L47)/SUM(G42:G47)</f>
        <v>#N/A</v>
      </c>
      <c r="M48" s="276" t="e">
        <f>SUM(M42:M46)</f>
        <v>#N/A</v>
      </c>
      <c r="N48" s="239">
        <f>SUM($G$7)*0.75</f>
        <v>0</v>
      </c>
      <c r="O48" s="167" t="e">
        <f>SUMPRODUCT(G42:G47,O42:O47)/SUM(G42:G47)</f>
        <v>#N/A</v>
      </c>
      <c r="P48" s="276" t="e">
        <f>SUM(P42:P46)</f>
        <v>#N/A</v>
      </c>
    </row>
    <row r="49" spans="1:16">
      <c r="A49" s="34"/>
      <c r="B49" s="338" t="s">
        <v>37</v>
      </c>
      <c r="C49" s="238" t="s">
        <v>324</v>
      </c>
      <c r="D49" s="242">
        <f>'Project details'!$D99</f>
        <v>0</v>
      </c>
      <c r="E49" s="242">
        <f>'Project details'!E99</f>
        <v>0</v>
      </c>
      <c r="F49" s="242">
        <f>IF(Option1="No",0,(E49-D49)/60)</f>
        <v>0</v>
      </c>
      <c r="G49" s="243">
        <f>'Project details'!$D$70</f>
        <v>0</v>
      </c>
      <c r="H49" s="242" t="e">
        <f>$H$55*$G49</f>
        <v>#DIV/0!</v>
      </c>
      <c r="I49" s="255" t="e">
        <f>$F49/VLOOKUP('Station parameters'!$O$3,HomeWalkGJT,8,FALSE)*Elasticities!$C$94</f>
        <v>#N/A</v>
      </c>
      <c r="J49" s="242" t="e">
        <f>H49*I49</f>
        <v>#DIV/0!</v>
      </c>
      <c r="K49" s="242">
        <f>$K$55*$G49</f>
        <v>0</v>
      </c>
      <c r="L49" s="255" t="e">
        <f>$F49/VLOOKUP('Station parameters'!$O$3,HomeWalkGJT,7,FALSE)*Elasticities!$C$94</f>
        <v>#N/A</v>
      </c>
      <c r="M49" s="242" t="e">
        <f>K49*L49</f>
        <v>#N/A</v>
      </c>
      <c r="N49" s="242">
        <f>$N$55*$G49</f>
        <v>0</v>
      </c>
      <c r="O49" s="255" t="e">
        <f>$F49/VLOOKUP('Station parameters'!$O$3,DestinationWalkGJT,7,FALSE)*Elasticities!$C$94</f>
        <v>#N/A</v>
      </c>
      <c r="P49" s="242" t="e">
        <f>N49*O49</f>
        <v>#N/A</v>
      </c>
    </row>
    <row r="50" spans="1:16">
      <c r="A50" s="34"/>
      <c r="B50" s="339"/>
      <c r="C50" s="238" t="s">
        <v>325</v>
      </c>
      <c r="D50" s="242">
        <f>'Project details'!$D140</f>
        <v>0</v>
      </c>
      <c r="E50" s="242">
        <f>'Project details'!E140</f>
        <v>0</v>
      </c>
      <c r="F50" s="242">
        <f>IF(Option1="No",0,(E50-D50)/60)</f>
        <v>0</v>
      </c>
      <c r="G50" s="243">
        <f>'Project details'!$D$111</f>
        <v>0</v>
      </c>
      <c r="H50" s="242" t="e">
        <f t="shared" ref="H50:H53" si="25">$H$55*$G50</f>
        <v>#DIV/0!</v>
      </c>
      <c r="I50" s="255" t="e">
        <f>$F50/VLOOKUP('Station parameters'!$O$3,HomeWalkGJT,8,FALSE)*Elasticities!$C$94</f>
        <v>#N/A</v>
      </c>
      <c r="J50" s="242" t="e">
        <f t="shared" ref="J50:J53" si="26">H50*I50</f>
        <v>#DIV/0!</v>
      </c>
      <c r="K50" s="242">
        <f t="shared" ref="K50:K53" si="27">$K$55*$G50</f>
        <v>0</v>
      </c>
      <c r="L50" s="255" t="e">
        <f>$F50/VLOOKUP('Station parameters'!$O$3,HomeWalkGJT,7,FALSE)*Elasticities!$C$94</f>
        <v>#N/A</v>
      </c>
      <c r="M50" s="242" t="e">
        <f t="shared" ref="M50:M53" si="28">K50*L50</f>
        <v>#N/A</v>
      </c>
      <c r="N50" s="242">
        <f t="shared" ref="N50:N53" si="29">$N$55*$G50</f>
        <v>0</v>
      </c>
      <c r="O50" s="255" t="e">
        <f>$F50/VLOOKUP('Station parameters'!$O$3,DestinationWalkGJT,7,FALSE)*Elasticities!$C$94</f>
        <v>#N/A</v>
      </c>
      <c r="P50" s="242" t="e">
        <f t="shared" ref="P50:P53" si="30">N50*O50</f>
        <v>#N/A</v>
      </c>
    </row>
    <row r="51" spans="1:16">
      <c r="A51" s="34"/>
      <c r="B51" s="339"/>
      <c r="C51" s="238" t="s">
        <v>326</v>
      </c>
      <c r="D51" s="242">
        <f>'Project details'!$D181</f>
        <v>0</v>
      </c>
      <c r="E51" s="242">
        <f>'Project details'!E181</f>
        <v>0</v>
      </c>
      <c r="F51" s="242">
        <f>IF(Option1="No",0,(E51-D51)/60)</f>
        <v>0</v>
      </c>
      <c r="G51" s="243">
        <f>'Project details'!$D$152</f>
        <v>0</v>
      </c>
      <c r="H51" s="242" t="e">
        <f t="shared" si="25"/>
        <v>#DIV/0!</v>
      </c>
      <c r="I51" s="255" t="e">
        <f>$F51/VLOOKUP('Station parameters'!$O$3,HomeWalkGJT,8,FALSE)*Elasticities!$C$94</f>
        <v>#N/A</v>
      </c>
      <c r="J51" s="242" t="e">
        <f t="shared" si="26"/>
        <v>#DIV/0!</v>
      </c>
      <c r="K51" s="242">
        <f t="shared" si="27"/>
        <v>0</v>
      </c>
      <c r="L51" s="255" t="e">
        <f>$F51/VLOOKUP('Station parameters'!$O$3,HomeWalkGJT,7,FALSE)*Elasticities!$C$94</f>
        <v>#N/A</v>
      </c>
      <c r="M51" s="242" t="e">
        <f t="shared" si="28"/>
        <v>#N/A</v>
      </c>
      <c r="N51" s="242">
        <f t="shared" si="29"/>
        <v>0</v>
      </c>
      <c r="O51" s="255" t="e">
        <f>$F51/VLOOKUP('Station parameters'!$O$3,DestinationWalkGJT,7,FALSE)*Elasticities!$C$94</f>
        <v>#N/A</v>
      </c>
      <c r="P51" s="242" t="e">
        <f t="shared" si="30"/>
        <v>#N/A</v>
      </c>
    </row>
    <row r="52" spans="1:16">
      <c r="A52" s="34"/>
      <c r="B52" s="339"/>
      <c r="C52" s="238" t="s">
        <v>327</v>
      </c>
      <c r="D52" s="242">
        <f>'Project details'!$D222</f>
        <v>0</v>
      </c>
      <c r="E52" s="242">
        <f>'Project details'!E222</f>
        <v>0</v>
      </c>
      <c r="F52" s="242">
        <f>IF(Option1="No",0,(E52-D52)/60)</f>
        <v>0</v>
      </c>
      <c r="G52" s="243">
        <f>'Project details'!$D$193</f>
        <v>0</v>
      </c>
      <c r="H52" s="242" t="e">
        <f t="shared" si="25"/>
        <v>#DIV/0!</v>
      </c>
      <c r="I52" s="255" t="e">
        <f>$F52/VLOOKUP('Station parameters'!$O$3,HomeWalkGJT,8,FALSE)*Elasticities!$C$94</f>
        <v>#N/A</v>
      </c>
      <c r="J52" s="242" t="e">
        <f t="shared" si="26"/>
        <v>#DIV/0!</v>
      </c>
      <c r="K52" s="242">
        <f t="shared" si="27"/>
        <v>0</v>
      </c>
      <c r="L52" s="255" t="e">
        <f>$F52/VLOOKUP('Station parameters'!$O$3,HomeWalkGJT,7,FALSE)*Elasticities!$C$94</f>
        <v>#N/A</v>
      </c>
      <c r="M52" s="242" t="e">
        <f t="shared" si="28"/>
        <v>#N/A</v>
      </c>
      <c r="N52" s="242">
        <f t="shared" si="29"/>
        <v>0</v>
      </c>
      <c r="O52" s="255" t="e">
        <f>$F52/VLOOKUP('Station parameters'!$O$3,DestinationWalkGJT,7,FALSE)*Elasticities!$C$94</f>
        <v>#N/A</v>
      </c>
      <c r="P52" s="242" t="e">
        <f t="shared" si="30"/>
        <v>#N/A</v>
      </c>
    </row>
    <row r="53" spans="1:16">
      <c r="A53" s="34"/>
      <c r="B53" s="339"/>
      <c r="C53" s="238" t="s">
        <v>328</v>
      </c>
      <c r="D53" s="242">
        <f>'Project details'!$D263</f>
        <v>0</v>
      </c>
      <c r="E53" s="242">
        <f>'Project details'!E263</f>
        <v>0</v>
      </c>
      <c r="F53" s="242">
        <f>IF(Option1="No",0,(E53-D53)/60)</f>
        <v>0</v>
      </c>
      <c r="G53" s="243">
        <f>'Project details'!$D$234</f>
        <v>0</v>
      </c>
      <c r="H53" s="242" t="e">
        <f t="shared" si="25"/>
        <v>#DIV/0!</v>
      </c>
      <c r="I53" s="255" t="e">
        <f>$F53/VLOOKUP('Station parameters'!$O$3,HomeWalkGJT,8,FALSE)*Elasticities!$C$94</f>
        <v>#N/A</v>
      </c>
      <c r="J53" s="242" t="e">
        <f t="shared" si="26"/>
        <v>#DIV/0!</v>
      </c>
      <c r="K53" s="242">
        <f t="shared" si="27"/>
        <v>0</v>
      </c>
      <c r="L53" s="255" t="e">
        <f>$F53/VLOOKUP('Station parameters'!$O$3,HomeWalkGJT,7,FALSE)*Elasticities!$C$94</f>
        <v>#N/A</v>
      </c>
      <c r="M53" s="242" t="e">
        <f t="shared" si="28"/>
        <v>#N/A</v>
      </c>
      <c r="N53" s="242">
        <f t="shared" si="29"/>
        <v>0</v>
      </c>
      <c r="O53" s="255" t="e">
        <f>$F53/VLOOKUP('Station parameters'!$O$3,DestinationWalkGJT,7,FALSE)*Elasticities!$C$94</f>
        <v>#N/A</v>
      </c>
      <c r="P53" s="242" t="e">
        <f t="shared" si="30"/>
        <v>#N/A</v>
      </c>
    </row>
    <row r="54" spans="1:16">
      <c r="A54" s="34"/>
      <c r="B54" s="340"/>
      <c r="C54" s="61" t="s">
        <v>331</v>
      </c>
      <c r="D54" s="236" t="s">
        <v>175</v>
      </c>
      <c r="E54" s="236" t="s">
        <v>175</v>
      </c>
      <c r="F54" s="236" t="s">
        <v>175</v>
      </c>
      <c r="G54" s="243">
        <f>1-SUM(G49:G53)</f>
        <v>1</v>
      </c>
      <c r="H54" s="236" t="s">
        <v>175</v>
      </c>
      <c r="I54" s="281">
        <v>0</v>
      </c>
      <c r="J54" s="236" t="s">
        <v>175</v>
      </c>
      <c r="K54" s="236" t="s">
        <v>175</v>
      </c>
      <c r="L54" s="281">
        <v>0</v>
      </c>
      <c r="M54" s="236" t="s">
        <v>175</v>
      </c>
      <c r="N54" s="236" t="s">
        <v>175</v>
      </c>
      <c r="O54" s="281">
        <v>0</v>
      </c>
      <c r="P54" s="236" t="s">
        <v>175</v>
      </c>
    </row>
    <row r="55" spans="1:16">
      <c r="A55" s="34"/>
      <c r="B55" s="238" t="s">
        <v>378</v>
      </c>
      <c r="C55" s="238" t="s">
        <v>11</v>
      </c>
      <c r="D55" s="266"/>
      <c r="E55" s="267"/>
      <c r="F55" s="267"/>
      <c r="G55" s="275"/>
      <c r="H55" s="239" t="e">
        <f>'Station parameters'!$E$44-(SUM('Station parameters'!$C$53:$C$55)*('Station parameters'!$E$44/'Station parameters'!$E$49))*0.75</f>
        <v>#DIV/0!</v>
      </c>
      <c r="I55" s="341" t="e">
        <f>SUMPRODUCT(G49:G54,I49:I54)/SUM(G49:G54)</f>
        <v>#N/A</v>
      </c>
      <c r="J55" s="276" t="e">
        <f>SUM(J49:J53)</f>
        <v>#DIV/0!</v>
      </c>
      <c r="K55" s="239">
        <f>SUM($E$7)*0.75</f>
        <v>0</v>
      </c>
      <c r="L55" s="167" t="e">
        <f>SUMPRODUCT(G49:G54,L49:L54)/SUM(G49:G54)</f>
        <v>#N/A</v>
      </c>
      <c r="M55" s="276" t="e">
        <f>SUM(M49:M53)</f>
        <v>#N/A</v>
      </c>
      <c r="N55" s="239">
        <f>SUM($H$7)*0.75</f>
        <v>0</v>
      </c>
      <c r="O55" s="167" t="e">
        <f>SUMPRODUCT(G49:G54,O49:O54)/SUM(G49:G54)</f>
        <v>#N/A</v>
      </c>
      <c r="P55" s="276" t="e">
        <f>SUM(P49:P53)</f>
        <v>#N/A</v>
      </c>
    </row>
    <row r="56" spans="1:16">
      <c r="A56" s="34"/>
      <c r="B56" s="238" t="s">
        <v>376</v>
      </c>
      <c r="H56" s="119"/>
      <c r="I56" s="167" t="e">
        <f>(I48*(H48/SUM(H48,H55)))+(I55*(H55/SUM(H48,H55)))</f>
        <v>#N/A</v>
      </c>
      <c r="J56" s="276" t="e">
        <f>J48+J55</f>
        <v>#DIV/0!</v>
      </c>
      <c r="K56" s="119"/>
      <c r="L56" s="167">
        <f>IF(SUM(K48,K55)=0,0,(L48*(K48/SUM(K48,K55)))+(L55*(K55/SUM(K48,K55))))</f>
        <v>0</v>
      </c>
      <c r="M56" s="276" t="e">
        <f>M48+M55</f>
        <v>#N/A</v>
      </c>
      <c r="N56" s="119"/>
      <c r="O56" s="167">
        <f>IF(SUM(N48,N55)=0,0,(O48*(N48/SUM(N48,N55)))+(O55*(N55/SUM(N48,N55))))</f>
        <v>0</v>
      </c>
      <c r="P56" s="276" t="e">
        <f>P48+P55</f>
        <v>#N/A</v>
      </c>
    </row>
    <row r="57" spans="1:16">
      <c r="A57" s="34"/>
    </row>
    <row r="58" spans="1:16">
      <c r="A58" s="34"/>
      <c r="B58" s="14" t="s">
        <v>47</v>
      </c>
      <c r="C58" s="158" t="s">
        <v>205</v>
      </c>
      <c r="D58" s="158" t="s">
        <v>27</v>
      </c>
      <c r="H58" s="14" t="s">
        <v>641</v>
      </c>
      <c r="I58" s="158" t="s">
        <v>205</v>
      </c>
      <c r="J58" s="158" t="s">
        <v>27</v>
      </c>
      <c r="K58" s="158"/>
      <c r="L58" s="158"/>
      <c r="M58" s="14" t="s">
        <v>364</v>
      </c>
      <c r="N58" s="158" t="s">
        <v>205</v>
      </c>
      <c r="O58" s="158" t="s">
        <v>27</v>
      </c>
    </row>
    <row r="59" spans="1:16">
      <c r="A59" s="34"/>
      <c r="B59" s="23" t="s">
        <v>206</v>
      </c>
      <c r="C59" s="248" t="e">
        <f>I56</f>
        <v>#N/A</v>
      </c>
      <c r="D59" s="248" t="e">
        <f>J56</f>
        <v>#DIV/0!</v>
      </c>
      <c r="H59" s="61" t="s">
        <v>323</v>
      </c>
      <c r="I59" s="245" t="e">
        <f>I$60*VLOOKUP($H59,DiversionWalkAccess,4,FALSE)</f>
        <v>#N/A</v>
      </c>
      <c r="J59" s="245" t="e">
        <f>J$60*VLOOKUP($H59,DiversionWalkAccess,4,FALSE)</f>
        <v>#N/A</v>
      </c>
      <c r="K59" s="244"/>
      <c r="L59" s="244"/>
      <c r="M59" s="61" t="s">
        <v>323</v>
      </c>
      <c r="N59" s="245" t="e">
        <f>N$60*VLOOKUP($H59,DiversionWalkEgress,2,FALSE)</f>
        <v>#N/A</v>
      </c>
      <c r="O59" s="245" t="e">
        <f>O$60*VLOOKUP($H59,DiversionWalkEgress,3,FALSE)</f>
        <v>#N/A</v>
      </c>
    </row>
    <row r="60" spans="1:16">
      <c r="A60" s="34"/>
      <c r="B60" s="165" t="s">
        <v>42</v>
      </c>
      <c r="C60" s="245" t="e">
        <f>C$59*VLOOKUP($B60,DiversionPTMainMode,2,FALSE)*AVERAGE(WalkDiversionFactor,CycleDiversionFactor)</f>
        <v>#N/A</v>
      </c>
      <c r="D60" s="245" t="e">
        <f>D$59*VLOOKUP($B60,DiversionPTMainMode,3,FALSE)*AVERAGE(WalkDiversionFactor,CycleDiversionFactor)</f>
        <v>#DIV/0!</v>
      </c>
      <c r="H60" s="247" t="s">
        <v>42</v>
      </c>
      <c r="I60" s="248" t="e">
        <f>M56+J56</f>
        <v>#N/A</v>
      </c>
      <c r="J60" s="248" t="e">
        <f>M56+J56</f>
        <v>#N/A</v>
      </c>
      <c r="K60" s="244"/>
      <c r="L60" s="244"/>
      <c r="M60" s="247" t="s">
        <v>42</v>
      </c>
      <c r="N60" s="248" t="e">
        <f>P56</f>
        <v>#N/A</v>
      </c>
      <c r="O60" s="248" t="e">
        <f>P56</f>
        <v>#N/A</v>
      </c>
    </row>
    <row r="61" spans="1:16">
      <c r="A61" s="34"/>
      <c r="B61" s="165" t="s">
        <v>40</v>
      </c>
      <c r="C61" s="245" t="e">
        <f>C$59*VLOOKUP($B61,DiversionPTMainMode,2,FALSE)*AVERAGE(WalkDiversionFactor,CycleDiversionFactor)</f>
        <v>#N/A</v>
      </c>
      <c r="D61" s="245" t="e">
        <f>D$59*VLOOKUP($B61,DiversionPTMainMode,3,FALSE)*AVERAGE(WalkDiversionFactor,CycleDiversionFactor)</f>
        <v>#DIV/0!</v>
      </c>
      <c r="H61" s="249" t="s">
        <v>40</v>
      </c>
      <c r="I61" s="245" t="e">
        <f t="shared" ref="I61:J63" si="31">I$60*VLOOKUP($H61,DiversionWalkAccess,4,FALSE)</f>
        <v>#N/A</v>
      </c>
      <c r="J61" s="245" t="e">
        <f t="shared" si="31"/>
        <v>#N/A</v>
      </c>
      <c r="K61" s="244"/>
      <c r="L61" s="244"/>
      <c r="M61" s="249" t="s">
        <v>40</v>
      </c>
      <c r="N61" s="245" t="e">
        <f>N$60*VLOOKUP($H61,DiversionWalkEgress,2,FALSE)</f>
        <v>#N/A</v>
      </c>
      <c r="O61" s="245" t="e">
        <f>O$60*VLOOKUP($H61,DiversionWalkEgress,3,FALSE)</f>
        <v>#N/A</v>
      </c>
    </row>
    <row r="62" spans="1:16">
      <c r="A62" s="34"/>
      <c r="B62" s="165" t="s">
        <v>157</v>
      </c>
      <c r="C62" s="245" t="e">
        <f>C$59*VLOOKUP($B62,DiversionPTMainMode,2,FALSE)*AVERAGE(WalkDiversionFactor,CycleDiversionFactor)</f>
        <v>#N/A</v>
      </c>
      <c r="D62" s="245" t="e">
        <f>D$59*VLOOKUP($B62,DiversionPTMainMode,3,FALSE)*AVERAGE(WalkDiversionFactor,CycleDiversionFactor)</f>
        <v>#DIV/0!</v>
      </c>
      <c r="H62" s="249" t="s">
        <v>157</v>
      </c>
      <c r="I62" s="245" t="e">
        <f t="shared" si="31"/>
        <v>#N/A</v>
      </c>
      <c r="J62" s="245" t="e">
        <f t="shared" si="31"/>
        <v>#N/A</v>
      </c>
      <c r="K62" s="244"/>
      <c r="L62" s="244"/>
      <c r="M62" s="249" t="s">
        <v>157</v>
      </c>
      <c r="N62" s="245" t="e">
        <f>N$60*VLOOKUP($H62,DiversionWalkEgress,2,FALSE)</f>
        <v>#N/A</v>
      </c>
      <c r="O62" s="245" t="e">
        <f>O$60*VLOOKUP($H62,DiversionWalkEgress,3,FALSE)</f>
        <v>#N/A</v>
      </c>
    </row>
    <row r="63" spans="1:16">
      <c r="A63" s="34"/>
      <c r="B63" s="165" t="s">
        <v>158</v>
      </c>
      <c r="C63" s="245" t="e">
        <f>C$59*VLOOKUP($B63,DiversionPTMainMode,2,FALSE)*AVERAGE(WalkDiversionFactor,CycleDiversionFactor)</f>
        <v>#N/A</v>
      </c>
      <c r="D63" s="245" t="e">
        <f>D$59*VLOOKUP($B63,DiversionPTMainMode,3,FALSE)*AVERAGE(WalkDiversionFactor,CycleDiversionFactor)</f>
        <v>#DIV/0!</v>
      </c>
      <c r="H63" s="249" t="s">
        <v>158</v>
      </c>
      <c r="I63" s="245" t="e">
        <f t="shared" si="31"/>
        <v>#N/A</v>
      </c>
      <c r="J63" s="245" t="e">
        <f t="shared" si="31"/>
        <v>#N/A</v>
      </c>
      <c r="K63" s="244"/>
      <c r="L63" s="244"/>
      <c r="M63" s="249" t="s">
        <v>158</v>
      </c>
      <c r="N63" s="245" t="e">
        <f>N$60*VLOOKUP($H63,DiversionWalkEgress,2,FALSE)</f>
        <v>#N/A</v>
      </c>
      <c r="O63" s="245" t="e">
        <f>O$60*VLOOKUP($H63,DiversionWalkEgress,3,FALSE)</f>
        <v>#N/A</v>
      </c>
    </row>
    <row r="64" spans="1:16">
      <c r="A64" s="34"/>
      <c r="B64" s="144" t="s">
        <v>25</v>
      </c>
      <c r="C64" s="245" t="e">
        <f>C$59*VLOOKUP($B64,DiversionPTMainMode,2,FALSE)*AVERAGE(WalkDiversionFactor,CycleDiversionFactor)</f>
        <v>#N/A</v>
      </c>
      <c r="D64" s="245" t="e">
        <f>D$59*VLOOKUP($B64,DiversionPTMainMode,3,FALSE)*AVERAGE(WalkDiversionFactor,CycleDiversionFactor)</f>
        <v>#DIV/0!</v>
      </c>
      <c r="F64" s="163"/>
      <c r="J64" s="163"/>
    </row>
    <row r="65" spans="1:16">
      <c r="A65" s="34"/>
    </row>
    <row r="66" spans="1:16">
      <c r="A66" s="34"/>
      <c r="B66" s="86" t="s">
        <v>165</v>
      </c>
      <c r="C66" s="118"/>
      <c r="D66" s="240" t="s">
        <v>167</v>
      </c>
      <c r="E66" s="394" t="e">
        <f>E15</f>
        <v>#N/A</v>
      </c>
      <c r="F66" s="127" t="s">
        <v>168</v>
      </c>
      <c r="G66" s="241" t="s">
        <v>169</v>
      </c>
      <c r="H66" s="394">
        <f>H15</f>
        <v>0</v>
      </c>
      <c r="J66" s="241" t="s">
        <v>170</v>
      </c>
      <c r="K66" s="394">
        <f>K15</f>
        <v>0</v>
      </c>
    </row>
    <row r="67" spans="1:16">
      <c r="A67" s="34"/>
      <c r="B67" s="108"/>
      <c r="C67" s="118"/>
      <c r="D67" s="119"/>
      <c r="E67" s="119"/>
      <c r="F67" s="118"/>
      <c r="G67" s="120"/>
      <c r="H67" s="119"/>
    </row>
    <row r="68" spans="1:16">
      <c r="A68" s="34"/>
      <c r="B68" s="254"/>
      <c r="C68" s="596" t="s">
        <v>47</v>
      </c>
      <c r="D68" s="597"/>
      <c r="E68" s="597"/>
      <c r="F68" s="598"/>
      <c r="H68" s="596" t="s">
        <v>639</v>
      </c>
      <c r="I68" s="597"/>
      <c r="J68" s="597"/>
      <c r="K68" s="598"/>
      <c r="M68" s="596" t="s">
        <v>153</v>
      </c>
      <c r="N68" s="597"/>
      <c r="O68" s="597"/>
      <c r="P68" s="598"/>
    </row>
    <row r="69" spans="1:16" ht="30">
      <c r="A69" s="34"/>
      <c r="B69" s="258" t="s">
        <v>47</v>
      </c>
      <c r="C69" s="258" t="s">
        <v>159</v>
      </c>
      <c r="D69" s="258" t="s">
        <v>200</v>
      </c>
      <c r="E69" s="258" t="s">
        <v>363</v>
      </c>
      <c r="F69" s="258" t="s">
        <v>201</v>
      </c>
      <c r="G69" s="258" t="s">
        <v>93</v>
      </c>
      <c r="H69" s="258" t="s">
        <v>159</v>
      </c>
      <c r="I69" s="258" t="s">
        <v>200</v>
      </c>
      <c r="J69" s="258" t="s">
        <v>363</v>
      </c>
      <c r="K69" s="258" t="s">
        <v>202</v>
      </c>
      <c r="L69" s="258" t="s">
        <v>93</v>
      </c>
      <c r="M69" s="258" t="s">
        <v>152</v>
      </c>
      <c r="N69" s="258" t="s">
        <v>200</v>
      </c>
      <c r="O69" s="258" t="s">
        <v>363</v>
      </c>
      <c r="P69" s="258" t="s">
        <v>203</v>
      </c>
    </row>
    <row r="70" spans="1:16">
      <c r="A70" s="34"/>
      <c r="B70" s="259" t="s">
        <v>206</v>
      </c>
      <c r="C70" s="264" t="e">
        <f>D70/$H$66</f>
        <v>#DIV/0!</v>
      </c>
      <c r="D70" s="250" t="e">
        <f>IF(C19=0,0,D19+C59)</f>
        <v>#DIV/0!</v>
      </c>
      <c r="E70" s="264" t="e">
        <f>E19</f>
        <v>#N/A</v>
      </c>
      <c r="F70" s="166" t="e">
        <f>D70*E70</f>
        <v>#DIV/0!</v>
      </c>
      <c r="G70" s="268" t="s">
        <v>323</v>
      </c>
      <c r="H70" s="264" t="e">
        <f>I70/$H$66</f>
        <v>#DIV/0!</v>
      </c>
      <c r="I70" s="265" t="e">
        <f>IF(H19=0,0,I19+I59)</f>
        <v>#DIV/0!</v>
      </c>
      <c r="J70" s="260"/>
      <c r="K70" s="263"/>
      <c r="L70" s="268" t="s">
        <v>323</v>
      </c>
      <c r="M70" s="264" t="e">
        <f>N70/$K$66</f>
        <v>#DIV/0!</v>
      </c>
      <c r="N70" s="265" t="e">
        <f t="shared" ref="N70:N75" si="32">IF(M19=0,0,N19*(1+N59))</f>
        <v>#DIV/0!</v>
      </c>
      <c r="O70" s="104"/>
      <c r="P70" s="104"/>
    </row>
    <row r="71" spans="1:16">
      <c r="A71" s="34"/>
      <c r="B71" s="259" t="s">
        <v>42</v>
      </c>
      <c r="C71" s="264" t="e">
        <f t="shared" ref="C71:C75" si="33">D71/$H$66</f>
        <v>#N/A</v>
      </c>
      <c r="D71" s="250" t="e">
        <f t="shared" ref="D71:D75" si="34">IF(C20=0,0,D20+C60)</f>
        <v>#N/A</v>
      </c>
      <c r="E71" s="264" t="e">
        <f t="shared" ref="E71:E75" si="35">IF(C71=0,0,F71/D71)</f>
        <v>#N/A</v>
      </c>
      <c r="F71" s="250" t="e">
        <f>IF(C71=0,0,F20+D60)</f>
        <v>#N/A</v>
      </c>
      <c r="G71" s="259" t="s">
        <v>42</v>
      </c>
      <c r="H71" s="264" t="e">
        <f>I71/$H$66</f>
        <v>#DIV/0!</v>
      </c>
      <c r="I71" s="265" t="e">
        <f t="shared" ref="I71:I75" si="36">IF(H20=0,0,I20+I60)</f>
        <v>#DIV/0!</v>
      </c>
      <c r="J71" s="264" t="e">
        <f>J20</f>
        <v>#N/A</v>
      </c>
      <c r="K71" s="166" t="e">
        <f>I71*J71</f>
        <v>#DIV/0!</v>
      </c>
      <c r="L71" s="259" t="s">
        <v>42</v>
      </c>
      <c r="M71" s="264" t="e">
        <f t="shared" ref="M71:M75" si="37">N71/$K$66</f>
        <v>#DIV/0!</v>
      </c>
      <c r="N71" s="265" t="e">
        <f t="shared" si="32"/>
        <v>#DIV/0!</v>
      </c>
      <c r="O71" s="264" t="e">
        <f>O20</f>
        <v>#N/A</v>
      </c>
      <c r="P71" s="166" t="e">
        <f>N71*O71</f>
        <v>#DIV/0!</v>
      </c>
    </row>
    <row r="72" spans="1:16">
      <c r="A72" s="34"/>
      <c r="B72" s="259" t="s">
        <v>40</v>
      </c>
      <c r="C72" s="264" t="e">
        <f t="shared" si="33"/>
        <v>#N/A</v>
      </c>
      <c r="D72" s="250" t="e">
        <f t="shared" si="34"/>
        <v>#N/A</v>
      </c>
      <c r="E72" s="264" t="e">
        <f t="shared" si="35"/>
        <v>#N/A</v>
      </c>
      <c r="F72" s="250" t="e">
        <f>IF(C72=0,0,F21+D61)</f>
        <v>#N/A</v>
      </c>
      <c r="G72" s="259" t="s">
        <v>40</v>
      </c>
      <c r="H72" s="264" t="e">
        <f t="shared" ref="H72:H75" si="38">I72/$H$66</f>
        <v>#DIV/0!</v>
      </c>
      <c r="I72" s="265" t="e">
        <f t="shared" si="36"/>
        <v>#DIV/0!</v>
      </c>
      <c r="J72" s="264" t="e">
        <f t="shared" ref="J72:J75" si="39">J21</f>
        <v>#N/A</v>
      </c>
      <c r="K72" s="166" t="e">
        <f t="shared" ref="K72:K75" si="40">I72*J72</f>
        <v>#DIV/0!</v>
      </c>
      <c r="L72" s="259" t="s">
        <v>40</v>
      </c>
      <c r="M72" s="264" t="e">
        <f t="shared" si="37"/>
        <v>#DIV/0!</v>
      </c>
      <c r="N72" s="265" t="e">
        <f t="shared" si="32"/>
        <v>#DIV/0!</v>
      </c>
      <c r="O72" s="264" t="e">
        <f t="shared" ref="O72:O75" si="41">O21</f>
        <v>#N/A</v>
      </c>
      <c r="P72" s="166" t="e">
        <f t="shared" ref="P72:P75" si="42">N72*O72</f>
        <v>#DIV/0!</v>
      </c>
    </row>
    <row r="73" spans="1:16">
      <c r="A73" s="34"/>
      <c r="B73" s="259" t="s">
        <v>157</v>
      </c>
      <c r="C73" s="264" t="e">
        <f t="shared" si="33"/>
        <v>#N/A</v>
      </c>
      <c r="D73" s="250" t="e">
        <f t="shared" si="34"/>
        <v>#N/A</v>
      </c>
      <c r="E73" s="264" t="e">
        <f t="shared" si="35"/>
        <v>#N/A</v>
      </c>
      <c r="F73" s="250" t="e">
        <f>IF(C73=0,0,F22+D62)</f>
        <v>#N/A</v>
      </c>
      <c r="G73" s="259" t="s">
        <v>157</v>
      </c>
      <c r="H73" s="264" t="e">
        <f t="shared" si="38"/>
        <v>#DIV/0!</v>
      </c>
      <c r="I73" s="265" t="e">
        <f t="shared" si="36"/>
        <v>#DIV/0!</v>
      </c>
      <c r="J73" s="264" t="e">
        <f t="shared" si="39"/>
        <v>#N/A</v>
      </c>
      <c r="K73" s="166" t="e">
        <f t="shared" si="40"/>
        <v>#DIV/0!</v>
      </c>
      <c r="L73" s="259" t="s">
        <v>157</v>
      </c>
      <c r="M73" s="264" t="e">
        <f t="shared" si="37"/>
        <v>#DIV/0!</v>
      </c>
      <c r="N73" s="265" t="e">
        <f t="shared" si="32"/>
        <v>#DIV/0!</v>
      </c>
      <c r="O73" s="264" t="e">
        <f t="shared" si="41"/>
        <v>#N/A</v>
      </c>
      <c r="P73" s="166" t="e">
        <f t="shared" si="42"/>
        <v>#DIV/0!</v>
      </c>
    </row>
    <row r="74" spans="1:16">
      <c r="A74" s="34"/>
      <c r="B74" s="259" t="s">
        <v>158</v>
      </c>
      <c r="C74" s="264" t="e">
        <f t="shared" si="33"/>
        <v>#N/A</v>
      </c>
      <c r="D74" s="250" t="e">
        <f t="shared" si="34"/>
        <v>#N/A</v>
      </c>
      <c r="E74" s="264" t="e">
        <f t="shared" si="35"/>
        <v>#N/A</v>
      </c>
      <c r="F74" s="250" t="e">
        <f>IF(C74=0,0,F23+D63)</f>
        <v>#N/A</v>
      </c>
      <c r="G74" s="259" t="s">
        <v>158</v>
      </c>
      <c r="H74" s="264" t="e">
        <f t="shared" si="38"/>
        <v>#DIV/0!</v>
      </c>
      <c r="I74" s="265" t="e">
        <f t="shared" si="36"/>
        <v>#DIV/0!</v>
      </c>
      <c r="J74" s="264" t="e">
        <f t="shared" si="39"/>
        <v>#N/A</v>
      </c>
      <c r="K74" s="166" t="e">
        <f t="shared" si="40"/>
        <v>#DIV/0!</v>
      </c>
      <c r="L74" s="259" t="s">
        <v>158</v>
      </c>
      <c r="M74" s="264" t="e">
        <f t="shared" si="37"/>
        <v>#DIV/0!</v>
      </c>
      <c r="N74" s="265" t="e">
        <f t="shared" si="32"/>
        <v>#DIV/0!</v>
      </c>
      <c r="O74" s="264" t="e">
        <f t="shared" si="41"/>
        <v>#N/A</v>
      </c>
      <c r="P74" s="166" t="e">
        <f t="shared" si="42"/>
        <v>#DIV/0!</v>
      </c>
    </row>
    <row r="75" spans="1:16">
      <c r="A75" s="34"/>
      <c r="B75" s="259" t="s">
        <v>25</v>
      </c>
      <c r="C75" s="264" t="e">
        <f t="shared" si="33"/>
        <v>#N/A</v>
      </c>
      <c r="D75" s="250" t="e">
        <f t="shared" si="34"/>
        <v>#N/A</v>
      </c>
      <c r="E75" s="264" t="e">
        <f t="shared" si="35"/>
        <v>#N/A</v>
      </c>
      <c r="F75" s="250" t="e">
        <f>IF(C75=0,0,F24+D64)</f>
        <v>#N/A</v>
      </c>
      <c r="G75" s="259" t="s">
        <v>25</v>
      </c>
      <c r="H75" s="264" t="e">
        <f t="shared" si="38"/>
        <v>#DIV/0!</v>
      </c>
      <c r="I75" s="265" t="e">
        <f t="shared" si="36"/>
        <v>#DIV/0!</v>
      </c>
      <c r="J75" s="264" t="e">
        <f t="shared" si="39"/>
        <v>#N/A</v>
      </c>
      <c r="K75" s="166" t="e">
        <f t="shared" si="40"/>
        <v>#DIV/0!</v>
      </c>
      <c r="L75" s="259" t="s">
        <v>25</v>
      </c>
      <c r="M75" s="264" t="e">
        <f t="shared" si="37"/>
        <v>#DIV/0!</v>
      </c>
      <c r="N75" s="265" t="e">
        <f t="shared" si="32"/>
        <v>#DIV/0!</v>
      </c>
      <c r="O75" s="264" t="e">
        <f t="shared" si="41"/>
        <v>#N/A</v>
      </c>
      <c r="P75" s="166" t="e">
        <f t="shared" si="42"/>
        <v>#DIV/0!</v>
      </c>
    </row>
    <row r="76" spans="1:16">
      <c r="A76" s="34"/>
      <c r="B76" s="108"/>
      <c r="C76" s="118"/>
      <c r="D76" s="119"/>
      <c r="E76" s="119"/>
      <c r="F76" s="118"/>
      <c r="G76" s="120"/>
      <c r="H76" s="119"/>
    </row>
    <row r="77" spans="1:16">
      <c r="A77" s="34"/>
      <c r="B77" s="86" t="s">
        <v>166</v>
      </c>
      <c r="C77" s="118"/>
      <c r="D77" s="240" t="s">
        <v>167</v>
      </c>
      <c r="E77" s="394" t="e">
        <f>E26</f>
        <v>#N/A</v>
      </c>
      <c r="F77" s="127" t="s">
        <v>168</v>
      </c>
      <c r="G77" s="241" t="s">
        <v>169</v>
      </c>
      <c r="H77" s="394">
        <f>H26</f>
        <v>0</v>
      </c>
      <c r="J77" s="241" t="s">
        <v>170</v>
      </c>
      <c r="K77" s="166">
        <f>K26</f>
        <v>0</v>
      </c>
    </row>
    <row r="78" spans="1:16">
      <c r="A78" s="34"/>
      <c r="B78" s="108"/>
      <c r="C78" s="118"/>
      <c r="D78" s="119"/>
      <c r="E78" s="119"/>
      <c r="F78" s="118"/>
      <c r="G78" s="120"/>
      <c r="H78" s="119"/>
    </row>
    <row r="79" spans="1:16">
      <c r="A79" s="34"/>
      <c r="B79" s="254"/>
      <c r="C79" s="596" t="s">
        <v>47</v>
      </c>
      <c r="D79" s="597"/>
      <c r="E79" s="597"/>
      <c r="F79" s="598"/>
      <c r="H79" s="596" t="s">
        <v>639</v>
      </c>
      <c r="I79" s="597"/>
      <c r="J79" s="597"/>
      <c r="K79" s="598"/>
      <c r="M79" s="596" t="s">
        <v>153</v>
      </c>
      <c r="N79" s="597"/>
      <c r="O79" s="597"/>
      <c r="P79" s="598"/>
    </row>
    <row r="80" spans="1:16" ht="30">
      <c r="A80" s="34"/>
      <c r="B80" s="258" t="s">
        <v>47</v>
      </c>
      <c r="C80" s="258" t="s">
        <v>159</v>
      </c>
      <c r="D80" s="258" t="s">
        <v>200</v>
      </c>
      <c r="E80" s="258" t="s">
        <v>363</v>
      </c>
      <c r="F80" s="258" t="s">
        <v>201</v>
      </c>
      <c r="G80" s="258" t="s">
        <v>93</v>
      </c>
      <c r="H80" s="258" t="s">
        <v>159</v>
      </c>
      <c r="I80" s="258" t="s">
        <v>200</v>
      </c>
      <c r="J80" s="258" t="s">
        <v>363</v>
      </c>
      <c r="K80" s="258" t="s">
        <v>202</v>
      </c>
      <c r="L80" s="258" t="s">
        <v>93</v>
      </c>
      <c r="M80" s="258" t="s">
        <v>152</v>
      </c>
      <c r="N80" s="258" t="s">
        <v>200</v>
      </c>
      <c r="O80" s="258" t="s">
        <v>363</v>
      </c>
      <c r="P80" s="258" t="s">
        <v>203</v>
      </c>
    </row>
    <row r="81" spans="1:16">
      <c r="A81" s="34"/>
      <c r="B81" s="259" t="s">
        <v>206</v>
      </c>
      <c r="C81" s="264" t="e">
        <f t="shared" ref="C81:C86" si="43">D81/$H$77</f>
        <v>#DIV/0!</v>
      </c>
      <c r="D81" s="250" t="e">
        <f>IF(C30=0,0,D30+C59)</f>
        <v>#DIV/0!</v>
      </c>
      <c r="E81" s="264" t="e">
        <f>E30</f>
        <v>#N/A</v>
      </c>
      <c r="F81" s="166" t="e">
        <f>D81*E81</f>
        <v>#DIV/0!</v>
      </c>
      <c r="G81" s="268" t="s">
        <v>323</v>
      </c>
      <c r="H81" s="264" t="e">
        <f>I81/$H$77</f>
        <v>#DIV/0!</v>
      </c>
      <c r="I81" s="265" t="e">
        <f>IF(H30=0,0,I30+I59)</f>
        <v>#DIV/0!</v>
      </c>
      <c r="J81" s="260"/>
      <c r="K81" s="263"/>
      <c r="L81" s="268" t="s">
        <v>323</v>
      </c>
      <c r="M81" s="264" t="e">
        <f>N81/$K$77</f>
        <v>#DIV/0!</v>
      </c>
      <c r="N81" s="265" t="e">
        <f>IF(M30=0,0,N30*(1+N59))</f>
        <v>#DIV/0!</v>
      </c>
      <c r="O81" s="104"/>
      <c r="P81" s="104"/>
    </row>
    <row r="82" spans="1:16">
      <c r="A82" s="34"/>
      <c r="B82" s="259" t="s">
        <v>42</v>
      </c>
      <c r="C82" s="264" t="e">
        <f t="shared" si="43"/>
        <v>#N/A</v>
      </c>
      <c r="D82" s="250" t="e">
        <f t="shared" ref="D82:D86" si="44">IF(C31=0,0,D31+C60)</f>
        <v>#N/A</v>
      </c>
      <c r="E82" s="264" t="e">
        <f t="shared" ref="E82:E86" si="45">IF(C82=0,0,F82/D82)</f>
        <v>#N/A</v>
      </c>
      <c r="F82" s="250" t="e">
        <f>IF(C82=0,0,F31+D60)</f>
        <v>#N/A</v>
      </c>
      <c r="G82" s="259" t="s">
        <v>42</v>
      </c>
      <c r="H82" s="264" t="e">
        <f t="shared" ref="H82:H86" si="46">I82/$H$77</f>
        <v>#DIV/0!</v>
      </c>
      <c r="I82" s="265" t="e">
        <f t="shared" ref="I82:I86" si="47">IF(H31=0,0,I31+I60)</f>
        <v>#DIV/0!</v>
      </c>
      <c r="J82" s="264" t="e">
        <f>J31</f>
        <v>#N/A</v>
      </c>
      <c r="K82" s="166" t="e">
        <f>I82*J82</f>
        <v>#DIV/0!</v>
      </c>
      <c r="L82" s="259" t="s">
        <v>42</v>
      </c>
      <c r="M82" s="264" t="e">
        <f>N82/$K$77</f>
        <v>#DIV/0!</v>
      </c>
      <c r="N82" s="265" t="e">
        <f t="shared" ref="N82:N86" si="48">IF(M31=0,0,N31*(1+N60))</f>
        <v>#DIV/0!</v>
      </c>
      <c r="O82" s="264" t="e">
        <f>O31</f>
        <v>#N/A</v>
      </c>
      <c r="P82" s="166" t="e">
        <f>N82*O82</f>
        <v>#DIV/0!</v>
      </c>
    </row>
    <row r="83" spans="1:16">
      <c r="A83" s="34"/>
      <c r="B83" s="259" t="s">
        <v>40</v>
      </c>
      <c r="C83" s="264" t="e">
        <f t="shared" si="43"/>
        <v>#N/A</v>
      </c>
      <c r="D83" s="250" t="e">
        <f t="shared" si="44"/>
        <v>#N/A</v>
      </c>
      <c r="E83" s="264" t="e">
        <f t="shared" si="45"/>
        <v>#N/A</v>
      </c>
      <c r="F83" s="250" t="e">
        <f>IF(C83=0,0,F32+D61)</f>
        <v>#N/A</v>
      </c>
      <c r="G83" s="259" t="s">
        <v>40</v>
      </c>
      <c r="H83" s="264" t="e">
        <f t="shared" si="46"/>
        <v>#DIV/0!</v>
      </c>
      <c r="I83" s="265" t="e">
        <f t="shared" si="47"/>
        <v>#DIV/0!</v>
      </c>
      <c r="J83" s="264" t="e">
        <f t="shared" ref="J83:J86" si="49">J32</f>
        <v>#N/A</v>
      </c>
      <c r="K83" s="166" t="e">
        <f t="shared" ref="K83:K86" si="50">I83*J83</f>
        <v>#DIV/0!</v>
      </c>
      <c r="L83" s="259" t="s">
        <v>40</v>
      </c>
      <c r="M83" s="264" t="e">
        <f t="shared" ref="M83:M86" si="51">N83/$K$77</f>
        <v>#DIV/0!</v>
      </c>
      <c r="N83" s="265" t="e">
        <f t="shared" si="48"/>
        <v>#DIV/0!</v>
      </c>
      <c r="O83" s="264" t="e">
        <f t="shared" ref="O83:O86" si="52">O32</f>
        <v>#N/A</v>
      </c>
      <c r="P83" s="166" t="e">
        <f t="shared" ref="P83:P86" si="53">N83*O83</f>
        <v>#DIV/0!</v>
      </c>
    </row>
    <row r="84" spans="1:16">
      <c r="A84" s="34"/>
      <c r="B84" s="259" t="s">
        <v>157</v>
      </c>
      <c r="C84" s="264" t="e">
        <f t="shared" si="43"/>
        <v>#N/A</v>
      </c>
      <c r="D84" s="250" t="e">
        <f t="shared" si="44"/>
        <v>#N/A</v>
      </c>
      <c r="E84" s="264" t="e">
        <f t="shared" si="45"/>
        <v>#N/A</v>
      </c>
      <c r="F84" s="250" t="e">
        <f>IF(C84=0,0,F33+D62)</f>
        <v>#N/A</v>
      </c>
      <c r="G84" s="259" t="s">
        <v>157</v>
      </c>
      <c r="H84" s="264" t="e">
        <f t="shared" si="46"/>
        <v>#DIV/0!</v>
      </c>
      <c r="I84" s="265" t="e">
        <f t="shared" si="47"/>
        <v>#DIV/0!</v>
      </c>
      <c r="J84" s="264" t="e">
        <f t="shared" si="49"/>
        <v>#N/A</v>
      </c>
      <c r="K84" s="166" t="e">
        <f t="shared" si="50"/>
        <v>#DIV/0!</v>
      </c>
      <c r="L84" s="259" t="s">
        <v>157</v>
      </c>
      <c r="M84" s="264" t="e">
        <f t="shared" si="51"/>
        <v>#DIV/0!</v>
      </c>
      <c r="N84" s="265" t="e">
        <f t="shared" si="48"/>
        <v>#DIV/0!</v>
      </c>
      <c r="O84" s="264" t="e">
        <f t="shared" si="52"/>
        <v>#N/A</v>
      </c>
      <c r="P84" s="166" t="e">
        <f t="shared" si="53"/>
        <v>#DIV/0!</v>
      </c>
    </row>
    <row r="85" spans="1:16">
      <c r="A85" s="34"/>
      <c r="B85" s="259" t="s">
        <v>158</v>
      </c>
      <c r="C85" s="264" t="e">
        <f t="shared" si="43"/>
        <v>#N/A</v>
      </c>
      <c r="D85" s="250" t="e">
        <f t="shared" si="44"/>
        <v>#N/A</v>
      </c>
      <c r="E85" s="264" t="e">
        <f t="shared" si="45"/>
        <v>#N/A</v>
      </c>
      <c r="F85" s="250" t="e">
        <f>IF(C85=0,0,F34+D63)</f>
        <v>#N/A</v>
      </c>
      <c r="G85" s="259" t="s">
        <v>158</v>
      </c>
      <c r="H85" s="264" t="e">
        <f t="shared" si="46"/>
        <v>#DIV/0!</v>
      </c>
      <c r="I85" s="265" t="e">
        <f t="shared" si="47"/>
        <v>#DIV/0!</v>
      </c>
      <c r="J85" s="264" t="e">
        <f t="shared" si="49"/>
        <v>#N/A</v>
      </c>
      <c r="K85" s="166" t="e">
        <f t="shared" si="50"/>
        <v>#DIV/0!</v>
      </c>
      <c r="L85" s="259" t="s">
        <v>158</v>
      </c>
      <c r="M85" s="264" t="e">
        <f t="shared" si="51"/>
        <v>#DIV/0!</v>
      </c>
      <c r="N85" s="265" t="e">
        <f t="shared" si="48"/>
        <v>#DIV/0!</v>
      </c>
      <c r="O85" s="264" t="e">
        <f t="shared" si="52"/>
        <v>#N/A</v>
      </c>
      <c r="P85" s="166" t="e">
        <f t="shared" si="53"/>
        <v>#DIV/0!</v>
      </c>
    </row>
    <row r="86" spans="1:16">
      <c r="A86" s="34"/>
      <c r="B86" s="259" t="s">
        <v>25</v>
      </c>
      <c r="C86" s="264" t="e">
        <f t="shared" si="43"/>
        <v>#N/A</v>
      </c>
      <c r="D86" s="250" t="e">
        <f t="shared" si="44"/>
        <v>#N/A</v>
      </c>
      <c r="E86" s="264" t="e">
        <f t="shared" si="45"/>
        <v>#N/A</v>
      </c>
      <c r="F86" s="250" t="e">
        <f>IF(C86=0,0,F35+D64)</f>
        <v>#N/A</v>
      </c>
      <c r="G86" s="259" t="s">
        <v>25</v>
      </c>
      <c r="H86" s="264" t="e">
        <f t="shared" si="46"/>
        <v>#DIV/0!</v>
      </c>
      <c r="I86" s="265" t="e">
        <f t="shared" si="47"/>
        <v>#DIV/0!</v>
      </c>
      <c r="J86" s="264" t="e">
        <f t="shared" si="49"/>
        <v>#N/A</v>
      </c>
      <c r="K86" s="166" t="e">
        <f t="shared" si="50"/>
        <v>#DIV/0!</v>
      </c>
      <c r="L86" s="259" t="s">
        <v>25</v>
      </c>
      <c r="M86" s="264" t="e">
        <f t="shared" si="51"/>
        <v>#DIV/0!</v>
      </c>
      <c r="N86" s="265" t="e">
        <f t="shared" si="48"/>
        <v>#DIV/0!</v>
      </c>
      <c r="O86" s="264" t="e">
        <f t="shared" si="52"/>
        <v>#N/A</v>
      </c>
      <c r="P86" s="166" t="e">
        <f t="shared" si="53"/>
        <v>#DIV/0!</v>
      </c>
    </row>
    <row r="87" spans="1:16">
      <c r="A87" s="34"/>
    </row>
    <row r="88" spans="1:16">
      <c r="A88" s="34"/>
      <c r="B88" s="101" t="s">
        <v>172</v>
      </c>
      <c r="C88" s="99"/>
      <c r="D88" s="99"/>
      <c r="E88" s="99"/>
      <c r="F88" s="99"/>
      <c r="G88" s="99"/>
      <c r="H88" s="99"/>
      <c r="I88" s="99"/>
      <c r="J88" s="99"/>
      <c r="K88" s="99"/>
      <c r="L88" s="99"/>
      <c r="M88" s="99"/>
      <c r="N88" s="99"/>
      <c r="O88" s="99"/>
      <c r="P88" s="99"/>
    </row>
    <row r="89" spans="1:16">
      <c r="A89" s="34"/>
    </row>
    <row r="90" spans="1:16" ht="15.75">
      <c r="A90" s="34"/>
      <c r="C90" s="269" t="s">
        <v>365</v>
      </c>
      <c r="D90" s="593" t="s">
        <v>142</v>
      </c>
      <c r="E90" s="594"/>
      <c r="F90" s="593" t="s">
        <v>124</v>
      </c>
      <c r="G90" s="594"/>
      <c r="H90" s="269" t="s">
        <v>366</v>
      </c>
    </row>
    <row r="91" spans="1:16" ht="15.75">
      <c r="A91" s="34"/>
      <c r="B91" s="269" t="s">
        <v>173</v>
      </c>
      <c r="C91" s="270" t="e">
        <f>'Route capacity parameters'!$C$9</f>
        <v>#DIV/0!</v>
      </c>
      <c r="D91" s="363">
        <f>'Project details'!$C34</f>
        <v>0</v>
      </c>
      <c r="E91" s="380">
        <f>IF(F91=0,0,(HLOOKUP($D91,Elasticities!$C$98:$E$102,2,FALSE)))</f>
        <v>0</v>
      </c>
      <c r="F91" s="363">
        <f>'Project details'!E34</f>
        <v>0</v>
      </c>
      <c r="G91" s="380">
        <f>IF(F91=0,0,(HLOOKUP($F91,Elasticities!$C$98:$E$102,2,FALSE)))</f>
        <v>0</v>
      </c>
      <c r="H91" s="272">
        <f>IF(F91=0,0,G91-E91)</f>
        <v>0</v>
      </c>
      <c r="I91" s="112"/>
      <c r="J91" s="112"/>
    </row>
    <row r="92" spans="1:16" ht="15.75">
      <c r="A92" s="34"/>
      <c r="B92" s="269" t="s">
        <v>94</v>
      </c>
      <c r="C92" s="270" t="e">
        <f>'Route capacity parameters'!$C$10</f>
        <v>#DIV/0!</v>
      </c>
      <c r="D92" s="363">
        <f>'Project details'!$C35</f>
        <v>0</v>
      </c>
      <c r="E92" s="380">
        <f>IF(F92=0,0,(HLOOKUP($D92,Elasticities!$C$98:$E$102,2,FALSE)))</f>
        <v>0</v>
      </c>
      <c r="F92" s="363">
        <f>'Project details'!E35</f>
        <v>0</v>
      </c>
      <c r="G92" s="380">
        <f>IF(F92=0,0,(HLOOKUP($F92,Elasticities!$C$98:$E$102,2,FALSE)))</f>
        <v>0</v>
      </c>
      <c r="H92" s="272">
        <f t="shared" ref="H92:H94" si="54">IF(F92=0,0,G92-E92)</f>
        <v>0</v>
      </c>
      <c r="I92" s="15"/>
      <c r="J92" s="15"/>
      <c r="K92" s="15"/>
      <c r="L92" s="15"/>
      <c r="M92" s="15"/>
      <c r="N92" s="15"/>
    </row>
    <row r="93" spans="1:16" ht="15.75">
      <c r="A93" s="34"/>
      <c r="B93" s="269" t="s">
        <v>225</v>
      </c>
      <c r="C93" s="270" t="e">
        <f>'Route capacity parameters'!$C$11</f>
        <v>#DIV/0!</v>
      </c>
      <c r="D93" s="363">
        <f>'Project details'!$C36</f>
        <v>0</v>
      </c>
      <c r="E93" s="380">
        <f>IF(F93=0,0,(HLOOKUP($D93,Elasticities!$C$98:$E$102,2,FALSE)))</f>
        <v>0</v>
      </c>
      <c r="F93" s="363">
        <f>'Project details'!E36</f>
        <v>0</v>
      </c>
      <c r="G93" s="380">
        <f>IF(F93=0,0,(HLOOKUP($F93,Elasticities!$C$98:$E$102,2,FALSE)))</f>
        <v>0</v>
      </c>
      <c r="H93" s="272">
        <f t="shared" si="54"/>
        <v>0</v>
      </c>
      <c r="I93" s="15"/>
      <c r="J93" s="15"/>
      <c r="K93" s="15"/>
      <c r="L93" s="15"/>
      <c r="M93" s="15"/>
      <c r="N93" s="15"/>
    </row>
    <row r="94" spans="1:16" ht="15.75">
      <c r="A94" s="34"/>
      <c r="B94" s="269" t="s">
        <v>53</v>
      </c>
      <c r="C94" s="270" t="e">
        <f>'Route capacity parameters'!$C$12</f>
        <v>#DIV/0!</v>
      </c>
      <c r="D94" s="363">
        <f>'Project details'!$C37</f>
        <v>0</v>
      </c>
      <c r="E94" s="380">
        <f>IF(F94=0,0,(HLOOKUP($D94,Elasticities!$C$98:$E$102,2,FALSE)))</f>
        <v>0</v>
      </c>
      <c r="F94" s="363">
        <f>'Project details'!E37</f>
        <v>0</v>
      </c>
      <c r="G94" s="380">
        <f>IF(F94=0,0,(HLOOKUP($F94,Elasticities!$C$98:$E$102,2,FALSE)))</f>
        <v>0</v>
      </c>
      <c r="H94" s="272">
        <f t="shared" si="54"/>
        <v>0</v>
      </c>
      <c r="J94" s="15"/>
      <c r="K94" s="15"/>
      <c r="L94" s="15"/>
      <c r="M94" s="251"/>
      <c r="N94" s="15"/>
    </row>
    <row r="95" spans="1:16" ht="15.75">
      <c r="A95" s="34"/>
      <c r="B95" s="269" t="s">
        <v>367</v>
      </c>
      <c r="E95" s="271" t="e">
        <f>SUMPRODUCT(C91:C94,E91:E94)</f>
        <v>#DIV/0!</v>
      </c>
      <c r="G95" s="271" t="e">
        <f>SUMPRODUCT(C91:C94,G91:G94)</f>
        <v>#DIV/0!</v>
      </c>
      <c r="H95" s="271" t="e">
        <f>SUMPRODUCT(C91:C94,H91:H94)</f>
        <v>#DIV/0!</v>
      </c>
      <c r="I95" s="15"/>
      <c r="J95" s="15"/>
      <c r="K95" s="15"/>
      <c r="L95" s="15"/>
      <c r="M95" s="15"/>
    </row>
    <row r="96" spans="1:16">
      <c r="A96" s="34"/>
      <c r="G96" s="15"/>
      <c r="H96" s="15"/>
      <c r="I96" s="15"/>
      <c r="J96" s="15"/>
      <c r="K96" s="15"/>
    </row>
    <row r="97" spans="1:16">
      <c r="A97" s="34"/>
      <c r="B97" s="101" t="s">
        <v>174</v>
      </c>
      <c r="C97" s="99"/>
      <c r="D97" s="99"/>
      <c r="E97" s="99"/>
      <c r="F97" s="99"/>
      <c r="G97" s="131"/>
      <c r="H97" s="99"/>
      <c r="I97" s="99"/>
      <c r="J97" s="99"/>
      <c r="K97" s="99"/>
      <c r="L97" s="99"/>
      <c r="M97" s="99"/>
      <c r="N97" s="99"/>
      <c r="O97" s="99"/>
      <c r="P97" s="99"/>
    </row>
    <row r="98" spans="1:16">
      <c r="A98" s="34"/>
      <c r="G98" s="15"/>
    </row>
    <row r="99" spans="1:16" ht="15.75">
      <c r="A99" s="34"/>
      <c r="C99" s="593" t="s">
        <v>142</v>
      </c>
      <c r="D99" s="594"/>
      <c r="E99" s="593" t="s">
        <v>124</v>
      </c>
      <c r="F99" s="594"/>
      <c r="G99" s="269" t="s">
        <v>366</v>
      </c>
      <c r="I99" s="15"/>
    </row>
    <row r="100" spans="1:16" ht="15.75">
      <c r="A100" s="34"/>
      <c r="B100" s="269" t="s">
        <v>149</v>
      </c>
      <c r="C100" s="363">
        <f>'Project details'!$C$25</f>
        <v>0</v>
      </c>
      <c r="D100" s="380">
        <f>IF(C100=0,0,(HLOOKUP($C100,Elasticities!$C$106:$D$107,2,FALSE)))</f>
        <v>0</v>
      </c>
      <c r="E100" s="363">
        <f>'Project details'!$D$25</f>
        <v>0</v>
      </c>
      <c r="F100" s="380">
        <f>IF(E100=0,0,(HLOOKUP($E100,Elasticities!$C$106:$D$107,2,FALSE)))</f>
        <v>0</v>
      </c>
      <c r="G100" s="272">
        <f>IF(E100=0,0,F100-D100)</f>
        <v>0</v>
      </c>
      <c r="I100" s="15"/>
    </row>
    <row r="101" spans="1:16">
      <c r="A101" s="34"/>
      <c r="G101" s="15"/>
    </row>
    <row r="102" spans="1:16">
      <c r="A102" s="34"/>
      <c r="E102" s="15"/>
      <c r="F102" s="15"/>
      <c r="G102" s="15"/>
    </row>
    <row r="103" spans="1:16">
      <c r="A103" s="34"/>
      <c r="B103" s="101" t="s">
        <v>150</v>
      </c>
      <c r="C103" s="99"/>
      <c r="D103" s="99"/>
      <c r="E103" s="131"/>
      <c r="F103" s="131"/>
      <c r="G103" s="131"/>
      <c r="H103" s="99"/>
      <c r="I103" s="99"/>
      <c r="J103" s="99"/>
      <c r="K103" s="99"/>
      <c r="L103" s="99"/>
      <c r="M103" s="99"/>
      <c r="N103" s="99"/>
      <c r="O103" s="99"/>
      <c r="P103" s="99"/>
    </row>
    <row r="104" spans="1:16">
      <c r="A104" s="34"/>
      <c r="E104" s="15"/>
      <c r="F104" s="15"/>
      <c r="G104" s="15"/>
    </row>
    <row r="105" spans="1:16" ht="15.75">
      <c r="A105" s="34"/>
      <c r="C105" s="593" t="s">
        <v>142</v>
      </c>
      <c r="D105" s="594"/>
      <c r="E105" s="593" t="s">
        <v>124</v>
      </c>
      <c r="F105" s="594"/>
      <c r="G105" s="269" t="s">
        <v>366</v>
      </c>
      <c r="H105" s="15"/>
      <c r="I105" s="15"/>
    </row>
    <row r="106" spans="1:16" ht="15.75">
      <c r="A106" s="34"/>
      <c r="B106" s="269" t="s">
        <v>642</v>
      </c>
      <c r="C106" s="363">
        <f>'Project details'!$C$17</f>
        <v>0</v>
      </c>
      <c r="D106" s="273">
        <f>IF(C106=0,0,IF('Station parameters'!$C$15="Yes",VLOOKUP($C$106,Elasticities!$B$112:$F$114,2,FALSE),IF('Station parameters'!$C$16="Yes",VLOOKUP($C$106,Elasticities!$B$112:$F$114,3,FALSE),IF('Station parameters'!$C$17="Yes",VLOOKUP($C$106,Elasticities!$B$112:$F$114,4,FALSE),VLOOKUP($C$106,Elasticities!$B$112:$F$114,5,FALSE)))))</f>
        <v>0</v>
      </c>
      <c r="E106" s="363">
        <f>'Project details'!$D$17</f>
        <v>0</v>
      </c>
      <c r="F106" s="273">
        <f>IF(E106=0,0,IF('Station parameters'!$C$15="Yes",VLOOKUP($E$106,Elasticities!$B$112:$F$114,2,FALSE),IF('Station parameters'!$C$16="Yes",VLOOKUP($E$106,Elasticities!$B$112:$F$114,3,FALSE),IF('Station parameters'!$C$17="Yes",VLOOKUP($E$106,Elasticities!$B$112:$F$114,4,FALSE),VLOOKUP($E$106,Elasticities!$B$112:$F$114,5,FALSE)))))</f>
        <v>0</v>
      </c>
      <c r="G106" s="272">
        <f>IF(E106=0,0,$F106-$D106)</f>
        <v>0</v>
      </c>
      <c r="H106" s="15"/>
      <c r="I106" s="15"/>
    </row>
    <row r="107" spans="1:16">
      <c r="A107" s="34"/>
      <c r="E107" s="15"/>
      <c r="F107" s="15"/>
      <c r="G107" s="15"/>
    </row>
    <row r="108" spans="1:16">
      <c r="A108" s="34"/>
      <c r="B108" s="101" t="s">
        <v>371</v>
      </c>
      <c r="C108" s="99"/>
      <c r="D108" s="99"/>
      <c r="E108" s="131"/>
      <c r="F108" s="131"/>
      <c r="G108" s="131"/>
      <c r="H108" s="99"/>
      <c r="I108" s="99"/>
      <c r="J108" s="99"/>
      <c r="K108" s="99"/>
      <c r="L108" s="99"/>
      <c r="M108" s="99"/>
      <c r="N108" s="99"/>
      <c r="O108" s="99"/>
      <c r="P108" s="99"/>
    </row>
    <row r="109" spans="1:16">
      <c r="A109" s="34"/>
      <c r="E109" s="15"/>
      <c r="F109" s="15"/>
      <c r="G109" s="15"/>
    </row>
    <row r="110" spans="1:16">
      <c r="A110" s="34"/>
      <c r="B110" s="86" t="s">
        <v>370</v>
      </c>
    </row>
    <row r="111" spans="1:16" ht="15.75">
      <c r="A111" s="34"/>
      <c r="B111" s="86"/>
      <c r="C111" s="269" t="s">
        <v>634</v>
      </c>
      <c r="D111" s="269" t="s">
        <v>156</v>
      </c>
    </row>
    <row r="112" spans="1:16" ht="15.75">
      <c r="A112" s="34"/>
      <c r="B112" s="269" t="s">
        <v>59</v>
      </c>
      <c r="C112" s="273" t="e">
        <f>$H$95</f>
        <v>#DIV/0!</v>
      </c>
      <c r="D112" s="273" t="e">
        <f>$H$95</f>
        <v>#DIV/0!</v>
      </c>
    </row>
    <row r="113" spans="1:16" ht="15.75">
      <c r="A113" s="34"/>
      <c r="B113" s="269" t="s">
        <v>372</v>
      </c>
      <c r="C113" s="274" t="s">
        <v>175</v>
      </c>
      <c r="D113" s="273">
        <f>G100</f>
        <v>0</v>
      </c>
    </row>
    <row r="114" spans="1:16" ht="15.75">
      <c r="A114" s="34"/>
      <c r="B114" s="269" t="s">
        <v>140</v>
      </c>
      <c r="C114" s="273">
        <f>G106</f>
        <v>0</v>
      </c>
      <c r="D114" s="274" t="s">
        <v>175</v>
      </c>
    </row>
    <row r="115" spans="1:16" ht="15.75">
      <c r="A115" s="34"/>
      <c r="B115" s="269" t="s">
        <v>373</v>
      </c>
      <c r="C115" s="317" t="e">
        <f>IF(Option1="No",0,IF($E$106="No dedicated cycle parking", SUM(C112:C114), C114+(0.5*C112)))</f>
        <v>#DIV/0!</v>
      </c>
      <c r="D115" s="317" t="e">
        <f>IF(Option1="No",0,IF($E$100="No", SUM(D112:D114), D113+(0.25*D112)))</f>
        <v>#DIV/0!</v>
      </c>
    </row>
    <row r="116" spans="1:16">
      <c r="A116" s="34"/>
    </row>
    <row r="117" spans="1:16">
      <c r="A117" s="34"/>
      <c r="B117" s="86" t="s">
        <v>379</v>
      </c>
    </row>
    <row r="118" spans="1:16">
      <c r="A118" s="34"/>
      <c r="B118" s="14" t="s">
        <v>47</v>
      </c>
      <c r="C118" s="158" t="s">
        <v>205</v>
      </c>
      <c r="D118" s="158" t="s">
        <v>27</v>
      </c>
      <c r="H118" s="14" t="s">
        <v>641</v>
      </c>
      <c r="I118" s="158" t="s">
        <v>205</v>
      </c>
      <c r="J118" s="158" t="s">
        <v>27</v>
      </c>
      <c r="K118" s="158"/>
      <c r="M118" s="14" t="s">
        <v>364</v>
      </c>
      <c r="N118" s="158" t="s">
        <v>205</v>
      </c>
      <c r="O118" s="158" t="s">
        <v>27</v>
      </c>
    </row>
    <row r="119" spans="1:16">
      <c r="A119" s="34"/>
      <c r="B119" s="23" t="s">
        <v>206</v>
      </c>
      <c r="C119" s="245"/>
      <c r="D119" s="245"/>
      <c r="H119" s="61" t="s">
        <v>323</v>
      </c>
      <c r="I119" s="245" t="e">
        <f>$I$121*VLOOKUP($H119,DiversionCycleAccess,4,FALSE)</f>
        <v>#DIV/0!</v>
      </c>
      <c r="J119" s="245"/>
      <c r="K119" s="244"/>
      <c r="M119" s="61" t="s">
        <v>323</v>
      </c>
      <c r="N119" s="245" t="e">
        <f>$N$121*VLOOKUP($M119,DiversionCycleEgress,2,FALSE)</f>
        <v>#DIV/0!</v>
      </c>
      <c r="O119" s="245"/>
    </row>
    <row r="120" spans="1:16">
      <c r="A120" s="34"/>
      <c r="B120" s="165" t="s">
        <v>42</v>
      </c>
      <c r="C120" s="245"/>
      <c r="D120" s="245"/>
      <c r="H120" s="249" t="s">
        <v>42</v>
      </c>
      <c r="I120" s="245" t="e">
        <f>$I$121*VLOOKUP($H120,DiversionCycleAccess,4,FALSE)</f>
        <v>#DIV/0!</v>
      </c>
      <c r="J120" s="245"/>
      <c r="K120" s="244"/>
      <c r="M120" s="249" t="s">
        <v>42</v>
      </c>
      <c r="N120" s="245" t="e">
        <f>$N$121*VLOOKUP($M120,DiversionCycleEgress,2,FALSE)</f>
        <v>#DIV/0!</v>
      </c>
      <c r="O120" s="245"/>
    </row>
    <row r="121" spans="1:16">
      <c r="A121" s="34"/>
      <c r="B121" s="165" t="s">
        <v>40</v>
      </c>
      <c r="C121" s="245"/>
      <c r="D121" s="245"/>
      <c r="H121" s="249" t="s">
        <v>40</v>
      </c>
      <c r="I121" s="248" t="e">
        <f>C115*D13</f>
        <v>#DIV/0!</v>
      </c>
      <c r="J121" s="248"/>
      <c r="K121" s="244"/>
      <c r="M121" s="247" t="s">
        <v>40</v>
      </c>
      <c r="N121" s="248" t="e">
        <f>D115*G13</f>
        <v>#DIV/0!</v>
      </c>
      <c r="O121" s="248"/>
    </row>
    <row r="122" spans="1:16">
      <c r="A122" s="34"/>
      <c r="B122" s="165" t="s">
        <v>157</v>
      </c>
      <c r="C122" s="245"/>
      <c r="D122" s="245"/>
      <c r="H122" s="249" t="s">
        <v>157</v>
      </c>
      <c r="I122" s="245" t="e">
        <f>$I$121*VLOOKUP($H122,DiversionCycleAccess,4,FALSE)</f>
        <v>#DIV/0!</v>
      </c>
      <c r="J122" s="245"/>
      <c r="K122" s="244"/>
      <c r="M122" s="249" t="s">
        <v>157</v>
      </c>
      <c r="N122" s="245" t="e">
        <f>$N$121*VLOOKUP($M122,DiversionCycleEgress,2,FALSE)</f>
        <v>#DIV/0!</v>
      </c>
      <c r="O122" s="245"/>
    </row>
    <row r="123" spans="1:16">
      <c r="A123" s="34"/>
      <c r="B123" s="165" t="s">
        <v>158</v>
      </c>
      <c r="C123" s="245"/>
      <c r="D123" s="245"/>
      <c r="H123" s="249" t="s">
        <v>158</v>
      </c>
      <c r="I123" s="245" t="e">
        <f>$I$121*VLOOKUP($H123,DiversionCycleAccess,4,FALSE)</f>
        <v>#DIV/0!</v>
      </c>
      <c r="J123" s="245"/>
      <c r="K123" s="244"/>
      <c r="M123" s="249" t="s">
        <v>158</v>
      </c>
      <c r="N123" s="245" t="e">
        <f>$N$121*VLOOKUP($M123,DiversionCycleEgress,2,FALSE)</f>
        <v>#DIV/0!</v>
      </c>
      <c r="O123" s="245"/>
    </row>
    <row r="124" spans="1:16">
      <c r="A124" s="34"/>
      <c r="B124" s="144" t="s">
        <v>25</v>
      </c>
      <c r="C124" s="245"/>
      <c r="D124" s="245"/>
      <c r="F124" s="163"/>
    </row>
    <row r="125" spans="1:16">
      <c r="A125" s="34"/>
    </row>
    <row r="126" spans="1:16">
      <c r="A126" s="34"/>
      <c r="B126" s="86" t="s">
        <v>166</v>
      </c>
      <c r="C126" s="118"/>
      <c r="D126" s="240" t="s">
        <v>167</v>
      </c>
      <c r="E126" s="239" t="e">
        <f>E77</f>
        <v>#N/A</v>
      </c>
      <c r="F126" s="127" t="s">
        <v>168</v>
      </c>
      <c r="G126" s="241" t="s">
        <v>169</v>
      </c>
      <c r="H126" s="239">
        <f>H77</f>
        <v>0</v>
      </c>
      <c r="J126" s="241" t="s">
        <v>170</v>
      </c>
      <c r="K126" s="239">
        <f>K77</f>
        <v>0</v>
      </c>
    </row>
    <row r="127" spans="1:16">
      <c r="A127" s="34"/>
      <c r="B127" s="108"/>
      <c r="C127" s="118"/>
      <c r="D127" s="119"/>
      <c r="E127" s="119"/>
      <c r="F127" s="118"/>
      <c r="G127" s="120"/>
      <c r="H127" s="119"/>
    </row>
    <row r="128" spans="1:16">
      <c r="A128" s="34"/>
      <c r="B128" s="254"/>
      <c r="C128" s="596" t="s">
        <v>47</v>
      </c>
      <c r="D128" s="597"/>
      <c r="E128" s="597"/>
      <c r="F128" s="598"/>
      <c r="H128" s="596" t="s">
        <v>639</v>
      </c>
      <c r="I128" s="597"/>
      <c r="J128" s="597"/>
      <c r="K128" s="598"/>
      <c r="M128" s="596" t="s">
        <v>153</v>
      </c>
      <c r="N128" s="597"/>
      <c r="O128" s="597"/>
      <c r="P128" s="598"/>
    </row>
    <row r="129" spans="1:16" ht="30">
      <c r="A129" s="34"/>
      <c r="B129" s="258" t="s">
        <v>47</v>
      </c>
      <c r="C129" s="258" t="s">
        <v>159</v>
      </c>
      <c r="D129" s="258" t="s">
        <v>200</v>
      </c>
      <c r="E129" s="258" t="s">
        <v>363</v>
      </c>
      <c r="F129" s="258" t="s">
        <v>201</v>
      </c>
      <c r="G129" s="258" t="s">
        <v>93</v>
      </c>
      <c r="H129" s="258" t="s">
        <v>159</v>
      </c>
      <c r="I129" s="258" t="s">
        <v>200</v>
      </c>
      <c r="J129" s="258" t="s">
        <v>363</v>
      </c>
      <c r="K129" s="258" t="s">
        <v>202</v>
      </c>
      <c r="L129" s="258" t="s">
        <v>93</v>
      </c>
      <c r="M129" s="258" t="s">
        <v>152</v>
      </c>
      <c r="N129" s="258" t="s">
        <v>200</v>
      </c>
      <c r="O129" s="258" t="s">
        <v>363</v>
      </c>
      <c r="P129" s="258" t="s">
        <v>203</v>
      </c>
    </row>
    <row r="130" spans="1:16">
      <c r="A130" s="34"/>
      <c r="B130" s="259" t="s">
        <v>206</v>
      </c>
      <c r="C130" s="264" t="e">
        <f>D130/$H$126</f>
        <v>#DIV/0!</v>
      </c>
      <c r="D130" s="250" t="e">
        <f>IF(C81=0,0,D81+C119)</f>
        <v>#DIV/0!</v>
      </c>
      <c r="E130" s="264" t="e">
        <f>IF(C130=0,0,F130/D130)</f>
        <v>#DIV/0!</v>
      </c>
      <c r="F130" s="250" t="e">
        <f>IF(C130=0,0,F81+D119)</f>
        <v>#DIV/0!</v>
      </c>
      <c r="G130" s="268" t="s">
        <v>323</v>
      </c>
      <c r="H130" s="264" t="e">
        <f>I130/$H$126</f>
        <v>#DIV/0!</v>
      </c>
      <c r="I130" s="265" t="e">
        <f>I81+I119</f>
        <v>#DIV/0!</v>
      </c>
      <c r="J130" s="260"/>
      <c r="K130" s="263"/>
      <c r="L130" s="268" t="s">
        <v>323</v>
      </c>
      <c r="M130" s="264" t="e">
        <f>N130/$K$126</f>
        <v>#DIV/0!</v>
      </c>
      <c r="N130" s="265" t="e">
        <f>N81+N119</f>
        <v>#DIV/0!</v>
      </c>
      <c r="O130" s="104"/>
      <c r="P130" s="104"/>
    </row>
    <row r="131" spans="1:16">
      <c r="A131" s="34"/>
      <c r="B131" s="259" t="s">
        <v>42</v>
      </c>
      <c r="C131" s="264" t="e">
        <f t="shared" ref="C131:C135" si="55">D131/$H$126</f>
        <v>#N/A</v>
      </c>
      <c r="D131" s="250" t="e">
        <f t="shared" ref="D131:D135" si="56">IF(C82=0,0,D82+C120)</f>
        <v>#N/A</v>
      </c>
      <c r="E131" s="264" t="e">
        <f t="shared" ref="E131:E135" si="57">IF(C131=0,0,F131/D131)</f>
        <v>#N/A</v>
      </c>
      <c r="F131" s="250" t="e">
        <f t="shared" ref="F131:F135" si="58">IF(C131=0,0,F82+D120)</f>
        <v>#N/A</v>
      </c>
      <c r="G131" s="259" t="s">
        <v>42</v>
      </c>
      <c r="H131" s="264" t="e">
        <f t="shared" ref="H131:H135" si="59">I131/$H$126</f>
        <v>#DIV/0!</v>
      </c>
      <c r="I131" s="265" t="e">
        <f t="shared" ref="I131:I135" si="60">I82+I120</f>
        <v>#DIV/0!</v>
      </c>
      <c r="J131" s="264" t="e">
        <f>J82</f>
        <v>#N/A</v>
      </c>
      <c r="K131" s="166" t="e">
        <f>I131*J131</f>
        <v>#DIV/0!</v>
      </c>
      <c r="L131" s="259" t="s">
        <v>42</v>
      </c>
      <c r="M131" s="264" t="e">
        <f t="shared" ref="M131:M135" si="61">N131/$K$126</f>
        <v>#DIV/0!</v>
      </c>
      <c r="N131" s="265" t="e">
        <f t="shared" ref="N131:N135" si="62">N82+N120</f>
        <v>#DIV/0!</v>
      </c>
      <c r="O131" s="264" t="e">
        <f>O82</f>
        <v>#N/A</v>
      </c>
      <c r="P131" s="166" t="e">
        <f>N131*O131</f>
        <v>#DIV/0!</v>
      </c>
    </row>
    <row r="132" spans="1:16">
      <c r="A132" s="34"/>
      <c r="B132" s="259" t="s">
        <v>40</v>
      </c>
      <c r="C132" s="264" t="e">
        <f t="shared" si="55"/>
        <v>#N/A</v>
      </c>
      <c r="D132" s="250" t="e">
        <f t="shared" si="56"/>
        <v>#N/A</v>
      </c>
      <c r="E132" s="264" t="e">
        <f t="shared" si="57"/>
        <v>#N/A</v>
      </c>
      <c r="F132" s="250" t="e">
        <f t="shared" si="58"/>
        <v>#N/A</v>
      </c>
      <c r="G132" s="259" t="s">
        <v>40</v>
      </c>
      <c r="H132" s="264" t="e">
        <f t="shared" si="59"/>
        <v>#DIV/0!</v>
      </c>
      <c r="I132" s="265" t="e">
        <f t="shared" si="60"/>
        <v>#DIV/0!</v>
      </c>
      <c r="J132" s="264" t="e">
        <f t="shared" ref="J132:J135" si="63">J83</f>
        <v>#N/A</v>
      </c>
      <c r="K132" s="166" t="e">
        <f t="shared" ref="K132:K135" si="64">I132*J132</f>
        <v>#DIV/0!</v>
      </c>
      <c r="L132" s="259" t="s">
        <v>40</v>
      </c>
      <c r="M132" s="264" t="e">
        <f t="shared" si="61"/>
        <v>#DIV/0!</v>
      </c>
      <c r="N132" s="265" t="e">
        <f t="shared" si="62"/>
        <v>#DIV/0!</v>
      </c>
      <c r="O132" s="264" t="e">
        <f t="shared" ref="O132:O135" si="65">O83</f>
        <v>#N/A</v>
      </c>
      <c r="P132" s="166" t="e">
        <f t="shared" ref="P132:P135" si="66">N132*O132</f>
        <v>#DIV/0!</v>
      </c>
    </row>
    <row r="133" spans="1:16">
      <c r="A133" s="34"/>
      <c r="B133" s="259" t="s">
        <v>157</v>
      </c>
      <c r="C133" s="264" t="e">
        <f t="shared" si="55"/>
        <v>#N/A</v>
      </c>
      <c r="D133" s="250" t="e">
        <f t="shared" si="56"/>
        <v>#N/A</v>
      </c>
      <c r="E133" s="264" t="e">
        <f t="shared" si="57"/>
        <v>#N/A</v>
      </c>
      <c r="F133" s="250" t="e">
        <f t="shared" si="58"/>
        <v>#N/A</v>
      </c>
      <c r="G133" s="259" t="s">
        <v>157</v>
      </c>
      <c r="H133" s="264" t="e">
        <f t="shared" si="59"/>
        <v>#DIV/0!</v>
      </c>
      <c r="I133" s="265" t="e">
        <f t="shared" si="60"/>
        <v>#DIV/0!</v>
      </c>
      <c r="J133" s="264" t="e">
        <f t="shared" si="63"/>
        <v>#N/A</v>
      </c>
      <c r="K133" s="166" t="e">
        <f t="shared" si="64"/>
        <v>#DIV/0!</v>
      </c>
      <c r="L133" s="259" t="s">
        <v>157</v>
      </c>
      <c r="M133" s="264" t="e">
        <f t="shared" si="61"/>
        <v>#DIV/0!</v>
      </c>
      <c r="N133" s="265" t="e">
        <f t="shared" si="62"/>
        <v>#DIV/0!</v>
      </c>
      <c r="O133" s="264" t="e">
        <f t="shared" si="65"/>
        <v>#N/A</v>
      </c>
      <c r="P133" s="166" t="e">
        <f t="shared" si="66"/>
        <v>#DIV/0!</v>
      </c>
    </row>
    <row r="134" spans="1:16">
      <c r="A134" s="34"/>
      <c r="B134" s="259" t="s">
        <v>158</v>
      </c>
      <c r="C134" s="264" t="e">
        <f t="shared" si="55"/>
        <v>#N/A</v>
      </c>
      <c r="D134" s="250" t="e">
        <f t="shared" si="56"/>
        <v>#N/A</v>
      </c>
      <c r="E134" s="264" t="e">
        <f t="shared" si="57"/>
        <v>#N/A</v>
      </c>
      <c r="F134" s="250" t="e">
        <f t="shared" si="58"/>
        <v>#N/A</v>
      </c>
      <c r="G134" s="259" t="s">
        <v>158</v>
      </c>
      <c r="H134" s="264" t="e">
        <f t="shared" si="59"/>
        <v>#DIV/0!</v>
      </c>
      <c r="I134" s="265" t="e">
        <f t="shared" si="60"/>
        <v>#DIV/0!</v>
      </c>
      <c r="J134" s="264" t="e">
        <f t="shared" si="63"/>
        <v>#N/A</v>
      </c>
      <c r="K134" s="166" t="e">
        <f t="shared" si="64"/>
        <v>#DIV/0!</v>
      </c>
      <c r="L134" s="259" t="s">
        <v>158</v>
      </c>
      <c r="M134" s="264" t="e">
        <f t="shared" si="61"/>
        <v>#DIV/0!</v>
      </c>
      <c r="N134" s="265" t="e">
        <f t="shared" si="62"/>
        <v>#DIV/0!</v>
      </c>
      <c r="O134" s="264" t="e">
        <f t="shared" si="65"/>
        <v>#N/A</v>
      </c>
      <c r="P134" s="166" t="e">
        <f t="shared" si="66"/>
        <v>#DIV/0!</v>
      </c>
    </row>
    <row r="135" spans="1:16">
      <c r="A135" s="34"/>
      <c r="B135" s="259" t="s">
        <v>25</v>
      </c>
      <c r="C135" s="264" t="e">
        <f t="shared" si="55"/>
        <v>#N/A</v>
      </c>
      <c r="D135" s="250" t="e">
        <f t="shared" si="56"/>
        <v>#N/A</v>
      </c>
      <c r="E135" s="264" t="e">
        <f t="shared" si="57"/>
        <v>#N/A</v>
      </c>
      <c r="F135" s="250" t="e">
        <f t="shared" si="58"/>
        <v>#N/A</v>
      </c>
      <c r="G135" s="259" t="s">
        <v>25</v>
      </c>
      <c r="H135" s="264" t="e">
        <f t="shared" si="59"/>
        <v>#DIV/0!</v>
      </c>
      <c r="I135" s="265" t="e">
        <f t="shared" si="60"/>
        <v>#DIV/0!</v>
      </c>
      <c r="J135" s="264" t="e">
        <f t="shared" si="63"/>
        <v>#N/A</v>
      </c>
      <c r="K135" s="166" t="e">
        <f t="shared" si="64"/>
        <v>#DIV/0!</v>
      </c>
      <c r="L135" s="259" t="s">
        <v>25</v>
      </c>
      <c r="M135" s="264" t="e">
        <f t="shared" si="61"/>
        <v>#DIV/0!</v>
      </c>
      <c r="N135" s="265" t="e">
        <f t="shared" si="62"/>
        <v>#DIV/0!</v>
      </c>
      <c r="O135" s="264" t="e">
        <f t="shared" si="65"/>
        <v>#N/A</v>
      </c>
      <c r="P135" s="166" t="e">
        <f t="shared" si="66"/>
        <v>#DIV/0!</v>
      </c>
    </row>
    <row r="136" spans="1:16">
      <c r="A136" s="34"/>
    </row>
    <row r="137" spans="1:16">
      <c r="A137" s="34"/>
      <c r="B137" s="101" t="s">
        <v>333</v>
      </c>
      <c r="C137" s="99"/>
      <c r="D137" s="99"/>
      <c r="E137" s="99"/>
      <c r="F137" s="99"/>
      <c r="G137" s="99"/>
      <c r="H137" s="99"/>
      <c r="I137" s="99"/>
      <c r="J137" s="99"/>
      <c r="K137" s="99"/>
      <c r="L137" s="99"/>
      <c r="M137" s="99"/>
      <c r="N137" s="99"/>
      <c r="O137" s="99"/>
      <c r="P137" s="99"/>
    </row>
    <row r="138" spans="1:16">
      <c r="A138" s="34"/>
    </row>
    <row r="139" spans="1:16">
      <c r="A139" s="34"/>
      <c r="B139" s="86" t="s">
        <v>339</v>
      </c>
    </row>
    <row r="140" spans="1:16">
      <c r="A140" s="34"/>
      <c r="B140" s="86"/>
      <c r="H140" s="155" t="s">
        <v>358</v>
      </c>
      <c r="I140" s="214"/>
      <c r="J140" s="156"/>
      <c r="K140" s="155" t="s">
        <v>640</v>
      </c>
      <c r="L140" s="214"/>
      <c r="M140" s="156"/>
      <c r="N140" s="155" t="s">
        <v>387</v>
      </c>
      <c r="O140" s="214"/>
      <c r="P140" s="156"/>
    </row>
    <row r="141" spans="1:16">
      <c r="A141" s="34"/>
      <c r="B141" s="238" t="s">
        <v>374</v>
      </c>
      <c r="C141" s="238" t="s">
        <v>304</v>
      </c>
      <c r="D141" s="238" t="s">
        <v>356</v>
      </c>
      <c r="E141" s="238" t="s">
        <v>357</v>
      </c>
      <c r="F141" s="238" t="s">
        <v>355</v>
      </c>
      <c r="G141" s="238" t="s">
        <v>359</v>
      </c>
      <c r="H141" s="238" t="s">
        <v>360</v>
      </c>
      <c r="I141" s="238" t="s">
        <v>329</v>
      </c>
      <c r="J141" s="238" t="s">
        <v>361</v>
      </c>
      <c r="K141" s="238" t="s">
        <v>360</v>
      </c>
      <c r="L141" s="238" t="s">
        <v>329</v>
      </c>
      <c r="M141" s="238" t="s">
        <v>361</v>
      </c>
      <c r="N141" s="238" t="s">
        <v>360</v>
      </c>
      <c r="O141" s="238" t="s">
        <v>329</v>
      </c>
      <c r="P141" s="238" t="s">
        <v>361</v>
      </c>
    </row>
    <row r="142" spans="1:16">
      <c r="A142" s="34"/>
      <c r="B142" s="595" t="s">
        <v>30</v>
      </c>
      <c r="C142" s="238" t="s">
        <v>334</v>
      </c>
      <c r="D142" s="242">
        <f>'Project details'!$K99</f>
        <v>0</v>
      </c>
      <c r="E142" s="242">
        <f>'Project details'!L99</f>
        <v>0</v>
      </c>
      <c r="F142" s="242">
        <f>IF(Option1="No",0,(E142-D142)/60)</f>
        <v>0</v>
      </c>
      <c r="G142" s="243">
        <f>'Project details'!$K$70</f>
        <v>0</v>
      </c>
      <c r="H142" s="242" t="e">
        <f>$H$148*$G142</f>
        <v>#DIV/0!</v>
      </c>
      <c r="I142" s="277" t="e">
        <f>$F142/VLOOKUP('Station parameters'!$O$3,HomeCycleGJT,8,FALSE)*Elasticities!$C$119</f>
        <v>#N/A</v>
      </c>
      <c r="J142" s="242" t="e">
        <f>H142*I142</f>
        <v>#DIV/0!</v>
      </c>
      <c r="K142" s="242" t="e">
        <f>$K$148*$G142</f>
        <v>#DIV/0!</v>
      </c>
      <c r="L142" s="277" t="e">
        <f>$F142/VLOOKUP('Station parameters'!$O$3,HomeCycleGJT,7,FALSE)*Elasticities!$C$119</f>
        <v>#N/A</v>
      </c>
      <c r="M142" s="242" t="e">
        <f>K142*L142</f>
        <v>#DIV/0!</v>
      </c>
      <c r="N142" s="242" t="e">
        <f>$N$148*$G142</f>
        <v>#DIV/0!</v>
      </c>
      <c r="O142" s="277" t="e">
        <f>$F142/VLOOKUP('Station parameters'!$O$3,DestinationCycleGJT,7,FALSE)*Elasticities!$C$119</f>
        <v>#N/A</v>
      </c>
      <c r="P142" s="242" t="e">
        <f>N142*O142</f>
        <v>#DIV/0!</v>
      </c>
    </row>
    <row r="143" spans="1:16">
      <c r="A143" s="34"/>
      <c r="B143" s="595"/>
      <c r="C143" s="238" t="s">
        <v>335</v>
      </c>
      <c r="D143" s="242">
        <f>'Project details'!$K140</f>
        <v>0</v>
      </c>
      <c r="E143" s="242">
        <f>'Project details'!L140</f>
        <v>0</v>
      </c>
      <c r="F143" s="242">
        <f>IF(Option1="No",0,(E143-D143)/60)</f>
        <v>0</v>
      </c>
      <c r="G143" s="243">
        <f>'Project details'!$K$111</f>
        <v>0</v>
      </c>
      <c r="H143" s="242" t="e">
        <f t="shared" ref="H143:H146" si="67">$H$148*$G143</f>
        <v>#DIV/0!</v>
      </c>
      <c r="I143" s="277" t="e">
        <f>$F143/VLOOKUP('Station parameters'!$O$3,HomeCycleGJT,8,FALSE)*Elasticities!$C$119</f>
        <v>#N/A</v>
      </c>
      <c r="J143" s="242" t="e">
        <f t="shared" ref="J143:J146" si="68">H143*I143</f>
        <v>#DIV/0!</v>
      </c>
      <c r="K143" s="242" t="e">
        <f t="shared" ref="K143:K146" si="69">$K$148*$G143</f>
        <v>#DIV/0!</v>
      </c>
      <c r="L143" s="277" t="e">
        <f>$F143/VLOOKUP('Station parameters'!$O$3,HomeCycleGJT,7,FALSE)*Elasticities!$C$119</f>
        <v>#N/A</v>
      </c>
      <c r="M143" s="242" t="e">
        <f t="shared" ref="M143:M146" si="70">K143*L143</f>
        <v>#DIV/0!</v>
      </c>
      <c r="N143" s="242" t="e">
        <f t="shared" ref="N143:N146" si="71">$N$148*$G143</f>
        <v>#DIV/0!</v>
      </c>
      <c r="O143" s="277" t="e">
        <f>$F143/VLOOKUP('Station parameters'!$O$3,DestinationCycleGJT,7,FALSE)*Elasticities!$C$119</f>
        <v>#N/A</v>
      </c>
      <c r="P143" s="242" t="e">
        <f t="shared" ref="P143:P146" si="72">N143*O143</f>
        <v>#DIV/0!</v>
      </c>
    </row>
    <row r="144" spans="1:16">
      <c r="A144" s="34"/>
      <c r="B144" s="595"/>
      <c r="C144" s="238" t="s">
        <v>336</v>
      </c>
      <c r="D144" s="242">
        <f>'Project details'!$K181</f>
        <v>0</v>
      </c>
      <c r="E144" s="242">
        <f>'Project details'!L181</f>
        <v>0</v>
      </c>
      <c r="F144" s="242">
        <f>IF(Option1="No",0,(E144-D144)/60)</f>
        <v>0</v>
      </c>
      <c r="G144" s="243">
        <f>'Project details'!$K$152</f>
        <v>0</v>
      </c>
      <c r="H144" s="242" t="e">
        <f t="shared" si="67"/>
        <v>#DIV/0!</v>
      </c>
      <c r="I144" s="277" t="e">
        <f>$F144/VLOOKUP('Station parameters'!$O$3,HomeCycleGJT,8,FALSE)*Elasticities!$C$119</f>
        <v>#N/A</v>
      </c>
      <c r="J144" s="242" t="e">
        <f t="shared" si="68"/>
        <v>#DIV/0!</v>
      </c>
      <c r="K144" s="242" t="e">
        <f t="shared" si="69"/>
        <v>#DIV/0!</v>
      </c>
      <c r="L144" s="277" t="e">
        <f>$F144/VLOOKUP('Station parameters'!$O$3,HomeCycleGJT,7,FALSE)*Elasticities!$C$119</f>
        <v>#N/A</v>
      </c>
      <c r="M144" s="242" t="e">
        <f t="shared" si="70"/>
        <v>#DIV/0!</v>
      </c>
      <c r="N144" s="242" t="e">
        <f t="shared" si="71"/>
        <v>#DIV/0!</v>
      </c>
      <c r="O144" s="277" t="e">
        <f>$F144/VLOOKUP('Station parameters'!$O$3,DestinationCycleGJT,7,FALSE)*Elasticities!$C$119</f>
        <v>#N/A</v>
      </c>
      <c r="P144" s="242" t="e">
        <f t="shared" si="72"/>
        <v>#DIV/0!</v>
      </c>
    </row>
    <row r="145" spans="1:16">
      <c r="A145" s="34"/>
      <c r="B145" s="595"/>
      <c r="C145" s="238" t="s">
        <v>337</v>
      </c>
      <c r="D145" s="242">
        <f>'Project details'!$K222</f>
        <v>0</v>
      </c>
      <c r="E145" s="242">
        <f>'Project details'!L222</f>
        <v>0</v>
      </c>
      <c r="F145" s="242">
        <f>IF(Option1="No",0,(E145-D145)/60)</f>
        <v>0</v>
      </c>
      <c r="G145" s="243">
        <f>'Project details'!$K$193</f>
        <v>0</v>
      </c>
      <c r="H145" s="242" t="e">
        <f t="shared" si="67"/>
        <v>#DIV/0!</v>
      </c>
      <c r="I145" s="277" t="e">
        <f>$F145/VLOOKUP('Station parameters'!$O$3,HomeCycleGJT,8,FALSE)*Elasticities!$C$119</f>
        <v>#N/A</v>
      </c>
      <c r="J145" s="242" t="e">
        <f t="shared" si="68"/>
        <v>#DIV/0!</v>
      </c>
      <c r="K145" s="242" t="e">
        <f t="shared" si="69"/>
        <v>#DIV/0!</v>
      </c>
      <c r="L145" s="277" t="e">
        <f>$F145/VLOOKUP('Station parameters'!$O$3,HomeCycleGJT,7,FALSE)*Elasticities!$C$119</f>
        <v>#N/A</v>
      </c>
      <c r="M145" s="242" t="e">
        <f t="shared" si="70"/>
        <v>#DIV/0!</v>
      </c>
      <c r="N145" s="242" t="e">
        <f t="shared" si="71"/>
        <v>#DIV/0!</v>
      </c>
      <c r="O145" s="277" t="e">
        <f>$F145/VLOOKUP('Station parameters'!$O$3,DestinationCycleGJT,7,FALSE)*Elasticities!$C$119</f>
        <v>#N/A</v>
      </c>
      <c r="P145" s="242" t="e">
        <f t="shared" si="72"/>
        <v>#DIV/0!</v>
      </c>
    </row>
    <row r="146" spans="1:16">
      <c r="A146" s="34"/>
      <c r="B146" s="595"/>
      <c r="C146" s="238" t="s">
        <v>338</v>
      </c>
      <c r="D146" s="242">
        <f>'Project details'!$K263</f>
        <v>0</v>
      </c>
      <c r="E146" s="242">
        <f>'Project details'!L263</f>
        <v>0</v>
      </c>
      <c r="F146" s="242">
        <f>IF(Option1="No",0,(E146-D146)/60)</f>
        <v>0</v>
      </c>
      <c r="G146" s="243">
        <f>'Project details'!$K$234</f>
        <v>0</v>
      </c>
      <c r="H146" s="242" t="e">
        <f t="shared" si="67"/>
        <v>#DIV/0!</v>
      </c>
      <c r="I146" s="277" t="e">
        <f>$F146/VLOOKUP('Station parameters'!$O$3,HomeCycleGJT,8,FALSE)*Elasticities!$C$119</f>
        <v>#N/A</v>
      </c>
      <c r="J146" s="242" t="e">
        <f t="shared" si="68"/>
        <v>#DIV/0!</v>
      </c>
      <c r="K146" s="242" t="e">
        <f t="shared" si="69"/>
        <v>#DIV/0!</v>
      </c>
      <c r="L146" s="277" t="e">
        <f>$F146/VLOOKUP('Station parameters'!$O$3,HomeCycleGJT,7,FALSE)*Elasticities!$C$119</f>
        <v>#N/A</v>
      </c>
      <c r="M146" s="242" t="e">
        <f t="shared" si="70"/>
        <v>#DIV/0!</v>
      </c>
      <c r="N146" s="242" t="e">
        <f t="shared" si="71"/>
        <v>#DIV/0!</v>
      </c>
      <c r="O146" s="277" t="e">
        <f>$F146/VLOOKUP('Station parameters'!$O$3,DestinationCycleGJT,7,FALSE)*Elasticities!$C$119</f>
        <v>#N/A</v>
      </c>
      <c r="P146" s="242" t="e">
        <f t="shared" si="72"/>
        <v>#DIV/0!</v>
      </c>
    </row>
    <row r="147" spans="1:16">
      <c r="A147" s="34"/>
      <c r="B147" s="595"/>
      <c r="C147" s="61" t="s">
        <v>331</v>
      </c>
      <c r="D147" s="236" t="s">
        <v>175</v>
      </c>
      <c r="E147" s="236" t="s">
        <v>175</v>
      </c>
      <c r="F147" s="236" t="s">
        <v>175</v>
      </c>
      <c r="G147" s="243">
        <f>1-SUM(G142:G146)</f>
        <v>1</v>
      </c>
      <c r="H147" s="236" t="s">
        <v>175</v>
      </c>
      <c r="I147" s="281">
        <v>0</v>
      </c>
      <c r="J147" s="236" t="s">
        <v>175</v>
      </c>
      <c r="K147" s="236" t="s">
        <v>175</v>
      </c>
      <c r="L147" s="281">
        <v>0</v>
      </c>
      <c r="M147" s="236" t="s">
        <v>175</v>
      </c>
      <c r="N147" s="236" t="s">
        <v>175</v>
      </c>
      <c r="O147" s="281">
        <v>0</v>
      </c>
      <c r="P147" s="236" t="s">
        <v>175</v>
      </c>
    </row>
    <row r="148" spans="1:16">
      <c r="A148" s="34"/>
      <c r="B148" s="238" t="s">
        <v>377</v>
      </c>
      <c r="D148" s="267"/>
      <c r="E148" s="267"/>
      <c r="F148" s="267"/>
      <c r="G148" s="275"/>
      <c r="H148" s="239" t="e">
        <f>('Station parameters'!$E$39-(SUM('Station parameters'!$C$53:$C$55)*('Station parameters'!$E$39/'Station parameters'!$E$49)))*0.75</f>
        <v>#DIV/0!</v>
      </c>
      <c r="I148" s="167" t="e">
        <f>SUMPRODUCT(G142:G147,I142:I147)/SUM(G142:G147)</f>
        <v>#N/A</v>
      </c>
      <c r="J148" s="276" t="e">
        <f>SUM(J142:J146)</f>
        <v>#DIV/0!</v>
      </c>
      <c r="K148" s="239" t="e">
        <f>I132*(H148/SUM(H148,H155))</f>
        <v>#DIV/0!</v>
      </c>
      <c r="L148" s="167" t="e">
        <f>SUMPRODUCT(G142:G147,L142:L147)/SUM(G142:G147)</f>
        <v>#N/A</v>
      </c>
      <c r="M148" s="276" t="e">
        <f>SUM(M142:M146)</f>
        <v>#DIV/0!</v>
      </c>
      <c r="N148" s="239" t="e">
        <f>N132*(H148/SUM(H148,H155))</f>
        <v>#DIV/0!</v>
      </c>
      <c r="O148" s="167" t="e">
        <f>SUMPRODUCT(G142:G147,O142:O147)/SUM(G142:G147)</f>
        <v>#N/A</v>
      </c>
      <c r="P148" s="276" t="e">
        <f>SUM(P142:P146)</f>
        <v>#DIV/0!</v>
      </c>
    </row>
    <row r="149" spans="1:16">
      <c r="A149" s="34"/>
      <c r="B149" s="595" t="s">
        <v>37</v>
      </c>
      <c r="C149" s="238" t="s">
        <v>334</v>
      </c>
      <c r="D149" s="427">
        <f>'Project details'!$K100</f>
        <v>0</v>
      </c>
      <c r="E149" s="427">
        <f>'Project details'!L100</f>
        <v>0</v>
      </c>
      <c r="F149" s="242">
        <f>IF(Option1="No",0,(E149-D149)/60)</f>
        <v>0</v>
      </c>
      <c r="G149" s="243">
        <f>'Project details'!$K$70</f>
        <v>0</v>
      </c>
      <c r="H149" s="242" t="e">
        <f>$H$155*$G149</f>
        <v>#DIV/0!</v>
      </c>
      <c r="I149" s="277" t="e">
        <f>$F149/VLOOKUP('Station parameters'!$O$3,HomeCycleGJT,8,FALSE)*Elasticities!$C$120</f>
        <v>#N/A</v>
      </c>
      <c r="J149" s="242" t="e">
        <f>H149*I149</f>
        <v>#DIV/0!</v>
      </c>
      <c r="K149" s="242" t="e">
        <f>$K$155*$G149</f>
        <v>#DIV/0!</v>
      </c>
      <c r="L149" s="277" t="e">
        <f>$F149/VLOOKUP('Station parameters'!$O$3,HomeCycleGJT,7,FALSE)*Elasticities!$C$120</f>
        <v>#N/A</v>
      </c>
      <c r="M149" s="242" t="e">
        <f>K149*L149</f>
        <v>#DIV/0!</v>
      </c>
      <c r="N149" s="242" t="e">
        <f>$N$155*$G149</f>
        <v>#DIV/0!</v>
      </c>
      <c r="O149" s="277" t="e">
        <f>$F149/VLOOKUP('Station parameters'!$O$3,DestinationCycleGJT,7,FALSE)*Elasticities!$C$120</f>
        <v>#N/A</v>
      </c>
      <c r="P149" s="242" t="e">
        <f>N149*O149</f>
        <v>#DIV/0!</v>
      </c>
    </row>
    <row r="150" spans="1:16">
      <c r="A150" s="34"/>
      <c r="B150" s="595"/>
      <c r="C150" s="238" t="s">
        <v>335</v>
      </c>
      <c r="D150" s="242">
        <f>'Project details'!$K141</f>
        <v>0</v>
      </c>
      <c r="E150" s="242">
        <f>'Project details'!L141</f>
        <v>0</v>
      </c>
      <c r="F150" s="242">
        <f>IF(Option1="No",0,(E150-D150)/60)</f>
        <v>0</v>
      </c>
      <c r="G150" s="243">
        <f>'Project details'!$K$111</f>
        <v>0</v>
      </c>
      <c r="H150" s="242" t="e">
        <f t="shared" ref="H150:H153" si="73">$H$155*$G150</f>
        <v>#DIV/0!</v>
      </c>
      <c r="I150" s="277" t="e">
        <f>$F150/VLOOKUP('Station parameters'!$O$3,HomeCycleGJT,8,FALSE)*Elasticities!$C$120</f>
        <v>#N/A</v>
      </c>
      <c r="J150" s="242" t="e">
        <f t="shared" ref="J150:J153" si="74">H150*I150</f>
        <v>#DIV/0!</v>
      </c>
      <c r="K150" s="242" t="e">
        <f t="shared" ref="K150:K153" si="75">$K$155*$G150</f>
        <v>#DIV/0!</v>
      </c>
      <c r="L150" s="277" t="e">
        <f>$F150/VLOOKUP('Station parameters'!$O$3,HomeCycleGJT,7,FALSE)*Elasticities!$C$120</f>
        <v>#N/A</v>
      </c>
      <c r="M150" s="242" t="e">
        <f t="shared" ref="M150:M153" si="76">K150*L150</f>
        <v>#DIV/0!</v>
      </c>
      <c r="N150" s="242" t="e">
        <f t="shared" ref="N150:N153" si="77">$N$155*$G150</f>
        <v>#DIV/0!</v>
      </c>
      <c r="O150" s="277" t="e">
        <f>$F150/VLOOKUP('Station parameters'!$O$3,DestinationCycleGJT,7,FALSE)*Elasticities!$C$120</f>
        <v>#N/A</v>
      </c>
      <c r="P150" s="242" t="e">
        <f t="shared" ref="P150:P153" si="78">N150*O150</f>
        <v>#DIV/0!</v>
      </c>
    </row>
    <row r="151" spans="1:16">
      <c r="A151" s="34"/>
      <c r="B151" s="595"/>
      <c r="C151" s="238" t="s">
        <v>336</v>
      </c>
      <c r="D151" s="242">
        <f>'Project details'!$K182</f>
        <v>0</v>
      </c>
      <c r="E151" s="242">
        <f>'Project details'!L182</f>
        <v>0</v>
      </c>
      <c r="F151" s="242">
        <f>IF(Option1="No",0,(E151-D151)/60)</f>
        <v>0</v>
      </c>
      <c r="G151" s="243">
        <f>'Project details'!$K$152</f>
        <v>0</v>
      </c>
      <c r="H151" s="242" t="e">
        <f t="shared" si="73"/>
        <v>#DIV/0!</v>
      </c>
      <c r="I151" s="277" t="e">
        <f>$F151/VLOOKUP('Station parameters'!$O$3,HomeCycleGJT,8,FALSE)*Elasticities!$C$120</f>
        <v>#N/A</v>
      </c>
      <c r="J151" s="242" t="e">
        <f t="shared" si="74"/>
        <v>#DIV/0!</v>
      </c>
      <c r="K151" s="242" t="e">
        <f t="shared" si="75"/>
        <v>#DIV/0!</v>
      </c>
      <c r="L151" s="277" t="e">
        <f>$F151/VLOOKUP('Station parameters'!$O$3,HomeCycleGJT,7,FALSE)*Elasticities!$C$120</f>
        <v>#N/A</v>
      </c>
      <c r="M151" s="242" t="e">
        <f t="shared" si="76"/>
        <v>#DIV/0!</v>
      </c>
      <c r="N151" s="242" t="e">
        <f t="shared" si="77"/>
        <v>#DIV/0!</v>
      </c>
      <c r="O151" s="277" t="e">
        <f>$F151/VLOOKUP('Station parameters'!$O$3,DestinationCycleGJT,7,FALSE)*Elasticities!$C$120</f>
        <v>#N/A</v>
      </c>
      <c r="P151" s="242" t="e">
        <f t="shared" si="78"/>
        <v>#DIV/0!</v>
      </c>
    </row>
    <row r="152" spans="1:16">
      <c r="A152" s="34"/>
      <c r="B152" s="595"/>
      <c r="C152" s="238" t="s">
        <v>337</v>
      </c>
      <c r="D152" s="242">
        <f>'Project details'!$K222</f>
        <v>0</v>
      </c>
      <c r="E152" s="242">
        <f>'Project details'!L222</f>
        <v>0</v>
      </c>
      <c r="F152" s="242">
        <f>IF(Option1="No",0,(E152-D152)/60)</f>
        <v>0</v>
      </c>
      <c r="G152" s="243">
        <f>'Project details'!$K$193</f>
        <v>0</v>
      </c>
      <c r="H152" s="242" t="e">
        <f t="shared" si="73"/>
        <v>#DIV/0!</v>
      </c>
      <c r="I152" s="277" t="e">
        <f>$F152/VLOOKUP('Station parameters'!$O$3,HomeCycleGJT,8,FALSE)*Elasticities!$C$120</f>
        <v>#N/A</v>
      </c>
      <c r="J152" s="242" t="e">
        <f t="shared" si="74"/>
        <v>#DIV/0!</v>
      </c>
      <c r="K152" s="242" t="e">
        <f t="shared" si="75"/>
        <v>#DIV/0!</v>
      </c>
      <c r="L152" s="277" t="e">
        <f>$F152/VLOOKUP('Station parameters'!$O$3,HomeCycleGJT,7,FALSE)*Elasticities!$C$120</f>
        <v>#N/A</v>
      </c>
      <c r="M152" s="242" t="e">
        <f t="shared" si="76"/>
        <v>#DIV/0!</v>
      </c>
      <c r="N152" s="242" t="e">
        <f t="shared" si="77"/>
        <v>#DIV/0!</v>
      </c>
      <c r="O152" s="277" t="e">
        <f>$F152/VLOOKUP('Station parameters'!$O$3,DestinationCycleGJT,7,FALSE)*Elasticities!$C$120</f>
        <v>#N/A</v>
      </c>
      <c r="P152" s="242" t="e">
        <f t="shared" si="78"/>
        <v>#DIV/0!</v>
      </c>
    </row>
    <row r="153" spans="1:16">
      <c r="A153" s="34"/>
      <c r="B153" s="595"/>
      <c r="C153" s="238" t="s">
        <v>338</v>
      </c>
      <c r="D153" s="242">
        <f>'Project details'!$K264</f>
        <v>0</v>
      </c>
      <c r="E153" s="242">
        <f>'Project details'!L264</f>
        <v>0</v>
      </c>
      <c r="F153" s="242">
        <f>IF(Option1="No",0,(E153-D153)/60)</f>
        <v>0</v>
      </c>
      <c r="G153" s="243">
        <f>'Project details'!$K$234</f>
        <v>0</v>
      </c>
      <c r="H153" s="242" t="e">
        <f t="shared" si="73"/>
        <v>#DIV/0!</v>
      </c>
      <c r="I153" s="277" t="e">
        <f>$F153/VLOOKUP('Station parameters'!$O$3,HomeCycleGJT,8,FALSE)*Elasticities!$C$120</f>
        <v>#N/A</v>
      </c>
      <c r="J153" s="242" t="e">
        <f t="shared" si="74"/>
        <v>#DIV/0!</v>
      </c>
      <c r="K153" s="242" t="e">
        <f t="shared" si="75"/>
        <v>#DIV/0!</v>
      </c>
      <c r="L153" s="277" t="e">
        <f>$F153/VLOOKUP('Station parameters'!$O$3,HomeCycleGJT,7,FALSE)*Elasticities!$C$120</f>
        <v>#N/A</v>
      </c>
      <c r="M153" s="242" t="e">
        <f t="shared" si="76"/>
        <v>#DIV/0!</v>
      </c>
      <c r="N153" s="242" t="e">
        <f t="shared" si="77"/>
        <v>#DIV/0!</v>
      </c>
      <c r="O153" s="277" t="e">
        <f>$F153/VLOOKUP('Station parameters'!$O$3,DestinationCycleGJT,7,FALSE)*Elasticities!$C$120</f>
        <v>#N/A</v>
      </c>
      <c r="P153" s="242" t="e">
        <f t="shared" si="78"/>
        <v>#DIV/0!</v>
      </c>
    </row>
    <row r="154" spans="1:16">
      <c r="A154" s="34"/>
      <c r="B154" s="595"/>
      <c r="C154" s="61" t="s">
        <v>331</v>
      </c>
      <c r="D154" s="236" t="s">
        <v>175</v>
      </c>
      <c r="E154" s="236" t="s">
        <v>175</v>
      </c>
      <c r="F154" s="236" t="s">
        <v>175</v>
      </c>
      <c r="G154" s="243">
        <f>1-SUM(G149:G153)</f>
        <v>1</v>
      </c>
      <c r="H154" s="236" t="s">
        <v>175</v>
      </c>
      <c r="I154" s="281">
        <v>0</v>
      </c>
      <c r="J154" s="236" t="s">
        <v>175</v>
      </c>
      <c r="K154" s="236" t="s">
        <v>175</v>
      </c>
      <c r="L154" s="281">
        <v>0</v>
      </c>
      <c r="M154" s="236" t="s">
        <v>175</v>
      </c>
      <c r="N154" s="236" t="s">
        <v>175</v>
      </c>
      <c r="O154" s="281">
        <v>0</v>
      </c>
      <c r="P154" s="236" t="s">
        <v>175</v>
      </c>
    </row>
    <row r="155" spans="1:16">
      <c r="A155" s="34"/>
      <c r="B155" s="238" t="s">
        <v>378</v>
      </c>
      <c r="D155" s="267"/>
      <c r="E155" s="267"/>
      <c r="F155" s="267"/>
      <c r="G155" s="275"/>
      <c r="H155" s="239" t="e">
        <f>'Station parameters'!$E$44-(SUM('Station parameters'!$C$53:$C$55)*('Station parameters'!$E$44/'Station parameters'!$E$49))*0.75</f>
        <v>#DIV/0!</v>
      </c>
      <c r="I155" s="167" t="e">
        <f>SUMPRODUCT(G149:G154,I149:I154)/SUM(G149:G154)</f>
        <v>#N/A</v>
      </c>
      <c r="J155" s="276" t="e">
        <f>SUM(J149:J153)</f>
        <v>#DIV/0!</v>
      </c>
      <c r="K155" s="239" t="e">
        <f>I132*(H155/SUM(H148,H155))</f>
        <v>#DIV/0!</v>
      </c>
      <c r="L155" s="167" t="e">
        <f>SUMPRODUCT(G149:G154,L149:L154)/SUM(G149:G154)</f>
        <v>#N/A</v>
      </c>
      <c r="M155" s="276" t="e">
        <f>SUM(M149:M153)</f>
        <v>#DIV/0!</v>
      </c>
      <c r="N155" s="239" t="e">
        <f>N132*(H155/SUM(H148,H155))</f>
        <v>#DIV/0!</v>
      </c>
      <c r="O155" s="167" t="e">
        <f>SUMPRODUCT(G149:G154,O149:O154)/SUM(G149:G154)</f>
        <v>#N/A</v>
      </c>
      <c r="P155" s="276" t="e">
        <f>SUM(P149:P153)</f>
        <v>#DIV/0!</v>
      </c>
    </row>
    <row r="156" spans="1:16">
      <c r="A156" s="34"/>
      <c r="B156" s="238" t="s">
        <v>376</v>
      </c>
      <c r="D156" s="120"/>
      <c r="E156" s="120"/>
      <c r="F156" s="120"/>
      <c r="G156" s="120"/>
      <c r="H156" s="119"/>
      <c r="I156" s="167" t="e">
        <f>(I148*(H148/SUM(H148,H155)))+(I155*(H155/SUM(H148,H155)))</f>
        <v>#N/A</v>
      </c>
      <c r="J156" s="276" t="e">
        <f>J148+J155</f>
        <v>#DIV/0!</v>
      </c>
      <c r="K156" s="119"/>
      <c r="L156" s="167" t="e">
        <f>IF(SUM(K148,K155)=0,0,(L148*(K148/SUM(K148,K155)))+(L155*(K155/SUM(K148,K155))))</f>
        <v>#DIV/0!</v>
      </c>
      <c r="M156" s="276" t="e">
        <f>M148+M155</f>
        <v>#DIV/0!</v>
      </c>
      <c r="N156" s="119"/>
      <c r="O156" s="167" t="e">
        <f>IF(SUM(N148,N155)=0,0,(O148*(N148/SUM(N148,N155)))+(O155*(N155/SUM(N148,N155))))</f>
        <v>#DIV/0!</v>
      </c>
      <c r="P156" s="276" t="e">
        <f>P148+P155</f>
        <v>#DIV/0!</v>
      </c>
    </row>
    <row r="158" spans="1:16">
      <c r="B158" s="86" t="s">
        <v>332</v>
      </c>
    </row>
    <row r="159" spans="1:16">
      <c r="B159" s="14" t="s">
        <v>47</v>
      </c>
      <c r="C159" s="158" t="s">
        <v>205</v>
      </c>
      <c r="D159" s="158" t="s">
        <v>27</v>
      </c>
      <c r="H159" s="14" t="s">
        <v>641</v>
      </c>
      <c r="I159" s="158" t="s">
        <v>205</v>
      </c>
      <c r="J159" s="158" t="s">
        <v>27</v>
      </c>
      <c r="K159" s="158"/>
      <c r="L159" s="158"/>
      <c r="M159" s="14" t="s">
        <v>364</v>
      </c>
      <c r="N159" s="158" t="s">
        <v>205</v>
      </c>
      <c r="O159" s="158" t="s">
        <v>27</v>
      </c>
    </row>
    <row r="160" spans="1:16">
      <c r="B160" s="23" t="s">
        <v>206</v>
      </c>
      <c r="C160" s="248" t="e">
        <f>J156</f>
        <v>#DIV/0!</v>
      </c>
      <c r="D160" s="248" t="e">
        <f>J156</f>
        <v>#DIV/0!</v>
      </c>
      <c r="H160" s="61" t="s">
        <v>323</v>
      </c>
      <c r="I160" s="245" t="e">
        <f>$I$162*VLOOKUP($H160,DiversionCycleAccess,4,FALSE)</f>
        <v>#DIV/0!</v>
      </c>
      <c r="J160" s="245" t="e">
        <f>$J$162*VLOOKUP($H160,DiversionCycleAccess,4,FALSE)</f>
        <v>#DIV/0!</v>
      </c>
      <c r="K160" s="244"/>
      <c r="L160" s="244"/>
      <c r="M160" s="61" t="s">
        <v>323</v>
      </c>
      <c r="N160" s="245" t="e">
        <f>$N$162*VLOOKUP($M160,DiversionCycleAccess,4,FALSE)</f>
        <v>#DIV/0!</v>
      </c>
      <c r="O160" s="245" t="e">
        <f>$O$162*VLOOKUP($M160,DiversionCycleAccess,4,FALSE)</f>
        <v>#DIV/0!</v>
      </c>
    </row>
    <row r="161" spans="2:16">
      <c r="B161" s="165" t="s">
        <v>42</v>
      </c>
      <c r="C161" s="245" t="e">
        <f>$C$160*VLOOKUP($B161,DiversionPTMainMode,2,FALSE)*AVERAGE(WalkDiversionFactor,CycleDiversionFactor)</f>
        <v>#DIV/0!</v>
      </c>
      <c r="D161" s="245" t="e">
        <f>$D$160*VLOOKUP($B161,DiversionPTMainMode,3,FALSE)*AVERAGE(WalkDiversionFactor,CycleDiversionFactor)</f>
        <v>#DIV/0!</v>
      </c>
      <c r="H161" s="249" t="s">
        <v>42</v>
      </c>
      <c r="I161" s="245" t="e">
        <f>$I$162*VLOOKUP($H161,DiversionCycleAccess,4,FALSE)</f>
        <v>#DIV/0!</v>
      </c>
      <c r="J161" s="245" t="e">
        <f>$J$162*VLOOKUP($H161,DiversionCycleAccess,4,FALSE)</f>
        <v>#DIV/0!</v>
      </c>
      <c r="K161" s="244"/>
      <c r="L161" s="244"/>
      <c r="M161" s="249" t="s">
        <v>42</v>
      </c>
      <c r="N161" s="245" t="e">
        <f>$N$162*VLOOKUP($M161,DiversionCycleAccess,4,FALSE)</f>
        <v>#DIV/0!</v>
      </c>
      <c r="O161" s="245" t="e">
        <f>$O$162*VLOOKUP($M161,DiversionCycleAccess,4,FALSE)</f>
        <v>#DIV/0!</v>
      </c>
    </row>
    <row r="162" spans="2:16">
      <c r="B162" s="165" t="s">
        <v>40</v>
      </c>
      <c r="C162" s="245" t="e">
        <f>$C$160*VLOOKUP($B162,DiversionPTMainMode,2,FALSE)*AVERAGE(WalkDiversionFactor,CycleDiversionFactor)</f>
        <v>#DIV/0!</v>
      </c>
      <c r="D162" s="245" t="e">
        <f>$D$160*VLOOKUP($B162,DiversionPTMainMode,3,FALSE)*AVERAGE(WalkDiversionFactor,CycleDiversionFactor)</f>
        <v>#DIV/0!</v>
      </c>
      <c r="H162" s="247" t="s">
        <v>40</v>
      </c>
      <c r="I162" s="248" t="e">
        <f>M156+J156</f>
        <v>#DIV/0!</v>
      </c>
      <c r="J162" s="248" t="e">
        <f>M156+J156</f>
        <v>#DIV/0!</v>
      </c>
      <c r="K162" s="244"/>
      <c r="L162" s="244"/>
      <c r="M162" s="247" t="s">
        <v>40</v>
      </c>
      <c r="N162" s="248" t="e">
        <f>P156</f>
        <v>#DIV/0!</v>
      </c>
      <c r="O162" s="248" t="e">
        <f>P156</f>
        <v>#DIV/0!</v>
      </c>
    </row>
    <row r="163" spans="2:16">
      <c r="B163" s="165" t="s">
        <v>157</v>
      </c>
      <c r="C163" s="245" t="e">
        <f>$C$160*VLOOKUP($B163,DiversionPTMainMode,2,FALSE)*AVERAGE(WalkDiversionFactor,CycleDiversionFactor)</f>
        <v>#DIV/0!</v>
      </c>
      <c r="D163" s="245" t="e">
        <f>$D$160*VLOOKUP($B163,DiversionPTMainMode,3,FALSE)*AVERAGE(WalkDiversionFactor,CycleDiversionFactor)</f>
        <v>#DIV/0!</v>
      </c>
      <c r="H163" s="249" t="s">
        <v>157</v>
      </c>
      <c r="I163" s="245" t="e">
        <f>$I$162*VLOOKUP($H163,DiversionCycleAccess,4,FALSE)</f>
        <v>#DIV/0!</v>
      </c>
      <c r="J163" s="245" t="e">
        <f>$J$162*VLOOKUP($H163,DiversionCycleAccess,4,FALSE)</f>
        <v>#DIV/0!</v>
      </c>
      <c r="K163" s="244"/>
      <c r="L163" s="244"/>
      <c r="M163" s="249" t="s">
        <v>157</v>
      </c>
      <c r="N163" s="245" t="e">
        <f>$N$162*VLOOKUP($M163,DiversionCycleAccess,4,FALSE)</f>
        <v>#DIV/0!</v>
      </c>
      <c r="O163" s="245" t="e">
        <f>$O$162*VLOOKUP($M163,DiversionCycleAccess,4,FALSE)</f>
        <v>#DIV/0!</v>
      </c>
    </row>
    <row r="164" spans="2:16">
      <c r="B164" s="165" t="s">
        <v>158</v>
      </c>
      <c r="C164" s="245" t="e">
        <f>$C$160*VLOOKUP($B164,DiversionPTMainMode,2,FALSE)*AVERAGE(WalkDiversionFactor,CycleDiversionFactor)</f>
        <v>#DIV/0!</v>
      </c>
      <c r="D164" s="245" t="e">
        <f>$D$160*VLOOKUP($B164,DiversionPTMainMode,3,FALSE)*AVERAGE(WalkDiversionFactor,CycleDiversionFactor)</f>
        <v>#DIV/0!</v>
      </c>
      <c r="H164" s="249" t="s">
        <v>158</v>
      </c>
      <c r="I164" s="245" t="e">
        <f>$I$162*VLOOKUP($H164,DiversionCycleAccess,4,FALSE)</f>
        <v>#DIV/0!</v>
      </c>
      <c r="J164" s="245" t="e">
        <f>$J$162*VLOOKUP($H164,DiversionCycleAccess,4,FALSE)</f>
        <v>#DIV/0!</v>
      </c>
      <c r="K164" s="244"/>
      <c r="L164" s="244"/>
      <c r="M164" s="249" t="s">
        <v>158</v>
      </c>
      <c r="N164" s="245" t="e">
        <f>$N$162*VLOOKUP($M164,DiversionCycleAccess,4,FALSE)</f>
        <v>#DIV/0!</v>
      </c>
      <c r="O164" s="245" t="e">
        <f>$O$162*VLOOKUP($M164,DiversionCycleAccess,4,FALSE)</f>
        <v>#DIV/0!</v>
      </c>
    </row>
    <row r="165" spans="2:16">
      <c r="B165" s="144" t="s">
        <v>25</v>
      </c>
      <c r="C165" s="245" t="e">
        <f>$C$160*VLOOKUP($B165,DiversionPTMainMode,2,FALSE)*AVERAGE(WalkDiversionFactor,CycleDiversionFactor)</f>
        <v>#DIV/0!</v>
      </c>
      <c r="D165" s="245" t="e">
        <f>$D$160*VLOOKUP($B165,DiversionPTMainMode,3,FALSE)*AVERAGE(WalkDiversionFactor,CycleDiversionFactor)</f>
        <v>#DIV/0!</v>
      </c>
      <c r="F165" s="163"/>
      <c r="J165" s="163"/>
    </row>
    <row r="167" spans="2:16">
      <c r="B167" s="86" t="s">
        <v>166</v>
      </c>
      <c r="C167" s="118"/>
      <c r="D167" s="240" t="s">
        <v>167</v>
      </c>
      <c r="E167" s="239" t="e">
        <f>E126</f>
        <v>#N/A</v>
      </c>
      <c r="F167" s="127" t="s">
        <v>168</v>
      </c>
      <c r="G167" s="241" t="s">
        <v>169</v>
      </c>
      <c r="H167" s="239">
        <f>H126</f>
        <v>0</v>
      </c>
      <c r="J167" s="241" t="s">
        <v>170</v>
      </c>
      <c r="K167" s="288">
        <f>K126</f>
        <v>0</v>
      </c>
    </row>
    <row r="168" spans="2:16">
      <c r="B168" s="108"/>
      <c r="C168" s="118"/>
      <c r="D168" s="119"/>
      <c r="E168" s="119"/>
      <c r="F168" s="118"/>
      <c r="G168" s="120"/>
      <c r="H168" s="119"/>
    </row>
    <row r="169" spans="2:16">
      <c r="B169" s="254"/>
      <c r="C169" s="596" t="s">
        <v>47</v>
      </c>
      <c r="D169" s="597"/>
      <c r="E169" s="597"/>
      <c r="F169" s="598"/>
      <c r="H169" s="596" t="s">
        <v>639</v>
      </c>
      <c r="I169" s="597"/>
      <c r="J169" s="597"/>
      <c r="K169" s="598"/>
      <c r="M169" s="596" t="s">
        <v>153</v>
      </c>
      <c r="N169" s="597"/>
      <c r="O169" s="597"/>
      <c r="P169" s="598"/>
    </row>
    <row r="170" spans="2:16" ht="30">
      <c r="B170" s="258" t="s">
        <v>47</v>
      </c>
      <c r="C170" s="258" t="s">
        <v>159</v>
      </c>
      <c r="D170" s="258" t="s">
        <v>200</v>
      </c>
      <c r="E170" s="258" t="s">
        <v>363</v>
      </c>
      <c r="F170" s="258" t="s">
        <v>201</v>
      </c>
      <c r="G170" s="258" t="s">
        <v>93</v>
      </c>
      <c r="H170" s="258" t="s">
        <v>159</v>
      </c>
      <c r="I170" s="258" t="s">
        <v>200</v>
      </c>
      <c r="J170" s="258" t="s">
        <v>363</v>
      </c>
      <c r="K170" s="258" t="s">
        <v>202</v>
      </c>
      <c r="L170" s="258" t="s">
        <v>93</v>
      </c>
      <c r="M170" s="258" t="s">
        <v>152</v>
      </c>
      <c r="N170" s="258" t="s">
        <v>200</v>
      </c>
      <c r="O170" s="258" t="s">
        <v>363</v>
      </c>
      <c r="P170" s="258" t="s">
        <v>203</v>
      </c>
    </row>
    <row r="171" spans="2:16">
      <c r="B171" s="259" t="s">
        <v>206</v>
      </c>
      <c r="C171" s="264" t="e">
        <f>D171/$H$167</f>
        <v>#DIV/0!</v>
      </c>
      <c r="D171" s="250" t="e">
        <f>IF(C130=0,0,D130+C160)</f>
        <v>#DIV/0!</v>
      </c>
      <c r="E171" s="264" t="e">
        <f>E130</f>
        <v>#DIV/0!</v>
      </c>
      <c r="F171" s="166" t="e">
        <f>D171*E171</f>
        <v>#DIV/0!</v>
      </c>
      <c r="G171" s="268" t="s">
        <v>323</v>
      </c>
      <c r="H171" s="264" t="e">
        <f>I171/$H$167</f>
        <v>#DIV/0!</v>
      </c>
      <c r="I171" s="265" t="e">
        <f>IF(H130=0,0,I130+I160)</f>
        <v>#DIV/0!</v>
      </c>
      <c r="J171" s="260"/>
      <c r="K171" s="263"/>
      <c r="L171" s="268" t="s">
        <v>323</v>
      </c>
      <c r="M171" s="264" t="e">
        <f>N171/$K$167</f>
        <v>#DIV/0!</v>
      </c>
      <c r="N171" s="265" t="e">
        <f>IF(M130=0,0,N130+N160)</f>
        <v>#DIV/0!</v>
      </c>
      <c r="O171" s="104"/>
      <c r="P171" s="104"/>
    </row>
    <row r="172" spans="2:16">
      <c r="B172" s="259" t="s">
        <v>42</v>
      </c>
      <c r="C172" s="264" t="e">
        <f t="shared" ref="C172:C176" si="79">D172/$H$167</f>
        <v>#N/A</v>
      </c>
      <c r="D172" s="250" t="e">
        <f t="shared" ref="D172:D175" si="80">IF(C131=0,0,D131+C161)</f>
        <v>#N/A</v>
      </c>
      <c r="E172" s="264" t="e">
        <f t="shared" ref="E172:E176" si="81">IF(C172=0,0,F172/D172)</f>
        <v>#N/A</v>
      </c>
      <c r="F172" s="250" t="e">
        <f>IF(C172=0,0,F131+D161)</f>
        <v>#N/A</v>
      </c>
      <c r="G172" s="259" t="s">
        <v>42</v>
      </c>
      <c r="H172" s="264" t="e">
        <f t="shared" ref="H172:H176" si="82">I172/$H$167</f>
        <v>#DIV/0!</v>
      </c>
      <c r="I172" s="265" t="e">
        <f t="shared" ref="I172:I176" si="83">IF(H131=0,0,I131+I161)</f>
        <v>#DIV/0!</v>
      </c>
      <c r="J172" s="264" t="e">
        <f>J131</f>
        <v>#N/A</v>
      </c>
      <c r="K172" s="166" t="e">
        <f>I172*J172</f>
        <v>#DIV/0!</v>
      </c>
      <c r="L172" s="259" t="s">
        <v>42</v>
      </c>
      <c r="M172" s="264" t="e">
        <f t="shared" ref="M172:M176" si="84">N172/$K$167</f>
        <v>#DIV/0!</v>
      </c>
      <c r="N172" s="265" t="e">
        <f t="shared" ref="N172:N176" si="85">IF(M131=0,0,N131+N161)</f>
        <v>#DIV/0!</v>
      </c>
      <c r="O172" s="264" t="e">
        <f>O131</f>
        <v>#N/A</v>
      </c>
      <c r="P172" s="166" t="e">
        <f>N172*O172</f>
        <v>#DIV/0!</v>
      </c>
    </row>
    <row r="173" spans="2:16">
      <c r="B173" s="259" t="s">
        <v>40</v>
      </c>
      <c r="C173" s="264" t="e">
        <f t="shared" si="79"/>
        <v>#N/A</v>
      </c>
      <c r="D173" s="250" t="e">
        <f t="shared" si="80"/>
        <v>#N/A</v>
      </c>
      <c r="E173" s="264" t="e">
        <f t="shared" si="81"/>
        <v>#N/A</v>
      </c>
      <c r="F173" s="250" t="e">
        <f t="shared" ref="F173:F176" si="86">IF(C173=0,0,F132+D162)</f>
        <v>#N/A</v>
      </c>
      <c r="G173" s="259" t="s">
        <v>40</v>
      </c>
      <c r="H173" s="264" t="e">
        <f t="shared" si="82"/>
        <v>#DIV/0!</v>
      </c>
      <c r="I173" s="265" t="e">
        <f t="shared" si="83"/>
        <v>#DIV/0!</v>
      </c>
      <c r="J173" s="264" t="e">
        <f t="shared" ref="J173:J176" si="87">J132</f>
        <v>#N/A</v>
      </c>
      <c r="K173" s="166" t="e">
        <f t="shared" ref="K173:K176" si="88">I173*J173</f>
        <v>#DIV/0!</v>
      </c>
      <c r="L173" s="259" t="s">
        <v>40</v>
      </c>
      <c r="M173" s="264" t="e">
        <f t="shared" si="84"/>
        <v>#DIV/0!</v>
      </c>
      <c r="N173" s="265" t="e">
        <f t="shared" si="85"/>
        <v>#DIV/0!</v>
      </c>
      <c r="O173" s="264" t="e">
        <f t="shared" ref="O173:O176" si="89">O132</f>
        <v>#N/A</v>
      </c>
      <c r="P173" s="166" t="e">
        <f t="shared" ref="P173:P176" si="90">N173*O173</f>
        <v>#DIV/0!</v>
      </c>
    </row>
    <row r="174" spans="2:16">
      <c r="B174" s="259" t="s">
        <v>157</v>
      </c>
      <c r="C174" s="264" t="e">
        <f t="shared" si="79"/>
        <v>#N/A</v>
      </c>
      <c r="D174" s="250" t="e">
        <f t="shared" si="80"/>
        <v>#N/A</v>
      </c>
      <c r="E174" s="264" t="e">
        <f t="shared" si="81"/>
        <v>#N/A</v>
      </c>
      <c r="F174" s="250" t="e">
        <f t="shared" si="86"/>
        <v>#N/A</v>
      </c>
      <c r="G174" s="259" t="s">
        <v>157</v>
      </c>
      <c r="H174" s="264" t="e">
        <f t="shared" si="82"/>
        <v>#DIV/0!</v>
      </c>
      <c r="I174" s="265" t="e">
        <f t="shared" si="83"/>
        <v>#DIV/0!</v>
      </c>
      <c r="J174" s="264" t="e">
        <f t="shared" si="87"/>
        <v>#N/A</v>
      </c>
      <c r="K174" s="166" t="e">
        <f t="shared" si="88"/>
        <v>#DIV/0!</v>
      </c>
      <c r="L174" s="259" t="s">
        <v>157</v>
      </c>
      <c r="M174" s="264" t="e">
        <f t="shared" si="84"/>
        <v>#DIV/0!</v>
      </c>
      <c r="N174" s="265" t="e">
        <f t="shared" si="85"/>
        <v>#DIV/0!</v>
      </c>
      <c r="O174" s="264" t="e">
        <f t="shared" si="89"/>
        <v>#N/A</v>
      </c>
      <c r="P174" s="166" t="e">
        <f t="shared" si="90"/>
        <v>#DIV/0!</v>
      </c>
    </row>
    <row r="175" spans="2:16">
      <c r="B175" s="259" t="s">
        <v>158</v>
      </c>
      <c r="C175" s="264" t="e">
        <f t="shared" si="79"/>
        <v>#N/A</v>
      </c>
      <c r="D175" s="250" t="e">
        <f t="shared" si="80"/>
        <v>#N/A</v>
      </c>
      <c r="E175" s="264" t="e">
        <f t="shared" si="81"/>
        <v>#N/A</v>
      </c>
      <c r="F175" s="250" t="e">
        <f t="shared" si="86"/>
        <v>#N/A</v>
      </c>
      <c r="G175" s="259" t="s">
        <v>158</v>
      </c>
      <c r="H175" s="264" t="e">
        <f t="shared" si="82"/>
        <v>#DIV/0!</v>
      </c>
      <c r="I175" s="265" t="e">
        <f t="shared" si="83"/>
        <v>#DIV/0!</v>
      </c>
      <c r="J175" s="264" t="e">
        <f t="shared" si="87"/>
        <v>#N/A</v>
      </c>
      <c r="K175" s="166" t="e">
        <f t="shared" si="88"/>
        <v>#DIV/0!</v>
      </c>
      <c r="L175" s="259" t="s">
        <v>158</v>
      </c>
      <c r="M175" s="264" t="e">
        <f t="shared" si="84"/>
        <v>#DIV/0!</v>
      </c>
      <c r="N175" s="265" t="e">
        <f t="shared" si="85"/>
        <v>#DIV/0!</v>
      </c>
      <c r="O175" s="264" t="e">
        <f t="shared" si="89"/>
        <v>#N/A</v>
      </c>
      <c r="P175" s="166" t="e">
        <f t="shared" si="90"/>
        <v>#DIV/0!</v>
      </c>
    </row>
    <row r="176" spans="2:16">
      <c r="B176" s="259" t="s">
        <v>25</v>
      </c>
      <c r="C176" s="264" t="e">
        <f t="shared" si="79"/>
        <v>#N/A</v>
      </c>
      <c r="D176" s="250" t="e">
        <f>IF(C135=0,0,D135+C165)</f>
        <v>#N/A</v>
      </c>
      <c r="E176" s="264" t="e">
        <f t="shared" si="81"/>
        <v>#N/A</v>
      </c>
      <c r="F176" s="250" t="e">
        <f t="shared" si="86"/>
        <v>#N/A</v>
      </c>
      <c r="G176" s="259" t="s">
        <v>25</v>
      </c>
      <c r="H176" s="264" t="e">
        <f t="shared" si="82"/>
        <v>#DIV/0!</v>
      </c>
      <c r="I176" s="265" t="e">
        <f t="shared" si="83"/>
        <v>#DIV/0!</v>
      </c>
      <c r="J176" s="264" t="e">
        <f t="shared" si="87"/>
        <v>#N/A</v>
      </c>
      <c r="K176" s="166" t="e">
        <f t="shared" si="88"/>
        <v>#DIV/0!</v>
      </c>
      <c r="L176" s="259" t="s">
        <v>25</v>
      </c>
      <c r="M176" s="264" t="e">
        <f t="shared" si="84"/>
        <v>#DIV/0!</v>
      </c>
      <c r="N176" s="265" t="e">
        <f t="shared" si="85"/>
        <v>#DIV/0!</v>
      </c>
      <c r="O176" s="264" t="e">
        <f t="shared" si="89"/>
        <v>#N/A</v>
      </c>
      <c r="P176" s="166" t="e">
        <f t="shared" si="90"/>
        <v>#DIV/0!</v>
      </c>
    </row>
  </sheetData>
  <sheetProtection password="EA07" sheet="1" objects="1" scenarios="1"/>
  <mergeCells count="30">
    <mergeCell ref="D90:E90"/>
    <mergeCell ref="F90:G90"/>
    <mergeCell ref="C99:D99"/>
    <mergeCell ref="E99:F99"/>
    <mergeCell ref="B42:B47"/>
    <mergeCell ref="C79:F79"/>
    <mergeCell ref="H79:K79"/>
    <mergeCell ref="M79:P79"/>
    <mergeCell ref="C5:E5"/>
    <mergeCell ref="F5:H5"/>
    <mergeCell ref="C17:F17"/>
    <mergeCell ref="H17:K17"/>
    <mergeCell ref="C28:F28"/>
    <mergeCell ref="H28:K28"/>
    <mergeCell ref="I5:I6"/>
    <mergeCell ref="M17:P17"/>
    <mergeCell ref="M28:P28"/>
    <mergeCell ref="C68:F68"/>
    <mergeCell ref="H68:K68"/>
    <mergeCell ref="M68:P68"/>
    <mergeCell ref="C169:F169"/>
    <mergeCell ref="H169:K169"/>
    <mergeCell ref="M169:P169"/>
    <mergeCell ref="C128:F128"/>
    <mergeCell ref="H128:K128"/>
    <mergeCell ref="C105:D105"/>
    <mergeCell ref="E105:F105"/>
    <mergeCell ref="B142:B147"/>
    <mergeCell ref="B149:B154"/>
    <mergeCell ref="M128:P128"/>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sheetPr>
    <tabColor theme="7"/>
  </sheetPr>
  <dimension ref="A1:P176"/>
  <sheetViews>
    <sheetView workbookViewId="0">
      <selection activeCell="B3" sqref="B3"/>
    </sheetView>
  </sheetViews>
  <sheetFormatPr defaultColWidth="9.140625" defaultRowHeight="15"/>
  <cols>
    <col min="1" max="1" width="10" style="1" customWidth="1"/>
    <col min="2" max="2" width="22.42578125" style="1" customWidth="1"/>
    <col min="3" max="3" width="18.140625" style="1" customWidth="1"/>
    <col min="4" max="4" width="12.85546875" style="1" customWidth="1"/>
    <col min="5" max="11" width="14.5703125" style="1" customWidth="1"/>
    <col min="12" max="15" width="16.140625" style="1" customWidth="1"/>
    <col min="16" max="16" width="14.28515625" style="1" customWidth="1"/>
    <col min="17" max="16384" width="9.140625" style="1"/>
  </cols>
  <sheetData>
    <row r="1" spans="1:16">
      <c r="A1" s="34"/>
    </row>
    <row r="2" spans="1:16">
      <c r="A2" s="34"/>
      <c r="B2" s="101" t="s">
        <v>154</v>
      </c>
      <c r="C2" s="99"/>
      <c r="D2" s="99"/>
      <c r="E2" s="99"/>
      <c r="F2" s="99"/>
      <c r="G2" s="99"/>
      <c r="H2" s="99"/>
      <c r="I2" s="99"/>
      <c r="J2" s="99"/>
      <c r="K2" s="99"/>
      <c r="L2" s="99"/>
      <c r="M2" s="99"/>
      <c r="N2" s="99"/>
      <c r="O2" s="99"/>
      <c r="P2" s="99"/>
    </row>
    <row r="3" spans="1:16">
      <c r="A3" s="34"/>
    </row>
    <row r="4" spans="1:16">
      <c r="A4" s="34"/>
      <c r="B4" s="86" t="s">
        <v>302</v>
      </c>
    </row>
    <row r="5" spans="1:16">
      <c r="A5" s="34"/>
      <c r="C5" s="599" t="s">
        <v>639</v>
      </c>
      <c r="D5" s="600"/>
      <c r="E5" s="601"/>
      <c r="F5" s="599" t="s">
        <v>153</v>
      </c>
      <c r="G5" s="600"/>
      <c r="H5" s="601"/>
      <c r="I5" s="602" t="s">
        <v>11</v>
      </c>
    </row>
    <row r="6" spans="1:16">
      <c r="A6" s="34"/>
      <c r="C6" s="234" t="s">
        <v>151</v>
      </c>
      <c r="D6" s="234" t="s">
        <v>161</v>
      </c>
      <c r="E6" s="234" t="s">
        <v>162</v>
      </c>
      <c r="F6" s="234" t="s">
        <v>151</v>
      </c>
      <c r="G6" s="234" t="s">
        <v>161</v>
      </c>
      <c r="H6" s="234" t="s">
        <v>162</v>
      </c>
      <c r="I6" s="603"/>
    </row>
    <row r="7" spans="1:16">
      <c r="A7" s="34"/>
      <c r="B7" s="140" t="s">
        <v>42</v>
      </c>
      <c r="C7" s="237" t="b">
        <f>'Station parameters'!$C$75</f>
        <v>0</v>
      </c>
      <c r="D7" s="235">
        <f>$C7*SUM('Station parameters'!$C$26:$C$29,'Station parameters'!$D$34:$D$37)</f>
        <v>0</v>
      </c>
      <c r="E7" s="235">
        <f>$C7*((0.5*'Station parameters'!$C$44)+(0.5*'Station parameters'!$D$44))</f>
        <v>0</v>
      </c>
      <c r="F7" s="237" t="b">
        <f>'Station parameters'!$D$75</f>
        <v>0</v>
      </c>
      <c r="G7" s="235">
        <f>$F7*SUM('Station parameters'!$C$34:$C$37,'Station parameters'!$D$26:$D$29)</f>
        <v>0</v>
      </c>
      <c r="H7" s="235">
        <f>$F7*((0.5*'Station parameters'!$C$44)+(0.5*'Station parameters'!$D$44))</f>
        <v>0</v>
      </c>
      <c r="I7" s="235">
        <f t="shared" ref="I7:I12" si="0">SUM(D7:E7)+SUM(G7:H7)</f>
        <v>0</v>
      </c>
    </row>
    <row r="8" spans="1:16">
      <c r="A8" s="34"/>
      <c r="B8" s="140" t="s">
        <v>40</v>
      </c>
      <c r="C8" s="237" t="b">
        <f>'Station parameters'!$C$76</f>
        <v>0</v>
      </c>
      <c r="D8" s="235">
        <f>$C8*SUM('Station parameters'!$C$26:$C$29,'Station parameters'!$D$34:$D$37)</f>
        <v>0</v>
      </c>
      <c r="E8" s="235">
        <f>$C8*((0.5*'Station parameters'!$C$44)+(0.5*'Station parameters'!$D$44))</f>
        <v>0</v>
      </c>
      <c r="F8" s="237" t="b">
        <f>'Station parameters'!$D$76</f>
        <v>0</v>
      </c>
      <c r="G8" s="235">
        <f>$F8*SUM('Station parameters'!$C$34:$C$37,'Station parameters'!$D$26:$D$29)</f>
        <v>0</v>
      </c>
      <c r="H8" s="235">
        <f>$F8*((0.5*'Station parameters'!$C$44)+(0.5*'Station parameters'!$D$44))</f>
        <v>0</v>
      </c>
      <c r="I8" s="235">
        <f t="shared" si="0"/>
        <v>0</v>
      </c>
    </row>
    <row r="9" spans="1:16">
      <c r="A9" s="34"/>
      <c r="B9" s="238" t="s">
        <v>323</v>
      </c>
      <c r="C9" s="237">
        <f>'Station parameters'!$C$77</f>
        <v>0</v>
      </c>
      <c r="D9" s="235">
        <f>$C9*SUM('Station parameters'!$C$26:$C$29,'Station parameters'!$D$34:$D$37)</f>
        <v>0</v>
      </c>
      <c r="E9" s="235">
        <f>$C9*((0.5*'Station parameters'!$C$44)+(0.5*'Station parameters'!$D$44))</f>
        <v>0</v>
      </c>
      <c r="F9" s="237">
        <f>'Station parameters'!$D$77</f>
        <v>0</v>
      </c>
      <c r="G9" s="235">
        <f>$F9*SUM('Station parameters'!$C$34:$C$37,'Station parameters'!$D$26:$D$29)</f>
        <v>0</v>
      </c>
      <c r="H9" s="235">
        <f>$F9*((0.5*'Station parameters'!$C$44)+(0.5*'Station parameters'!$D$44))</f>
        <v>0</v>
      </c>
      <c r="I9" s="235">
        <f t="shared" si="0"/>
        <v>0</v>
      </c>
    </row>
    <row r="10" spans="1:16">
      <c r="A10" s="34"/>
      <c r="B10" s="140" t="s">
        <v>157</v>
      </c>
      <c r="C10" s="237" t="b">
        <f>'Station parameters'!$C$78</f>
        <v>0</v>
      </c>
      <c r="D10" s="235">
        <f>$C10*SUM('Station parameters'!$C$26:$C$29,'Station parameters'!$D$34:$D$37)</f>
        <v>0</v>
      </c>
      <c r="E10" s="235">
        <f>$C10*((0.5*'Station parameters'!$C$44)+(0.5*'Station parameters'!$D$44))</f>
        <v>0</v>
      </c>
      <c r="F10" s="237" t="b">
        <f>'Station parameters'!$D$78</f>
        <v>0</v>
      </c>
      <c r="G10" s="235">
        <f>$F10*SUM('Station parameters'!$C$34:$C$37,'Station parameters'!$D$26:$D$29)</f>
        <v>0</v>
      </c>
      <c r="H10" s="235">
        <f>$F10*((0.5*'Station parameters'!$C$44)+(0.5*'Station parameters'!$D$44))</f>
        <v>0</v>
      </c>
      <c r="I10" s="235">
        <f t="shared" si="0"/>
        <v>0</v>
      </c>
    </row>
    <row r="11" spans="1:16">
      <c r="A11" s="34"/>
      <c r="B11" s="140" t="s">
        <v>158</v>
      </c>
      <c r="C11" s="237" t="b">
        <f>'Station parameters'!$C$79</f>
        <v>0</v>
      </c>
      <c r="D11" s="235">
        <f>$C11*SUM('Station parameters'!$C$26:$C$29,'Station parameters'!$D$34:$D$37)</f>
        <v>0</v>
      </c>
      <c r="E11" s="235">
        <f>$C11*((0.5*'Station parameters'!$C$44)+(0.5*'Station parameters'!$D$44))</f>
        <v>0</v>
      </c>
      <c r="F11" s="237" t="b">
        <f>'Station parameters'!$D$79</f>
        <v>0</v>
      </c>
      <c r="G11" s="235">
        <f>$F11*SUM('Station parameters'!$C$34:$C$37,'Station parameters'!$D$26:$D$29)</f>
        <v>0</v>
      </c>
      <c r="H11" s="235">
        <f>$F11*((0.5*'Station parameters'!$C$44)+(0.5*'Station parameters'!$D$44))</f>
        <v>0</v>
      </c>
      <c r="I11" s="235">
        <f t="shared" si="0"/>
        <v>0</v>
      </c>
    </row>
    <row r="12" spans="1:16">
      <c r="A12" s="34"/>
      <c r="B12" s="140" t="s">
        <v>25</v>
      </c>
      <c r="C12" s="237" t="b">
        <f>'Station parameters'!$C$80</f>
        <v>0</v>
      </c>
      <c r="D12" s="235">
        <f>$C12*SUM('Station parameters'!$C$26:$C$29,'Station parameters'!$D$34:$D$37)</f>
        <v>0</v>
      </c>
      <c r="E12" s="235">
        <f>$C12*((0.5*'Station parameters'!$C$44)+(0.5*'Station parameters'!$D$44))</f>
        <v>0</v>
      </c>
      <c r="F12" s="237" t="b">
        <f>'Station parameters'!$D$80</f>
        <v>0</v>
      </c>
      <c r="G12" s="235">
        <f>$F12*SUM('Station parameters'!$C$34:$C$37,'Station parameters'!$D$26:$D$29)</f>
        <v>0</v>
      </c>
      <c r="H12" s="235">
        <f>$F12*((0.5*'Station parameters'!$C$44)+(0.5*'Station parameters'!$D$44))</f>
        <v>0</v>
      </c>
      <c r="I12" s="235">
        <f t="shared" si="0"/>
        <v>0</v>
      </c>
    </row>
    <row r="13" spans="1:16">
      <c r="A13" s="34"/>
      <c r="D13" s="242">
        <f>SUM(D7:E12)</f>
        <v>0</v>
      </c>
      <c r="G13" s="242">
        <f>SUM(G7:H12)</f>
        <v>0</v>
      </c>
      <c r="H13" s="119"/>
      <c r="I13" s="119"/>
    </row>
    <row r="14" spans="1:16">
      <c r="A14" s="34"/>
      <c r="B14" s="108"/>
      <c r="C14" s="118"/>
      <c r="D14" s="119"/>
      <c r="E14" s="119"/>
      <c r="F14" s="118"/>
      <c r="G14" s="120"/>
      <c r="H14" s="119"/>
    </row>
    <row r="15" spans="1:16">
      <c r="A15" s="34"/>
      <c r="B15" s="86" t="s">
        <v>165</v>
      </c>
      <c r="C15" s="118"/>
      <c r="D15" s="240" t="s">
        <v>167</v>
      </c>
      <c r="E15" s="239" t="e">
        <f>'Station catchment'!$C$5</f>
        <v>#N/A</v>
      </c>
      <c r="F15" s="127" t="s">
        <v>168</v>
      </c>
      <c r="G15" s="241" t="s">
        <v>169</v>
      </c>
      <c r="H15" s="239">
        <f>'Station catchment'!$C$14</f>
        <v>0</v>
      </c>
      <c r="J15" s="241" t="s">
        <v>170</v>
      </c>
      <c r="K15" s="288">
        <f>'Station catchment'!$C$15</f>
        <v>0</v>
      </c>
    </row>
    <row r="16" spans="1:16">
      <c r="A16" s="34"/>
      <c r="B16" s="108"/>
      <c r="C16" s="118"/>
      <c r="D16" s="119"/>
      <c r="E16" s="119"/>
      <c r="F16" s="118"/>
      <c r="G16" s="120"/>
      <c r="H16" s="119"/>
    </row>
    <row r="17" spans="1:16">
      <c r="A17" s="34"/>
      <c r="B17" s="395"/>
      <c r="C17" s="596" t="s">
        <v>47</v>
      </c>
      <c r="D17" s="597"/>
      <c r="E17" s="597"/>
      <c r="F17" s="598"/>
      <c r="H17" s="596" t="s">
        <v>639</v>
      </c>
      <c r="I17" s="597"/>
      <c r="J17" s="597"/>
      <c r="K17" s="598"/>
      <c r="M17" s="596" t="s">
        <v>153</v>
      </c>
      <c r="N17" s="597"/>
      <c r="O17" s="597"/>
      <c r="P17" s="598"/>
    </row>
    <row r="18" spans="1:16" ht="30">
      <c r="A18" s="34"/>
      <c r="B18" s="258" t="s">
        <v>47</v>
      </c>
      <c r="C18" s="258" t="s">
        <v>159</v>
      </c>
      <c r="D18" s="258" t="s">
        <v>200</v>
      </c>
      <c r="E18" s="258" t="s">
        <v>363</v>
      </c>
      <c r="F18" s="258" t="s">
        <v>201</v>
      </c>
      <c r="G18" s="258" t="s">
        <v>93</v>
      </c>
      <c r="H18" s="258" t="s">
        <v>159</v>
      </c>
      <c r="I18" s="258" t="s">
        <v>200</v>
      </c>
      <c r="J18" s="258" t="s">
        <v>363</v>
      </c>
      <c r="K18" s="258" t="s">
        <v>202</v>
      </c>
      <c r="L18" s="258" t="s">
        <v>93</v>
      </c>
      <c r="M18" s="258" t="s">
        <v>152</v>
      </c>
      <c r="N18" s="258" t="s">
        <v>200</v>
      </c>
      <c r="O18" s="258" t="s">
        <v>363</v>
      </c>
      <c r="P18" s="258" t="s">
        <v>203</v>
      </c>
    </row>
    <row r="19" spans="1:16">
      <c r="A19" s="34"/>
      <c r="B19" s="259" t="s">
        <v>206</v>
      </c>
      <c r="C19" s="257" t="e">
        <f>(D13*0.75)/H15</f>
        <v>#DIV/0!</v>
      </c>
      <c r="D19" s="166" t="e">
        <f>C19*$H$15</f>
        <v>#DIV/0!</v>
      </c>
      <c r="E19" s="256" t="e">
        <f>VLOOKUP('Station parameters'!$C$8,Catchments!$B$56:$N$61,8,FALSE)</f>
        <v>#N/A</v>
      </c>
      <c r="F19" s="166" t="e">
        <f>D19*E19</f>
        <v>#DIV/0!</v>
      </c>
      <c r="G19" s="268" t="s">
        <v>323</v>
      </c>
      <c r="H19" s="261" t="e">
        <f>(SUM(D9:E9)*0.75)/H$15</f>
        <v>#DIV/0!</v>
      </c>
      <c r="I19" s="262" t="e">
        <f>$H19*$H$15</f>
        <v>#DIV/0!</v>
      </c>
      <c r="J19" s="124"/>
      <c r="K19" s="260"/>
      <c r="L19" s="268" t="s">
        <v>323</v>
      </c>
      <c r="M19" s="261" t="e">
        <f>(SUM(G9:H9)*0.75)/K$15</f>
        <v>#DIV/0!</v>
      </c>
      <c r="N19" s="262" t="e">
        <f>$M19*$K$15</f>
        <v>#DIV/0!</v>
      </c>
      <c r="O19" s="104"/>
      <c r="P19" s="104"/>
    </row>
    <row r="20" spans="1:16">
      <c r="A20" s="34"/>
      <c r="B20" s="259" t="s">
        <v>42</v>
      </c>
      <c r="C20" s="256" t="e">
        <f>VLOOKUP('Station parameters'!$C$8,Catchments!$B$56:$N$61,3,FALSE)</f>
        <v>#N/A</v>
      </c>
      <c r="D20" s="166" t="e">
        <f t="shared" ref="D20:D24" si="1">C20*$H$15</f>
        <v>#N/A</v>
      </c>
      <c r="E20" s="256" t="e">
        <f>VLOOKUP('Station parameters'!$C$8,Catchments!$B$56:$N$61,9,FALSE)</f>
        <v>#N/A</v>
      </c>
      <c r="F20" s="166" t="e">
        <f t="shared" ref="F20:F24" si="2">D20*E20</f>
        <v>#N/A</v>
      </c>
      <c r="G20" s="259" t="s">
        <v>42</v>
      </c>
      <c r="H20" s="261" t="e">
        <f>(SUM(D7:E7)*0.75)/H$15</f>
        <v>#DIV/0!</v>
      </c>
      <c r="I20" s="262" t="e">
        <f>$H20*$H$15</f>
        <v>#DIV/0!</v>
      </c>
      <c r="J20" s="256" t="e">
        <f>VLOOKUP('Station parameters'!$C$8,Catchments!$B$67:$G$72,2,FALSE)</f>
        <v>#N/A</v>
      </c>
      <c r="K20" s="166" t="e">
        <f>I20*J20</f>
        <v>#DIV/0!</v>
      </c>
      <c r="L20" s="259" t="s">
        <v>42</v>
      </c>
      <c r="M20" s="261" t="e">
        <f>(SUM(G7:H7)*0.75)/K$15</f>
        <v>#DIV/0!</v>
      </c>
      <c r="N20" s="262" t="e">
        <f>$M20*$K$15</f>
        <v>#DIV/0!</v>
      </c>
      <c r="O20" s="256" t="e">
        <f>VLOOKUP('Station parameters'!$C$8,Catchments!$B$67:$L$72,7,FALSE)</f>
        <v>#N/A</v>
      </c>
      <c r="P20" s="166" t="e">
        <f>N20*O20</f>
        <v>#DIV/0!</v>
      </c>
    </row>
    <row r="21" spans="1:16">
      <c r="A21" s="34"/>
      <c r="B21" s="259" t="s">
        <v>40</v>
      </c>
      <c r="C21" s="256" t="e">
        <f>VLOOKUP('Station parameters'!$C$8,Catchments!$B$56:$N$61,4,FALSE)</f>
        <v>#N/A</v>
      </c>
      <c r="D21" s="166" t="e">
        <f t="shared" si="1"/>
        <v>#N/A</v>
      </c>
      <c r="E21" s="256" t="e">
        <f>VLOOKUP('Station parameters'!$C$8,Catchments!$B$56:$N$61,10,FALSE)</f>
        <v>#N/A</v>
      </c>
      <c r="F21" s="166" t="e">
        <f t="shared" si="2"/>
        <v>#N/A</v>
      </c>
      <c r="G21" s="259" t="s">
        <v>40</v>
      </c>
      <c r="H21" s="261" t="e">
        <f>(SUM(D8:E8)*0.75)/H$15</f>
        <v>#DIV/0!</v>
      </c>
      <c r="I21" s="262" t="e">
        <f>$H21*$H$15</f>
        <v>#DIV/0!</v>
      </c>
      <c r="J21" s="256" t="e">
        <f>VLOOKUP('Station parameters'!$C$8,Catchments!$B$67:$G$72,3,FALSE)</f>
        <v>#N/A</v>
      </c>
      <c r="K21" s="166" t="e">
        <f t="shared" ref="K21:K24" si="3">I21*J21</f>
        <v>#DIV/0!</v>
      </c>
      <c r="L21" s="259" t="s">
        <v>40</v>
      </c>
      <c r="M21" s="261" t="e">
        <f t="shared" ref="M21" si="4">(SUM(G8:H8)*0.75)/K$15</f>
        <v>#DIV/0!</v>
      </c>
      <c r="N21" s="262" t="e">
        <f t="shared" ref="N21:N24" si="5">$M21*$K$15</f>
        <v>#DIV/0!</v>
      </c>
      <c r="O21" s="256" t="e">
        <f>VLOOKUP('Station parameters'!$C$8,Catchments!$B$67:$L$72,8,FALSE)</f>
        <v>#N/A</v>
      </c>
      <c r="P21" s="166" t="e">
        <f t="shared" ref="P21:P24" si="6">N21*O21</f>
        <v>#DIV/0!</v>
      </c>
    </row>
    <row r="22" spans="1:16">
      <c r="A22" s="34"/>
      <c r="B22" s="259" t="s">
        <v>157</v>
      </c>
      <c r="C22" s="256" t="e">
        <f>VLOOKUP('Station parameters'!$C$8,Catchments!$B$56:$N$61,5,FALSE)</f>
        <v>#N/A</v>
      </c>
      <c r="D22" s="166" t="e">
        <f t="shared" si="1"/>
        <v>#N/A</v>
      </c>
      <c r="E22" s="256" t="e">
        <f>VLOOKUP('Station parameters'!$C$8,Catchments!$B$56:$N$61,11,FALSE)</f>
        <v>#N/A</v>
      </c>
      <c r="F22" s="166" t="e">
        <f t="shared" si="2"/>
        <v>#N/A</v>
      </c>
      <c r="G22" s="259" t="s">
        <v>157</v>
      </c>
      <c r="H22" s="261" t="e">
        <f>(SUM(D10:E10)*0.75)/H$15</f>
        <v>#DIV/0!</v>
      </c>
      <c r="I22" s="262" t="e">
        <f t="shared" ref="I22:I24" si="7">$H22*$H$15</f>
        <v>#DIV/0!</v>
      </c>
      <c r="J22" s="256" t="e">
        <f>VLOOKUP('Station parameters'!$C$8,Catchments!$B$67:$G$72,4,FALSE)</f>
        <v>#N/A</v>
      </c>
      <c r="K22" s="166" t="e">
        <f t="shared" si="3"/>
        <v>#DIV/0!</v>
      </c>
      <c r="L22" s="259" t="s">
        <v>157</v>
      </c>
      <c r="M22" s="261" t="e">
        <f>(SUM(G10:H10)*0.75)/K$15</f>
        <v>#DIV/0!</v>
      </c>
      <c r="N22" s="262" t="e">
        <f t="shared" si="5"/>
        <v>#DIV/0!</v>
      </c>
      <c r="O22" s="256" t="e">
        <f>VLOOKUP('Station parameters'!$C$8,Catchments!$B$67:$L$72,9,FALSE)</f>
        <v>#N/A</v>
      </c>
      <c r="P22" s="166" t="e">
        <f t="shared" si="6"/>
        <v>#DIV/0!</v>
      </c>
    </row>
    <row r="23" spans="1:16">
      <c r="A23" s="34"/>
      <c r="B23" s="259" t="s">
        <v>158</v>
      </c>
      <c r="C23" s="256" t="e">
        <f>VLOOKUP('Station parameters'!$C$8,Catchments!$B$56:$N$61,6,FALSE)</f>
        <v>#N/A</v>
      </c>
      <c r="D23" s="166" t="e">
        <f t="shared" si="1"/>
        <v>#N/A</v>
      </c>
      <c r="E23" s="256" t="e">
        <f>VLOOKUP('Station parameters'!$C$8,Catchments!$B$56:$N$61,12,FALSE)</f>
        <v>#N/A</v>
      </c>
      <c r="F23" s="166" t="e">
        <f t="shared" si="2"/>
        <v>#N/A</v>
      </c>
      <c r="G23" s="259" t="s">
        <v>158</v>
      </c>
      <c r="H23" s="261" t="e">
        <f t="shared" ref="H23:H24" si="8">(SUM(D11:E11)*0.75)/H$15</f>
        <v>#DIV/0!</v>
      </c>
      <c r="I23" s="262" t="e">
        <f t="shared" si="7"/>
        <v>#DIV/0!</v>
      </c>
      <c r="J23" s="256" t="e">
        <f>VLOOKUP('Station parameters'!$C$8,Catchments!$B$67:$G$72,5,FALSE)</f>
        <v>#N/A</v>
      </c>
      <c r="K23" s="166" t="e">
        <f t="shared" si="3"/>
        <v>#DIV/0!</v>
      </c>
      <c r="L23" s="259" t="s">
        <v>158</v>
      </c>
      <c r="M23" s="261" t="e">
        <f t="shared" ref="M23:M24" si="9">(SUM(G11:H11)*0.75)/K$15</f>
        <v>#DIV/0!</v>
      </c>
      <c r="N23" s="262" t="e">
        <f t="shared" si="5"/>
        <v>#DIV/0!</v>
      </c>
      <c r="O23" s="256" t="e">
        <f>VLOOKUP('Station parameters'!$C$8,Catchments!$B$67:$L$72,10,FALSE)</f>
        <v>#N/A</v>
      </c>
      <c r="P23" s="166" t="e">
        <f t="shared" si="6"/>
        <v>#DIV/0!</v>
      </c>
    </row>
    <row r="24" spans="1:16">
      <c r="A24" s="34"/>
      <c r="B24" s="259" t="s">
        <v>25</v>
      </c>
      <c r="C24" s="256" t="e">
        <f>VLOOKUP('Station parameters'!$C$8,Catchments!$B$56:$N$61,7,FALSE)</f>
        <v>#N/A</v>
      </c>
      <c r="D24" s="166" t="e">
        <f t="shared" si="1"/>
        <v>#N/A</v>
      </c>
      <c r="E24" s="256" t="e">
        <f>VLOOKUP('Station parameters'!$C$8,Catchments!$B$56:$N$61,13,FALSE)</f>
        <v>#N/A</v>
      </c>
      <c r="F24" s="166" t="e">
        <f t="shared" si="2"/>
        <v>#N/A</v>
      </c>
      <c r="G24" s="259" t="s">
        <v>25</v>
      </c>
      <c r="H24" s="261" t="e">
        <f t="shared" si="8"/>
        <v>#DIV/0!</v>
      </c>
      <c r="I24" s="262" t="e">
        <f t="shared" si="7"/>
        <v>#DIV/0!</v>
      </c>
      <c r="J24" s="256" t="e">
        <f>VLOOKUP('Station parameters'!$C$8,Catchments!$B$67:$G$72,6,FALSE)</f>
        <v>#N/A</v>
      </c>
      <c r="K24" s="166" t="e">
        <f t="shared" si="3"/>
        <v>#DIV/0!</v>
      </c>
      <c r="L24" s="259" t="s">
        <v>25</v>
      </c>
      <c r="M24" s="261" t="e">
        <f t="shared" si="9"/>
        <v>#DIV/0!</v>
      </c>
      <c r="N24" s="262" t="e">
        <f t="shared" si="5"/>
        <v>#DIV/0!</v>
      </c>
      <c r="O24" s="256" t="e">
        <f>VLOOKUP('Station parameters'!$C$8,Catchments!$B$67:$L$72,11,FALSE)</f>
        <v>#N/A</v>
      </c>
      <c r="P24" s="166" t="e">
        <f t="shared" si="6"/>
        <v>#DIV/0!</v>
      </c>
    </row>
    <row r="25" spans="1:16">
      <c r="A25" s="34"/>
      <c r="B25" s="112"/>
      <c r="C25" s="125"/>
      <c r="D25" s="112"/>
      <c r="E25" s="126"/>
      <c r="F25" s="126"/>
      <c r="G25" s="108"/>
      <c r="H25" s="15"/>
      <c r="I25" s="15"/>
      <c r="J25" s="15"/>
      <c r="K25" s="123"/>
      <c r="L25" s="123"/>
      <c r="M25" s="15"/>
    </row>
    <row r="26" spans="1:16">
      <c r="B26" s="86" t="s">
        <v>166</v>
      </c>
      <c r="C26" s="118"/>
      <c r="D26" s="240" t="s">
        <v>167</v>
      </c>
      <c r="E26" s="239" t="e">
        <f>'Station catchment'!$I$5</f>
        <v>#N/A</v>
      </c>
      <c r="F26" s="127" t="s">
        <v>168</v>
      </c>
      <c r="G26" s="241" t="s">
        <v>169</v>
      </c>
      <c r="H26" s="239">
        <f>'Station catchment'!$I$14</f>
        <v>0</v>
      </c>
      <c r="J26" s="241" t="s">
        <v>170</v>
      </c>
      <c r="K26" s="288">
        <f>'Station catchment'!$I$15</f>
        <v>0</v>
      </c>
    </row>
    <row r="27" spans="1:16">
      <c r="A27" s="34"/>
    </row>
    <row r="28" spans="1:16">
      <c r="A28" s="34"/>
      <c r="B28" s="395"/>
      <c r="C28" s="596" t="s">
        <v>47</v>
      </c>
      <c r="D28" s="597"/>
      <c r="E28" s="597"/>
      <c r="F28" s="598"/>
      <c r="H28" s="596" t="s">
        <v>639</v>
      </c>
      <c r="I28" s="597"/>
      <c r="J28" s="597"/>
      <c r="K28" s="598"/>
      <c r="M28" s="596" t="s">
        <v>153</v>
      </c>
      <c r="N28" s="597"/>
      <c r="O28" s="597"/>
      <c r="P28" s="598"/>
    </row>
    <row r="29" spans="1:16" ht="30">
      <c r="A29" s="34"/>
      <c r="B29" s="258" t="s">
        <v>47</v>
      </c>
      <c r="C29" s="258" t="s">
        <v>159</v>
      </c>
      <c r="D29" s="258" t="s">
        <v>200</v>
      </c>
      <c r="E29" s="258" t="s">
        <v>363</v>
      </c>
      <c r="F29" s="258" t="s">
        <v>201</v>
      </c>
      <c r="G29" s="258" t="s">
        <v>93</v>
      </c>
      <c r="H29" s="258" t="s">
        <v>159</v>
      </c>
      <c r="I29" s="258" t="s">
        <v>200</v>
      </c>
      <c r="J29" s="258" t="s">
        <v>363</v>
      </c>
      <c r="K29" s="258" t="s">
        <v>202</v>
      </c>
      <c r="L29" s="258" t="s">
        <v>93</v>
      </c>
      <c r="M29" s="258" t="s">
        <v>152</v>
      </c>
      <c r="N29" s="258" t="s">
        <v>200</v>
      </c>
      <c r="O29" s="258" t="s">
        <v>363</v>
      </c>
      <c r="P29" s="258" t="s">
        <v>203</v>
      </c>
    </row>
    <row r="30" spans="1:16">
      <c r="A30" s="34"/>
      <c r="B30" s="259" t="s">
        <v>206</v>
      </c>
      <c r="C30" s="257" t="e">
        <f>(D13*0.75)/H26</f>
        <v>#DIV/0!</v>
      </c>
      <c r="D30" s="166" t="e">
        <f>C30*$H$26</f>
        <v>#DIV/0!</v>
      </c>
      <c r="E30" s="256" t="e">
        <f>VLOOKUP('Station parameters'!$C$8,Catchments!$B$56:$N$61,8,FALSE)</f>
        <v>#N/A</v>
      </c>
      <c r="F30" s="166" t="e">
        <f t="shared" ref="F30:F35" si="10">D30*E30</f>
        <v>#DIV/0!</v>
      </c>
      <c r="G30" s="268" t="s">
        <v>323</v>
      </c>
      <c r="H30" s="261" t="e">
        <f>(SUM(D9:E9)*0.75)/H$26</f>
        <v>#DIV/0!</v>
      </c>
      <c r="I30" s="262" t="e">
        <f>$H30*$H$26</f>
        <v>#DIV/0!</v>
      </c>
      <c r="J30" s="260"/>
      <c r="K30" s="260"/>
      <c r="L30" s="268" t="s">
        <v>323</v>
      </c>
      <c r="M30" s="261" t="e">
        <f>(SUM(G9:H9)*0.75)/K$26</f>
        <v>#DIV/0!</v>
      </c>
      <c r="N30" s="262" t="e">
        <f>$M30*$K$26</f>
        <v>#DIV/0!</v>
      </c>
      <c r="O30" s="104"/>
      <c r="P30" s="104"/>
    </row>
    <row r="31" spans="1:16">
      <c r="A31" s="34"/>
      <c r="B31" s="259" t="s">
        <v>42</v>
      </c>
      <c r="C31" s="256" t="e">
        <f>VLOOKUP('Station parameters'!$C$8,Catchments!$B$56:$N$61,3,FALSE)</f>
        <v>#N/A</v>
      </c>
      <c r="D31" s="166" t="e">
        <f t="shared" ref="D31:D35" si="11">C31*$H$26</f>
        <v>#N/A</v>
      </c>
      <c r="E31" s="256" t="e">
        <f>VLOOKUP('Station parameters'!$C$8,Catchments!$B$56:$N$61,9,FALSE)</f>
        <v>#N/A</v>
      </c>
      <c r="F31" s="166" t="e">
        <f t="shared" si="10"/>
        <v>#N/A</v>
      </c>
      <c r="G31" s="259" t="s">
        <v>42</v>
      </c>
      <c r="H31" s="261" t="e">
        <f>(SUM(D7:E7)*0.75)/H$26</f>
        <v>#DIV/0!</v>
      </c>
      <c r="I31" s="262" t="e">
        <f>$H31*$H$26</f>
        <v>#DIV/0!</v>
      </c>
      <c r="J31" s="256" t="e">
        <f>VLOOKUP('Station parameters'!$C$8,Catchments!$B$67:$G$72,2,FALSE)</f>
        <v>#N/A</v>
      </c>
      <c r="K31" s="166" t="e">
        <f>I31*J31</f>
        <v>#DIV/0!</v>
      </c>
      <c r="L31" s="259" t="s">
        <v>42</v>
      </c>
      <c r="M31" s="261" t="e">
        <f>(SUM(G7:H7)*0.75)/K$15</f>
        <v>#DIV/0!</v>
      </c>
      <c r="N31" s="262" t="e">
        <f>$M31*$H$15</f>
        <v>#DIV/0!</v>
      </c>
      <c r="O31" s="256" t="e">
        <f>VLOOKUP('Station parameters'!$C$8,Catchments!$B$67:$L$72,7,FALSE)</f>
        <v>#N/A</v>
      </c>
      <c r="P31" s="166" t="e">
        <f>N31*O31</f>
        <v>#DIV/0!</v>
      </c>
    </row>
    <row r="32" spans="1:16">
      <c r="A32" s="34"/>
      <c r="B32" s="259" t="s">
        <v>40</v>
      </c>
      <c r="C32" s="256" t="e">
        <f>VLOOKUP('Station parameters'!$C$8,Catchments!$B$56:$N$61,4,FALSE)</f>
        <v>#N/A</v>
      </c>
      <c r="D32" s="166" t="e">
        <f t="shared" si="11"/>
        <v>#N/A</v>
      </c>
      <c r="E32" s="256" t="e">
        <f>VLOOKUP('Station parameters'!$C$8,Catchments!$B$56:$N$61,10,FALSE)</f>
        <v>#N/A</v>
      </c>
      <c r="F32" s="166" t="e">
        <f t="shared" si="10"/>
        <v>#N/A</v>
      </c>
      <c r="G32" s="259" t="s">
        <v>40</v>
      </c>
      <c r="H32" s="261" t="e">
        <f t="shared" ref="H32" si="12">(SUM(D8:E8)*0.75)/H$26</f>
        <v>#DIV/0!</v>
      </c>
      <c r="I32" s="262" t="e">
        <f t="shared" ref="I32:I35" si="13">$H32*$H$26</f>
        <v>#DIV/0!</v>
      </c>
      <c r="J32" s="256" t="e">
        <f>VLOOKUP('Station parameters'!$C$8,Catchments!$B$67:$G$72,3,FALSE)</f>
        <v>#N/A</v>
      </c>
      <c r="K32" s="166" t="e">
        <f t="shared" ref="K32:K35" si="14">I32*J32</f>
        <v>#DIV/0!</v>
      </c>
      <c r="L32" s="259" t="s">
        <v>40</v>
      </c>
      <c r="M32" s="261" t="e">
        <f t="shared" ref="M32" si="15">(SUM(G8:H8)*0.75)/K$15</f>
        <v>#DIV/0!</v>
      </c>
      <c r="N32" s="262" t="e">
        <f>$M32*$H$15</f>
        <v>#DIV/0!</v>
      </c>
      <c r="O32" s="256" t="e">
        <f>VLOOKUP('Station parameters'!$C$8,Catchments!$B$67:$L$72,8,FALSE)</f>
        <v>#N/A</v>
      </c>
      <c r="P32" s="166" t="e">
        <f t="shared" ref="P32:P35" si="16">N32*O32</f>
        <v>#DIV/0!</v>
      </c>
    </row>
    <row r="33" spans="1:16">
      <c r="A33" s="34"/>
      <c r="B33" s="259" t="s">
        <v>157</v>
      </c>
      <c r="C33" s="256" t="e">
        <f>VLOOKUP('Station parameters'!$C$8,Catchments!$B$56:$N$61,5,FALSE)</f>
        <v>#N/A</v>
      </c>
      <c r="D33" s="166" t="e">
        <f>C33*$H$26</f>
        <v>#N/A</v>
      </c>
      <c r="E33" s="256" t="e">
        <f>VLOOKUP('Station parameters'!$C$8,Catchments!$B$56:$N$61,11,FALSE)</f>
        <v>#N/A</v>
      </c>
      <c r="F33" s="166" t="e">
        <f t="shared" si="10"/>
        <v>#N/A</v>
      </c>
      <c r="G33" s="259" t="s">
        <v>157</v>
      </c>
      <c r="H33" s="261" t="e">
        <f>(SUM(D10:E10)*0.75)/H$26</f>
        <v>#DIV/0!</v>
      </c>
      <c r="I33" s="262" t="e">
        <f t="shared" si="13"/>
        <v>#DIV/0!</v>
      </c>
      <c r="J33" s="256" t="e">
        <f>VLOOKUP('Station parameters'!$C$8,Catchments!$B$67:$G$72,4,FALSE)</f>
        <v>#N/A</v>
      </c>
      <c r="K33" s="166" t="e">
        <f t="shared" si="14"/>
        <v>#DIV/0!</v>
      </c>
      <c r="L33" s="259" t="s">
        <v>157</v>
      </c>
      <c r="M33" s="261" t="e">
        <f>(SUM(G10:H10)*0.75)/K$15</f>
        <v>#DIV/0!</v>
      </c>
      <c r="N33" s="262" t="e">
        <f>$M33*$H$15</f>
        <v>#DIV/0!</v>
      </c>
      <c r="O33" s="256" t="e">
        <f>VLOOKUP('Station parameters'!$C$8,Catchments!$B$67:$L$72,9,FALSE)</f>
        <v>#N/A</v>
      </c>
      <c r="P33" s="166" t="e">
        <f t="shared" si="16"/>
        <v>#DIV/0!</v>
      </c>
    </row>
    <row r="34" spans="1:16">
      <c r="A34" s="34"/>
      <c r="B34" s="259" t="s">
        <v>158</v>
      </c>
      <c r="C34" s="256" t="e">
        <f>VLOOKUP('Station parameters'!$C$8,Catchments!$B$56:$N$61,6,FALSE)</f>
        <v>#N/A</v>
      </c>
      <c r="D34" s="166" t="e">
        <f t="shared" si="11"/>
        <v>#N/A</v>
      </c>
      <c r="E34" s="256" t="e">
        <f>VLOOKUP('Station parameters'!$C$8,Catchments!$B$56:$N$61,12,FALSE)</f>
        <v>#N/A</v>
      </c>
      <c r="F34" s="166" t="e">
        <f t="shared" si="10"/>
        <v>#N/A</v>
      </c>
      <c r="G34" s="259" t="s">
        <v>158</v>
      </c>
      <c r="H34" s="261" t="e">
        <f>(SUM(D11:E11)*0.75)/H$26</f>
        <v>#DIV/0!</v>
      </c>
      <c r="I34" s="262" t="e">
        <f t="shared" si="13"/>
        <v>#DIV/0!</v>
      </c>
      <c r="J34" s="256" t="e">
        <f>VLOOKUP('Station parameters'!$C$8,Catchments!$B$67:$G$72,5,FALSE)</f>
        <v>#N/A</v>
      </c>
      <c r="K34" s="166" t="e">
        <f t="shared" si="14"/>
        <v>#DIV/0!</v>
      </c>
      <c r="L34" s="259" t="s">
        <v>158</v>
      </c>
      <c r="M34" s="261" t="e">
        <f t="shared" ref="M34:M35" si="17">(SUM(G11:H11)*0.75)/K$15</f>
        <v>#DIV/0!</v>
      </c>
      <c r="N34" s="262" t="e">
        <f>$M34*$H$15</f>
        <v>#DIV/0!</v>
      </c>
      <c r="O34" s="256" t="e">
        <f>VLOOKUP('Station parameters'!$C$8,Catchments!$B$67:$L$72,10,FALSE)</f>
        <v>#N/A</v>
      </c>
      <c r="P34" s="166" t="e">
        <f t="shared" si="16"/>
        <v>#DIV/0!</v>
      </c>
    </row>
    <row r="35" spans="1:16">
      <c r="A35" s="34"/>
      <c r="B35" s="259" t="s">
        <v>25</v>
      </c>
      <c r="C35" s="256" t="e">
        <f>VLOOKUP('Station parameters'!$C$8,Catchments!$B$56:$N$61,7,FALSE)</f>
        <v>#N/A</v>
      </c>
      <c r="D35" s="166" t="e">
        <f t="shared" si="11"/>
        <v>#N/A</v>
      </c>
      <c r="E35" s="256" t="e">
        <f>VLOOKUP('Station parameters'!$C$8,Catchments!$B$56:$N$61,13,FALSE)</f>
        <v>#N/A</v>
      </c>
      <c r="F35" s="166" t="e">
        <f t="shared" si="10"/>
        <v>#N/A</v>
      </c>
      <c r="G35" s="259" t="s">
        <v>25</v>
      </c>
      <c r="H35" s="261" t="e">
        <f t="shared" ref="H35" si="18">(SUM(D12:E12)*0.75)/H$26</f>
        <v>#DIV/0!</v>
      </c>
      <c r="I35" s="262" t="e">
        <f t="shared" si="13"/>
        <v>#DIV/0!</v>
      </c>
      <c r="J35" s="256" t="e">
        <f>VLOOKUP('Station parameters'!$C$8,Catchments!$B$67:$G$72,6,FALSE)</f>
        <v>#N/A</v>
      </c>
      <c r="K35" s="166" t="e">
        <f t="shared" si="14"/>
        <v>#DIV/0!</v>
      </c>
      <c r="L35" s="259" t="s">
        <v>25</v>
      </c>
      <c r="M35" s="261" t="e">
        <f t="shared" si="17"/>
        <v>#DIV/0!</v>
      </c>
      <c r="N35" s="262" t="e">
        <f>$M35*$H$15</f>
        <v>#DIV/0!</v>
      </c>
      <c r="O35" s="256" t="e">
        <f>VLOOKUP('Station parameters'!$C$8,Catchments!$B$67:$L$72,11,FALSE)</f>
        <v>#N/A</v>
      </c>
      <c r="P35" s="166" t="e">
        <f t="shared" si="16"/>
        <v>#DIV/0!</v>
      </c>
    </row>
    <row r="36" spans="1:16">
      <c r="A36" s="34"/>
    </row>
    <row r="37" spans="1:16">
      <c r="A37" s="34"/>
      <c r="B37" s="101" t="s">
        <v>192</v>
      </c>
      <c r="C37" s="99"/>
      <c r="D37" s="99"/>
      <c r="E37" s="99"/>
      <c r="F37" s="99"/>
      <c r="G37" s="99"/>
      <c r="H37" s="99"/>
      <c r="I37" s="99"/>
      <c r="J37" s="99"/>
      <c r="K37" s="99"/>
      <c r="L37" s="99"/>
      <c r="M37" s="99"/>
      <c r="N37" s="99"/>
      <c r="O37" s="99"/>
      <c r="P37" s="99"/>
    </row>
    <row r="38" spans="1:16">
      <c r="A38" s="34"/>
    </row>
    <row r="39" spans="1:16">
      <c r="A39" s="34"/>
      <c r="B39" s="86" t="s">
        <v>330</v>
      </c>
    </row>
    <row r="40" spans="1:16">
      <c r="A40" s="34"/>
      <c r="B40" s="86"/>
      <c r="H40" s="155" t="s">
        <v>358</v>
      </c>
      <c r="I40" s="214"/>
      <c r="J40" s="156"/>
      <c r="K40" s="155" t="s">
        <v>640</v>
      </c>
      <c r="L40" s="214"/>
      <c r="M40" s="156"/>
      <c r="N40" s="155" t="s">
        <v>387</v>
      </c>
      <c r="O40" s="214"/>
      <c r="P40" s="156"/>
    </row>
    <row r="41" spans="1:16">
      <c r="A41" s="34"/>
      <c r="B41" s="238" t="s">
        <v>374</v>
      </c>
      <c r="C41" s="238" t="s">
        <v>304</v>
      </c>
      <c r="D41" s="238" t="s">
        <v>356</v>
      </c>
      <c r="E41" s="238" t="s">
        <v>357</v>
      </c>
      <c r="F41" s="238" t="s">
        <v>355</v>
      </c>
      <c r="G41" s="238" t="s">
        <v>359</v>
      </c>
      <c r="H41" s="238" t="s">
        <v>360</v>
      </c>
      <c r="I41" s="238" t="s">
        <v>329</v>
      </c>
      <c r="J41" s="238" t="s">
        <v>361</v>
      </c>
      <c r="K41" s="238" t="s">
        <v>360</v>
      </c>
      <c r="L41" s="238" t="s">
        <v>329</v>
      </c>
      <c r="M41" s="238" t="s">
        <v>361</v>
      </c>
      <c r="N41" s="238" t="s">
        <v>360</v>
      </c>
      <c r="O41" s="238" t="s">
        <v>329</v>
      </c>
      <c r="P41" s="238" t="s">
        <v>361</v>
      </c>
    </row>
    <row r="42" spans="1:16">
      <c r="A42" s="34"/>
      <c r="B42" s="595" t="s">
        <v>30</v>
      </c>
      <c r="C42" s="238" t="s">
        <v>324</v>
      </c>
      <c r="D42" s="242">
        <f>'Project details'!$D99</f>
        <v>0</v>
      </c>
      <c r="E42" s="242">
        <f>'Project details'!F99</f>
        <v>0</v>
      </c>
      <c r="F42" s="242">
        <f>IF(Option2="No",0,(E42-D42)/60)</f>
        <v>0</v>
      </c>
      <c r="G42" s="243">
        <f>'Project details'!$D$70</f>
        <v>0</v>
      </c>
      <c r="H42" s="242" t="e">
        <f>$H$48*$G42</f>
        <v>#DIV/0!</v>
      </c>
      <c r="I42" s="255" t="e">
        <f>$F42/VLOOKUP('Station parameters'!$O$3,HomeWalkGJT,8,FALSE)*Elasticities!$C$93</f>
        <v>#N/A</v>
      </c>
      <c r="J42" s="242" t="e">
        <f>H42*I42</f>
        <v>#DIV/0!</v>
      </c>
      <c r="K42" s="242">
        <f>$K$48*$G42</f>
        <v>0</v>
      </c>
      <c r="L42" s="255" t="e">
        <f>$F42/VLOOKUP('Station parameters'!$O$3,HomeWalkGJT,7,FALSE)*Elasticities!$C$93</f>
        <v>#N/A</v>
      </c>
      <c r="M42" s="242" t="e">
        <f>K42*L42</f>
        <v>#N/A</v>
      </c>
      <c r="N42" s="242">
        <f>$N$48*$G42</f>
        <v>0</v>
      </c>
      <c r="O42" s="255" t="e">
        <f>$F42/VLOOKUP('Station parameters'!$O$3,DestinationWalkGJT,7,FALSE)*Elasticities!$C$93</f>
        <v>#N/A</v>
      </c>
      <c r="P42" s="242" t="e">
        <f>N42*O42</f>
        <v>#N/A</v>
      </c>
    </row>
    <row r="43" spans="1:16">
      <c r="A43" s="34"/>
      <c r="B43" s="595"/>
      <c r="C43" s="238" t="s">
        <v>325</v>
      </c>
      <c r="D43" s="242">
        <f>'Project details'!$D140</f>
        <v>0</v>
      </c>
      <c r="E43" s="242">
        <f>'Project details'!F140</f>
        <v>0</v>
      </c>
      <c r="F43" s="242">
        <f>IF(Option2="No",0,(E43-D43)/60)</f>
        <v>0</v>
      </c>
      <c r="G43" s="243">
        <f>'Project details'!$D$111</f>
        <v>0</v>
      </c>
      <c r="H43" s="242" t="e">
        <f t="shared" ref="H43:H46" si="19">$H$48*$G43</f>
        <v>#DIV/0!</v>
      </c>
      <c r="I43" s="255" t="e">
        <f>$F43/VLOOKUP('Station parameters'!$O$3,HomeWalkGJT,8,FALSE)*Elasticities!$C$93</f>
        <v>#N/A</v>
      </c>
      <c r="J43" s="242" t="e">
        <f t="shared" ref="J43:J46" si="20">H43*I43</f>
        <v>#DIV/0!</v>
      </c>
      <c r="K43" s="242">
        <f t="shared" ref="K43:K46" si="21">$K$48*$G43</f>
        <v>0</v>
      </c>
      <c r="L43" s="255" t="e">
        <f>$F43/VLOOKUP('Station parameters'!$O$3,HomeWalkGJT,7,FALSE)*Elasticities!$C$93</f>
        <v>#N/A</v>
      </c>
      <c r="M43" s="242" t="e">
        <f t="shared" ref="M43:M46" si="22">K43*L43</f>
        <v>#N/A</v>
      </c>
      <c r="N43" s="242">
        <f>$N$48*$G43</f>
        <v>0</v>
      </c>
      <c r="O43" s="255" t="e">
        <f>$F43/VLOOKUP('Station parameters'!$O$3,DestinationWalkGJT,7,FALSE)*Elasticities!$C$93</f>
        <v>#N/A</v>
      </c>
      <c r="P43" s="242" t="e">
        <f t="shared" ref="P43:P46" si="23">N43*O43</f>
        <v>#N/A</v>
      </c>
    </row>
    <row r="44" spans="1:16">
      <c r="A44" s="34"/>
      <c r="B44" s="595"/>
      <c r="C44" s="238" t="s">
        <v>326</v>
      </c>
      <c r="D44" s="242">
        <f>'Project details'!$D181</f>
        <v>0</v>
      </c>
      <c r="E44" s="242">
        <f>'Project details'!F181</f>
        <v>0</v>
      </c>
      <c r="F44" s="242">
        <f>IF(Option2="No",0,(E44-D44)/60)</f>
        <v>0</v>
      </c>
      <c r="G44" s="243">
        <f>'Project details'!$D$152</f>
        <v>0</v>
      </c>
      <c r="H44" s="242" t="e">
        <f t="shared" si="19"/>
        <v>#DIV/0!</v>
      </c>
      <c r="I44" s="255" t="e">
        <f>$F44/VLOOKUP('Station parameters'!$O$3,HomeWalkGJT,8,FALSE)*Elasticities!$C$93</f>
        <v>#N/A</v>
      </c>
      <c r="J44" s="242" t="e">
        <f t="shared" si="20"/>
        <v>#DIV/0!</v>
      </c>
      <c r="K44" s="242">
        <f t="shared" si="21"/>
        <v>0</v>
      </c>
      <c r="L44" s="255" t="e">
        <f>$F44/VLOOKUP('Station parameters'!$O$3,HomeWalkGJT,7,FALSE)*Elasticities!$C$93</f>
        <v>#N/A</v>
      </c>
      <c r="M44" s="242" t="e">
        <f t="shared" si="22"/>
        <v>#N/A</v>
      </c>
      <c r="N44" s="242">
        <f t="shared" ref="N44:N46" si="24">$N$48*$G44</f>
        <v>0</v>
      </c>
      <c r="O44" s="255" t="e">
        <f>$F44/VLOOKUP('Station parameters'!$O$3,DestinationWalkGJT,7,FALSE)*Elasticities!$C$93</f>
        <v>#N/A</v>
      </c>
      <c r="P44" s="242" t="e">
        <f t="shared" si="23"/>
        <v>#N/A</v>
      </c>
    </row>
    <row r="45" spans="1:16">
      <c r="A45" s="34"/>
      <c r="B45" s="595"/>
      <c r="C45" s="238" t="s">
        <v>327</v>
      </c>
      <c r="D45" s="242">
        <f>'Project details'!$D222</f>
        <v>0</v>
      </c>
      <c r="E45" s="242">
        <f>'Project details'!F222</f>
        <v>0</v>
      </c>
      <c r="F45" s="242">
        <f>IF(Option2="No",0,(E45-D45)/60)</f>
        <v>0</v>
      </c>
      <c r="G45" s="243">
        <f>'Project details'!$D$193</f>
        <v>0</v>
      </c>
      <c r="H45" s="242" t="e">
        <f t="shared" si="19"/>
        <v>#DIV/0!</v>
      </c>
      <c r="I45" s="255" t="e">
        <f>$F45/VLOOKUP('Station parameters'!$O$3,HomeWalkGJT,8,FALSE)*Elasticities!$C$93</f>
        <v>#N/A</v>
      </c>
      <c r="J45" s="242" t="e">
        <f t="shared" si="20"/>
        <v>#DIV/0!</v>
      </c>
      <c r="K45" s="242">
        <f t="shared" si="21"/>
        <v>0</v>
      </c>
      <c r="L45" s="255" t="e">
        <f>$F45/VLOOKUP('Station parameters'!$O$3,HomeWalkGJT,7,FALSE)*Elasticities!$C$93</f>
        <v>#N/A</v>
      </c>
      <c r="M45" s="242" t="e">
        <f t="shared" si="22"/>
        <v>#N/A</v>
      </c>
      <c r="N45" s="242">
        <f t="shared" si="24"/>
        <v>0</v>
      </c>
      <c r="O45" s="255" t="e">
        <f>$F45/VLOOKUP('Station parameters'!$O$3,DestinationWalkGJT,7,FALSE)*Elasticities!$C$93</f>
        <v>#N/A</v>
      </c>
      <c r="P45" s="242" t="e">
        <f t="shared" si="23"/>
        <v>#N/A</v>
      </c>
    </row>
    <row r="46" spans="1:16">
      <c r="A46" s="34"/>
      <c r="B46" s="595"/>
      <c r="C46" s="238" t="s">
        <v>328</v>
      </c>
      <c r="D46" s="242">
        <f>'Project details'!$D263</f>
        <v>0</v>
      </c>
      <c r="E46" s="242">
        <f>'Project details'!F263</f>
        <v>0</v>
      </c>
      <c r="F46" s="242">
        <f>IF(Option2="No",0,(E46-D46)/60)</f>
        <v>0</v>
      </c>
      <c r="G46" s="243">
        <f>'Project details'!$D$234</f>
        <v>0</v>
      </c>
      <c r="H46" s="242" t="e">
        <f t="shared" si="19"/>
        <v>#DIV/0!</v>
      </c>
      <c r="I46" s="255" t="e">
        <f>$F46/VLOOKUP('Station parameters'!$O$3,HomeWalkGJT,8,FALSE)*Elasticities!$C$93</f>
        <v>#N/A</v>
      </c>
      <c r="J46" s="242" t="e">
        <f t="shared" si="20"/>
        <v>#DIV/0!</v>
      </c>
      <c r="K46" s="242">
        <f t="shared" si="21"/>
        <v>0</v>
      </c>
      <c r="L46" s="255" t="e">
        <f>$F46/VLOOKUP('Station parameters'!$O$3,HomeWalkGJT,7,FALSE)*Elasticities!$C$93</f>
        <v>#N/A</v>
      </c>
      <c r="M46" s="242" t="e">
        <f t="shared" si="22"/>
        <v>#N/A</v>
      </c>
      <c r="N46" s="242">
        <f t="shared" si="24"/>
        <v>0</v>
      </c>
      <c r="O46" s="255" t="e">
        <f>$F46/VLOOKUP('Station parameters'!$O$3,DestinationWalkGJT,7,FALSE)*Elasticities!$C$93</f>
        <v>#N/A</v>
      </c>
      <c r="P46" s="242" t="e">
        <f t="shared" si="23"/>
        <v>#N/A</v>
      </c>
    </row>
    <row r="47" spans="1:16">
      <c r="A47" s="34"/>
      <c r="B47" s="595"/>
      <c r="C47" s="61" t="s">
        <v>331</v>
      </c>
      <c r="D47" s="236" t="s">
        <v>175</v>
      </c>
      <c r="E47" s="236" t="s">
        <v>175</v>
      </c>
      <c r="F47" s="236" t="s">
        <v>175</v>
      </c>
      <c r="G47" s="243">
        <f>1-SUM(G42:G46)</f>
        <v>1</v>
      </c>
      <c r="H47" s="236" t="s">
        <v>175</v>
      </c>
      <c r="I47" s="281">
        <v>0</v>
      </c>
      <c r="J47" s="342" t="s">
        <v>175</v>
      </c>
      <c r="K47" s="236" t="s">
        <v>175</v>
      </c>
      <c r="L47" s="281">
        <v>0</v>
      </c>
      <c r="M47" s="236" t="s">
        <v>175</v>
      </c>
      <c r="N47" s="236" t="s">
        <v>175</v>
      </c>
      <c r="O47" s="281">
        <v>0</v>
      </c>
      <c r="P47" s="236" t="s">
        <v>175</v>
      </c>
    </row>
    <row r="48" spans="1:16">
      <c r="A48" s="34"/>
      <c r="B48" s="238" t="s">
        <v>377</v>
      </c>
      <c r="C48" s="238" t="s">
        <v>11</v>
      </c>
      <c r="D48" s="266"/>
      <c r="E48" s="267"/>
      <c r="F48" s="267"/>
      <c r="G48" s="275"/>
      <c r="H48" s="239" t="e">
        <f>('Station parameters'!$E$39-(SUM('Station parameters'!$C$53:$C$55)*('Station parameters'!$E$39/'Station parameters'!$E$49)))*0.75</f>
        <v>#DIV/0!</v>
      </c>
      <c r="I48" s="276" t="e">
        <f>SUMPRODUCT(G42:G47,I42:I47)/SUM(G42:G47)</f>
        <v>#N/A</v>
      </c>
      <c r="J48" s="276" t="e">
        <f>SUM(J42:J46)</f>
        <v>#DIV/0!</v>
      </c>
      <c r="K48" s="239">
        <f>SUM($D$7)*0.75</f>
        <v>0</v>
      </c>
      <c r="L48" s="167" t="e">
        <f>SUMPRODUCT(G42:G47,L42:L47)/SUM(G42:G47)</f>
        <v>#N/A</v>
      </c>
      <c r="M48" s="276" t="e">
        <f>SUM(M42:M46)</f>
        <v>#N/A</v>
      </c>
      <c r="N48" s="239">
        <f>SUM($G$7)*0.75</f>
        <v>0</v>
      </c>
      <c r="O48" s="167" t="e">
        <f>SUMPRODUCT(G42:G47,O42:O47)/SUM(G42:G47)</f>
        <v>#N/A</v>
      </c>
      <c r="P48" s="276" t="e">
        <f>SUM(P42:P46)</f>
        <v>#N/A</v>
      </c>
    </row>
    <row r="49" spans="1:16">
      <c r="A49" s="34"/>
      <c r="B49" s="338" t="s">
        <v>37</v>
      </c>
      <c r="C49" s="238" t="s">
        <v>324</v>
      </c>
      <c r="D49" s="242">
        <f>'Project details'!$D99</f>
        <v>0</v>
      </c>
      <c r="E49" s="242">
        <f>'Project details'!F99</f>
        <v>0</v>
      </c>
      <c r="F49" s="242">
        <f>IF(Option2="No",0,(E49-D49)/60)</f>
        <v>0</v>
      </c>
      <c r="G49" s="243">
        <f>'Project details'!$D$70</f>
        <v>0</v>
      </c>
      <c r="H49" s="242" t="e">
        <f>$H$55*$G49</f>
        <v>#DIV/0!</v>
      </c>
      <c r="I49" s="255" t="e">
        <f>$F49/VLOOKUP('Station parameters'!$O$3,HomeWalkGJT,8,FALSE)*Elasticities!$C$94</f>
        <v>#N/A</v>
      </c>
      <c r="J49" s="242" t="e">
        <f>H49*I49</f>
        <v>#DIV/0!</v>
      </c>
      <c r="K49" s="242">
        <f>$K$55*$G49</f>
        <v>0</v>
      </c>
      <c r="L49" s="255" t="e">
        <f>$F49/VLOOKUP('Station parameters'!$O$3,HomeWalkGJT,7,FALSE)*Elasticities!$C$94</f>
        <v>#N/A</v>
      </c>
      <c r="M49" s="242" t="e">
        <f>K49*L49</f>
        <v>#N/A</v>
      </c>
      <c r="N49" s="242">
        <f>$N$55*$G49</f>
        <v>0</v>
      </c>
      <c r="O49" s="255" t="e">
        <f>$F49/VLOOKUP('Station parameters'!$O$3,DestinationWalkGJT,7,FALSE)*Elasticities!$C$94</f>
        <v>#N/A</v>
      </c>
      <c r="P49" s="242" t="e">
        <f>N49*O49</f>
        <v>#N/A</v>
      </c>
    </row>
    <row r="50" spans="1:16">
      <c r="A50" s="34"/>
      <c r="B50" s="339"/>
      <c r="C50" s="238" t="s">
        <v>325</v>
      </c>
      <c r="D50" s="242">
        <f>'Project details'!$D140</f>
        <v>0</v>
      </c>
      <c r="E50" s="242">
        <f>'Project details'!F140</f>
        <v>0</v>
      </c>
      <c r="F50" s="242">
        <f>IF(Option2="No",0,(E50-D50)/60)</f>
        <v>0</v>
      </c>
      <c r="G50" s="243">
        <f>'Project details'!$D$111</f>
        <v>0</v>
      </c>
      <c r="H50" s="242" t="e">
        <f t="shared" ref="H50:H53" si="25">$H$55*$G50</f>
        <v>#DIV/0!</v>
      </c>
      <c r="I50" s="255" t="e">
        <f>$F50/VLOOKUP('Station parameters'!$O$3,HomeWalkGJT,8,FALSE)*Elasticities!$C$94</f>
        <v>#N/A</v>
      </c>
      <c r="J50" s="242" t="e">
        <f t="shared" ref="J50:J53" si="26">H50*I50</f>
        <v>#DIV/0!</v>
      </c>
      <c r="K50" s="242">
        <f t="shared" ref="K50:K53" si="27">$K$55*$G50</f>
        <v>0</v>
      </c>
      <c r="L50" s="255" t="e">
        <f>$F50/VLOOKUP('Station parameters'!$O$3,HomeWalkGJT,7,FALSE)*Elasticities!$C$94</f>
        <v>#N/A</v>
      </c>
      <c r="M50" s="242" t="e">
        <f t="shared" ref="M50:M53" si="28">K50*L50</f>
        <v>#N/A</v>
      </c>
      <c r="N50" s="242">
        <f t="shared" ref="N50:N53" si="29">$N$55*$G50</f>
        <v>0</v>
      </c>
      <c r="O50" s="255" t="e">
        <f>$F50/VLOOKUP('Station parameters'!$O$3,DestinationWalkGJT,7,FALSE)*Elasticities!$C$94</f>
        <v>#N/A</v>
      </c>
      <c r="P50" s="242" t="e">
        <f t="shared" ref="P50:P53" si="30">N50*O50</f>
        <v>#N/A</v>
      </c>
    </row>
    <row r="51" spans="1:16">
      <c r="A51" s="34"/>
      <c r="B51" s="339"/>
      <c r="C51" s="238" t="s">
        <v>326</v>
      </c>
      <c r="D51" s="242">
        <f>'Project details'!$D181</f>
        <v>0</v>
      </c>
      <c r="E51" s="242">
        <f>'Project details'!F181</f>
        <v>0</v>
      </c>
      <c r="F51" s="242">
        <f>IF(Option2="No",0,(E51-D51)/60)</f>
        <v>0</v>
      </c>
      <c r="G51" s="243">
        <f>'Project details'!$D$152</f>
        <v>0</v>
      </c>
      <c r="H51" s="242" t="e">
        <f t="shared" si="25"/>
        <v>#DIV/0!</v>
      </c>
      <c r="I51" s="255" t="e">
        <f>$F51/VLOOKUP('Station parameters'!$O$3,HomeWalkGJT,8,FALSE)*Elasticities!$C$94</f>
        <v>#N/A</v>
      </c>
      <c r="J51" s="242" t="e">
        <f t="shared" si="26"/>
        <v>#DIV/0!</v>
      </c>
      <c r="K51" s="242">
        <f t="shared" si="27"/>
        <v>0</v>
      </c>
      <c r="L51" s="255" t="e">
        <f>$F51/VLOOKUP('Station parameters'!$O$3,HomeWalkGJT,7,FALSE)*Elasticities!$C$94</f>
        <v>#N/A</v>
      </c>
      <c r="M51" s="242" t="e">
        <f t="shared" si="28"/>
        <v>#N/A</v>
      </c>
      <c r="N51" s="242">
        <f t="shared" si="29"/>
        <v>0</v>
      </c>
      <c r="O51" s="255" t="e">
        <f>$F51/VLOOKUP('Station parameters'!$O$3,DestinationWalkGJT,7,FALSE)*Elasticities!$C$94</f>
        <v>#N/A</v>
      </c>
      <c r="P51" s="242" t="e">
        <f t="shared" si="30"/>
        <v>#N/A</v>
      </c>
    </row>
    <row r="52" spans="1:16">
      <c r="A52" s="34"/>
      <c r="B52" s="339"/>
      <c r="C52" s="238" t="s">
        <v>327</v>
      </c>
      <c r="D52" s="242">
        <f>'Project details'!$D222</f>
        <v>0</v>
      </c>
      <c r="E52" s="242">
        <f>'Project details'!F222</f>
        <v>0</v>
      </c>
      <c r="F52" s="242">
        <f>IF(Option2="No",0,(E52-D52)/60)</f>
        <v>0</v>
      </c>
      <c r="G52" s="243">
        <f>'Project details'!$D$193</f>
        <v>0</v>
      </c>
      <c r="H52" s="242" t="e">
        <f t="shared" si="25"/>
        <v>#DIV/0!</v>
      </c>
      <c r="I52" s="255" t="e">
        <f>$F52/VLOOKUP('Station parameters'!$O$3,HomeWalkGJT,8,FALSE)*Elasticities!$C$94</f>
        <v>#N/A</v>
      </c>
      <c r="J52" s="242" t="e">
        <f t="shared" si="26"/>
        <v>#DIV/0!</v>
      </c>
      <c r="K52" s="242">
        <f t="shared" si="27"/>
        <v>0</v>
      </c>
      <c r="L52" s="255" t="e">
        <f>$F52/VLOOKUP('Station parameters'!$O$3,HomeWalkGJT,7,FALSE)*Elasticities!$C$94</f>
        <v>#N/A</v>
      </c>
      <c r="M52" s="242" t="e">
        <f t="shared" si="28"/>
        <v>#N/A</v>
      </c>
      <c r="N52" s="242">
        <f t="shared" si="29"/>
        <v>0</v>
      </c>
      <c r="O52" s="255" t="e">
        <f>$F52/VLOOKUP('Station parameters'!$O$3,DestinationWalkGJT,7,FALSE)*Elasticities!$C$94</f>
        <v>#N/A</v>
      </c>
      <c r="P52" s="242" t="e">
        <f t="shared" si="30"/>
        <v>#N/A</v>
      </c>
    </row>
    <row r="53" spans="1:16">
      <c r="A53" s="34"/>
      <c r="B53" s="339"/>
      <c r="C53" s="238" t="s">
        <v>328</v>
      </c>
      <c r="D53" s="242">
        <f>'Project details'!$D263</f>
        <v>0</v>
      </c>
      <c r="E53" s="242">
        <f>'Project details'!F263</f>
        <v>0</v>
      </c>
      <c r="F53" s="242">
        <f>IF(Option2="No",0,(E53-D53)/60)</f>
        <v>0</v>
      </c>
      <c r="G53" s="243">
        <f>'Project details'!$D$234</f>
        <v>0</v>
      </c>
      <c r="H53" s="242" t="e">
        <f t="shared" si="25"/>
        <v>#DIV/0!</v>
      </c>
      <c r="I53" s="255" t="e">
        <f>$F53/VLOOKUP('Station parameters'!$O$3,HomeWalkGJT,8,FALSE)*Elasticities!$C$94</f>
        <v>#N/A</v>
      </c>
      <c r="J53" s="242" t="e">
        <f t="shared" si="26"/>
        <v>#DIV/0!</v>
      </c>
      <c r="K53" s="242">
        <f t="shared" si="27"/>
        <v>0</v>
      </c>
      <c r="L53" s="255" t="e">
        <f>$F53/VLOOKUP('Station parameters'!$O$3,HomeWalkGJT,7,FALSE)*Elasticities!$C$94</f>
        <v>#N/A</v>
      </c>
      <c r="M53" s="242" t="e">
        <f t="shared" si="28"/>
        <v>#N/A</v>
      </c>
      <c r="N53" s="242">
        <f t="shared" si="29"/>
        <v>0</v>
      </c>
      <c r="O53" s="255" t="e">
        <f>$F53/VLOOKUP('Station parameters'!$O$3,DestinationWalkGJT,7,FALSE)*Elasticities!$C$94</f>
        <v>#N/A</v>
      </c>
      <c r="P53" s="242" t="e">
        <f t="shared" si="30"/>
        <v>#N/A</v>
      </c>
    </row>
    <row r="54" spans="1:16">
      <c r="A54" s="34"/>
      <c r="B54" s="340"/>
      <c r="C54" s="61" t="s">
        <v>331</v>
      </c>
      <c r="D54" s="236" t="s">
        <v>175</v>
      </c>
      <c r="E54" s="236" t="s">
        <v>175</v>
      </c>
      <c r="F54" s="236" t="s">
        <v>175</v>
      </c>
      <c r="G54" s="243">
        <f>1-SUM(G49:G53)</f>
        <v>1</v>
      </c>
      <c r="H54" s="236" t="s">
        <v>175</v>
      </c>
      <c r="I54" s="281">
        <v>0</v>
      </c>
      <c r="J54" s="236" t="s">
        <v>175</v>
      </c>
      <c r="K54" s="236" t="s">
        <v>175</v>
      </c>
      <c r="L54" s="281">
        <v>0</v>
      </c>
      <c r="M54" s="236" t="s">
        <v>175</v>
      </c>
      <c r="N54" s="236" t="s">
        <v>175</v>
      </c>
      <c r="O54" s="281">
        <v>0</v>
      </c>
      <c r="P54" s="236" t="s">
        <v>175</v>
      </c>
    </row>
    <row r="55" spans="1:16">
      <c r="A55" s="34"/>
      <c r="B55" s="238" t="s">
        <v>378</v>
      </c>
      <c r="C55" s="238" t="s">
        <v>11</v>
      </c>
      <c r="D55" s="266"/>
      <c r="E55" s="267"/>
      <c r="F55" s="267"/>
      <c r="G55" s="275"/>
      <c r="H55" s="239" t="e">
        <f>'Station parameters'!$E$44-(SUM('Station parameters'!$C$53:$C$55)*('Station parameters'!$E$44/'Station parameters'!$E$49))*0.75</f>
        <v>#DIV/0!</v>
      </c>
      <c r="I55" s="341" t="e">
        <f>SUMPRODUCT(G49:G54,I49:I54)/SUM(G49:G54)</f>
        <v>#N/A</v>
      </c>
      <c r="J55" s="276" t="e">
        <f>SUM(J49:J53)</f>
        <v>#DIV/0!</v>
      </c>
      <c r="K55" s="239">
        <f>SUM($E$7)*0.75</f>
        <v>0</v>
      </c>
      <c r="L55" s="167" t="e">
        <f>SUMPRODUCT(G49:G54,L49:L54)/SUM(G49:G54)</f>
        <v>#N/A</v>
      </c>
      <c r="M55" s="276" t="e">
        <f>SUM(M49:M53)</f>
        <v>#N/A</v>
      </c>
      <c r="N55" s="239">
        <f>SUM($H$7)*0.75</f>
        <v>0</v>
      </c>
      <c r="O55" s="167" t="e">
        <f>SUMPRODUCT(G49:G54,O49:O54)/SUM(G49:G54)</f>
        <v>#N/A</v>
      </c>
      <c r="P55" s="276" t="e">
        <f>SUM(P49:P53)</f>
        <v>#N/A</v>
      </c>
    </row>
    <row r="56" spans="1:16">
      <c r="A56" s="34"/>
      <c r="B56" s="238" t="s">
        <v>376</v>
      </c>
      <c r="H56" s="119"/>
      <c r="I56" s="167" t="e">
        <f>(I48*(H48/SUM(H48,H55)))+(I55*(H55/SUM(H48,H55)))</f>
        <v>#N/A</v>
      </c>
      <c r="J56" s="276" t="e">
        <f>J48+J55</f>
        <v>#DIV/0!</v>
      </c>
      <c r="K56" s="119"/>
      <c r="L56" s="167">
        <f>IF(SUM(K48,K55)=0,0,(L48*(K48/SUM(K48,K55)))+(L55*(K55/SUM(K48,K55))))</f>
        <v>0</v>
      </c>
      <c r="M56" s="276" t="e">
        <f>M48+M55</f>
        <v>#N/A</v>
      </c>
      <c r="N56" s="119"/>
      <c r="O56" s="167">
        <f>IF(SUM(N48,N55)=0,0,(O48*(N48/SUM(N48,N55)))+(O55*(N55/SUM(N48,N55))))</f>
        <v>0</v>
      </c>
      <c r="P56" s="276" t="e">
        <f>P48+P55</f>
        <v>#N/A</v>
      </c>
    </row>
    <row r="57" spans="1:16">
      <c r="A57" s="34"/>
    </row>
    <row r="58" spans="1:16">
      <c r="A58" s="34"/>
      <c r="B58" s="14" t="s">
        <v>47</v>
      </c>
      <c r="C58" s="158" t="s">
        <v>205</v>
      </c>
      <c r="D58" s="158" t="s">
        <v>27</v>
      </c>
      <c r="H58" s="14" t="s">
        <v>641</v>
      </c>
      <c r="I58" s="158" t="s">
        <v>205</v>
      </c>
      <c r="J58" s="158" t="s">
        <v>27</v>
      </c>
      <c r="K58" s="158"/>
      <c r="L58" s="158"/>
      <c r="M58" s="14" t="s">
        <v>364</v>
      </c>
      <c r="N58" s="158" t="s">
        <v>205</v>
      </c>
      <c r="O58" s="158" t="s">
        <v>27</v>
      </c>
    </row>
    <row r="59" spans="1:16">
      <c r="A59" s="34"/>
      <c r="B59" s="23" t="s">
        <v>206</v>
      </c>
      <c r="C59" s="248" t="e">
        <f>J56</f>
        <v>#DIV/0!</v>
      </c>
      <c r="D59" s="248" t="e">
        <f>J56</f>
        <v>#DIV/0!</v>
      </c>
      <c r="H59" s="61" t="s">
        <v>323</v>
      </c>
      <c r="I59" s="245" t="e">
        <f>I$60*VLOOKUP($H59,DiversionWalkAccess,4,FALSE)</f>
        <v>#N/A</v>
      </c>
      <c r="J59" s="245" t="e">
        <f>J$60*VLOOKUP($H59,DiversionWalkAccess,4,FALSE)</f>
        <v>#N/A</v>
      </c>
      <c r="K59" s="244"/>
      <c r="L59" s="244"/>
      <c r="M59" s="61" t="s">
        <v>323</v>
      </c>
      <c r="N59" s="245" t="e">
        <f>N$60*VLOOKUP($H59,DiversionWalkEgress,2,FALSE)</f>
        <v>#N/A</v>
      </c>
      <c r="O59" s="245" t="e">
        <f>O$60*VLOOKUP($H59,DiversionWalkEgress,3,FALSE)</f>
        <v>#N/A</v>
      </c>
    </row>
    <row r="60" spans="1:16">
      <c r="A60" s="34"/>
      <c r="B60" s="165" t="s">
        <v>42</v>
      </c>
      <c r="C60" s="245" t="e">
        <f>C$59*VLOOKUP($B60,DiversionPTMainMode,2,FALSE)*AVERAGE(WalkDiversionFactor,CycleDiversionFactor)</f>
        <v>#DIV/0!</v>
      </c>
      <c r="D60" s="245" t="e">
        <f>D$59*VLOOKUP($B60,DiversionPTMainMode,3,FALSE)*AVERAGE(WalkDiversionFactor,CycleDiversionFactor)</f>
        <v>#DIV/0!</v>
      </c>
      <c r="H60" s="247" t="s">
        <v>42</v>
      </c>
      <c r="I60" s="248" t="e">
        <f>M56+J56</f>
        <v>#N/A</v>
      </c>
      <c r="J60" s="248" t="e">
        <f>M56+J56</f>
        <v>#N/A</v>
      </c>
      <c r="K60" s="244"/>
      <c r="L60" s="244"/>
      <c r="M60" s="247" t="s">
        <v>42</v>
      </c>
      <c r="N60" s="248" t="e">
        <f>P56</f>
        <v>#N/A</v>
      </c>
      <c r="O60" s="248" t="e">
        <f>P56</f>
        <v>#N/A</v>
      </c>
    </row>
    <row r="61" spans="1:16">
      <c r="A61" s="34"/>
      <c r="B61" s="165" t="s">
        <v>40</v>
      </c>
      <c r="C61" s="245" t="e">
        <f>C$59*VLOOKUP($B61,DiversionPTMainMode,2,FALSE)*AVERAGE(WalkDiversionFactor,CycleDiversionFactor)</f>
        <v>#DIV/0!</v>
      </c>
      <c r="D61" s="245" t="e">
        <f>D$59*VLOOKUP($B61,DiversionPTMainMode,3,FALSE)*AVERAGE(WalkDiversionFactor,CycleDiversionFactor)</f>
        <v>#DIV/0!</v>
      </c>
      <c r="H61" s="249" t="s">
        <v>40</v>
      </c>
      <c r="I61" s="245" t="e">
        <f t="shared" ref="I61:J63" si="31">I$60*VLOOKUP($H61,DiversionWalkAccess,4,FALSE)</f>
        <v>#N/A</v>
      </c>
      <c r="J61" s="245" t="e">
        <f t="shared" si="31"/>
        <v>#N/A</v>
      </c>
      <c r="K61" s="244"/>
      <c r="L61" s="244"/>
      <c r="M61" s="249" t="s">
        <v>40</v>
      </c>
      <c r="N61" s="245" t="e">
        <f>N$60*VLOOKUP($H61,DiversionWalkEgress,2,FALSE)</f>
        <v>#N/A</v>
      </c>
      <c r="O61" s="245" t="e">
        <f>O$60*VLOOKUP($H61,DiversionWalkEgress,3,FALSE)</f>
        <v>#N/A</v>
      </c>
    </row>
    <row r="62" spans="1:16">
      <c r="A62" s="34"/>
      <c r="B62" s="165" t="s">
        <v>157</v>
      </c>
      <c r="C62" s="245" t="e">
        <f>C$59*VLOOKUP($B62,DiversionPTMainMode,2,FALSE)*AVERAGE(WalkDiversionFactor,CycleDiversionFactor)</f>
        <v>#DIV/0!</v>
      </c>
      <c r="D62" s="245" t="e">
        <f>D$59*VLOOKUP($B62,DiversionPTMainMode,3,FALSE)*AVERAGE(WalkDiversionFactor,CycleDiversionFactor)</f>
        <v>#DIV/0!</v>
      </c>
      <c r="H62" s="249" t="s">
        <v>157</v>
      </c>
      <c r="I62" s="245" t="e">
        <f t="shared" si="31"/>
        <v>#N/A</v>
      </c>
      <c r="J62" s="245" t="e">
        <f t="shared" si="31"/>
        <v>#N/A</v>
      </c>
      <c r="K62" s="244"/>
      <c r="L62" s="244"/>
      <c r="M62" s="249" t="s">
        <v>157</v>
      </c>
      <c r="N62" s="245" t="e">
        <f>N$60*VLOOKUP($H62,DiversionWalkEgress,2,FALSE)</f>
        <v>#N/A</v>
      </c>
      <c r="O62" s="245" t="e">
        <f>O$60*VLOOKUP($H62,DiversionWalkEgress,3,FALSE)</f>
        <v>#N/A</v>
      </c>
    </row>
    <row r="63" spans="1:16">
      <c r="A63" s="34"/>
      <c r="B63" s="165" t="s">
        <v>158</v>
      </c>
      <c r="C63" s="245" t="e">
        <f>C$59*VLOOKUP($B63,DiversionPTMainMode,2,FALSE)*AVERAGE(WalkDiversionFactor,CycleDiversionFactor)</f>
        <v>#DIV/0!</v>
      </c>
      <c r="D63" s="245" t="e">
        <f>D$59*VLOOKUP($B63,DiversionPTMainMode,3,FALSE)*AVERAGE(WalkDiversionFactor,CycleDiversionFactor)</f>
        <v>#DIV/0!</v>
      </c>
      <c r="H63" s="249" t="s">
        <v>158</v>
      </c>
      <c r="I63" s="245" t="e">
        <f t="shared" si="31"/>
        <v>#N/A</v>
      </c>
      <c r="J63" s="245" t="e">
        <f t="shared" si="31"/>
        <v>#N/A</v>
      </c>
      <c r="K63" s="244"/>
      <c r="L63" s="244"/>
      <c r="M63" s="249" t="s">
        <v>158</v>
      </c>
      <c r="N63" s="245" t="e">
        <f>N$60*VLOOKUP($H63,DiversionWalkEgress,2,FALSE)</f>
        <v>#N/A</v>
      </c>
      <c r="O63" s="245" t="e">
        <f>O$60*VLOOKUP($H63,DiversionWalkEgress,3,FALSE)</f>
        <v>#N/A</v>
      </c>
    </row>
    <row r="64" spans="1:16">
      <c r="A64" s="34"/>
      <c r="B64" s="144" t="s">
        <v>25</v>
      </c>
      <c r="C64" s="245" t="e">
        <f>C$59*VLOOKUP($B64,DiversionPTMainMode,2,FALSE)*AVERAGE(WalkDiversionFactor,CycleDiversionFactor)</f>
        <v>#DIV/0!</v>
      </c>
      <c r="D64" s="245" t="e">
        <f>D$59*VLOOKUP($B64,DiversionPTMainMode,3,FALSE)*AVERAGE(WalkDiversionFactor,CycleDiversionFactor)</f>
        <v>#DIV/0!</v>
      </c>
      <c r="F64" s="163"/>
      <c r="J64" s="163"/>
    </row>
    <row r="65" spans="1:16">
      <c r="A65" s="34"/>
    </row>
    <row r="66" spans="1:16">
      <c r="A66" s="34"/>
      <c r="B66" s="86" t="s">
        <v>165</v>
      </c>
      <c r="C66" s="118"/>
      <c r="D66" s="240" t="s">
        <v>167</v>
      </c>
      <c r="E66" s="394" t="e">
        <f>E15</f>
        <v>#N/A</v>
      </c>
      <c r="F66" s="127" t="s">
        <v>168</v>
      </c>
      <c r="G66" s="241" t="s">
        <v>169</v>
      </c>
      <c r="H66" s="394">
        <f>H15</f>
        <v>0</v>
      </c>
      <c r="J66" s="241" t="s">
        <v>170</v>
      </c>
      <c r="K66" s="394">
        <f>K15</f>
        <v>0</v>
      </c>
    </row>
    <row r="67" spans="1:16">
      <c r="A67" s="34"/>
      <c r="B67" s="108"/>
      <c r="C67" s="118"/>
      <c r="D67" s="119"/>
      <c r="E67" s="119"/>
      <c r="F67" s="118"/>
      <c r="G67" s="120"/>
      <c r="H67" s="119"/>
    </row>
    <row r="68" spans="1:16">
      <c r="A68" s="34"/>
      <c r="B68" s="395"/>
      <c r="C68" s="596" t="s">
        <v>47</v>
      </c>
      <c r="D68" s="597"/>
      <c r="E68" s="597"/>
      <c r="F68" s="598"/>
      <c r="H68" s="596" t="s">
        <v>639</v>
      </c>
      <c r="I68" s="597"/>
      <c r="J68" s="597"/>
      <c r="K68" s="598"/>
      <c r="M68" s="596" t="s">
        <v>153</v>
      </c>
      <c r="N68" s="597"/>
      <c r="O68" s="597"/>
      <c r="P68" s="598"/>
    </row>
    <row r="69" spans="1:16" ht="30">
      <c r="A69" s="34"/>
      <c r="B69" s="258" t="s">
        <v>47</v>
      </c>
      <c r="C69" s="258" t="s">
        <v>159</v>
      </c>
      <c r="D69" s="258" t="s">
        <v>200</v>
      </c>
      <c r="E69" s="258" t="s">
        <v>363</v>
      </c>
      <c r="F69" s="258" t="s">
        <v>201</v>
      </c>
      <c r="G69" s="258" t="s">
        <v>93</v>
      </c>
      <c r="H69" s="258" t="s">
        <v>159</v>
      </c>
      <c r="I69" s="258" t="s">
        <v>200</v>
      </c>
      <c r="J69" s="258" t="s">
        <v>363</v>
      </c>
      <c r="K69" s="258" t="s">
        <v>202</v>
      </c>
      <c r="L69" s="258" t="s">
        <v>93</v>
      </c>
      <c r="M69" s="258" t="s">
        <v>152</v>
      </c>
      <c r="N69" s="258" t="s">
        <v>200</v>
      </c>
      <c r="O69" s="258" t="s">
        <v>363</v>
      </c>
      <c r="P69" s="258" t="s">
        <v>203</v>
      </c>
    </row>
    <row r="70" spans="1:16">
      <c r="A70" s="34"/>
      <c r="B70" s="259" t="s">
        <v>206</v>
      </c>
      <c r="C70" s="264" t="e">
        <f>D70/$H$66</f>
        <v>#DIV/0!</v>
      </c>
      <c r="D70" s="250" t="e">
        <f>IF(C19=0,0,D19+C59)</f>
        <v>#DIV/0!</v>
      </c>
      <c r="E70" s="264" t="e">
        <f>E19</f>
        <v>#N/A</v>
      </c>
      <c r="F70" s="166" t="e">
        <f>D70*E70</f>
        <v>#DIV/0!</v>
      </c>
      <c r="G70" s="268" t="s">
        <v>323</v>
      </c>
      <c r="H70" s="264" t="e">
        <f>I70/$H$66</f>
        <v>#DIV/0!</v>
      </c>
      <c r="I70" s="265" t="e">
        <f>IF(H19=0,0,I19+I59)</f>
        <v>#DIV/0!</v>
      </c>
      <c r="J70" s="260"/>
      <c r="K70" s="263"/>
      <c r="L70" s="268" t="s">
        <v>323</v>
      </c>
      <c r="M70" s="264" t="e">
        <f>N70/$K$66</f>
        <v>#DIV/0!</v>
      </c>
      <c r="N70" s="265" t="e">
        <f>IF(M19=0,0,N19+N59)</f>
        <v>#DIV/0!</v>
      </c>
      <c r="O70" s="104"/>
      <c r="P70" s="104"/>
    </row>
    <row r="71" spans="1:16">
      <c r="A71" s="34"/>
      <c r="B71" s="259" t="s">
        <v>42</v>
      </c>
      <c r="C71" s="264" t="e">
        <f t="shared" ref="C71:C75" si="32">D71/$H$66</f>
        <v>#N/A</v>
      </c>
      <c r="D71" s="250" t="e">
        <f t="shared" ref="D71:D75" si="33">IF(C20=0,0,D20+C60)</f>
        <v>#N/A</v>
      </c>
      <c r="E71" s="264" t="e">
        <f t="shared" ref="E71:E75" si="34">IF(C71=0,0,F71/D71)</f>
        <v>#N/A</v>
      </c>
      <c r="F71" s="250" t="e">
        <f>IF(C71=0,0,F20+D60)</f>
        <v>#N/A</v>
      </c>
      <c r="G71" s="259" t="s">
        <v>42</v>
      </c>
      <c r="H71" s="264" t="e">
        <f>I71/$H$66</f>
        <v>#DIV/0!</v>
      </c>
      <c r="I71" s="265" t="e">
        <f t="shared" ref="I71:I75" si="35">IF(H20=0,0,I20+I60)</f>
        <v>#DIV/0!</v>
      </c>
      <c r="J71" s="264" t="e">
        <f>J20</f>
        <v>#N/A</v>
      </c>
      <c r="K71" s="166" t="e">
        <f>I71*J71</f>
        <v>#DIV/0!</v>
      </c>
      <c r="L71" s="259" t="s">
        <v>42</v>
      </c>
      <c r="M71" s="264" t="e">
        <f t="shared" ref="M71:M75" si="36">N71/$K$66</f>
        <v>#DIV/0!</v>
      </c>
      <c r="N71" s="265" t="e">
        <f t="shared" ref="N71:N75" si="37">IF(M20=0,0,N20+N60)</f>
        <v>#DIV/0!</v>
      </c>
      <c r="O71" s="264" t="e">
        <f>O20</f>
        <v>#N/A</v>
      </c>
      <c r="P71" s="166" t="e">
        <f>N71*O71</f>
        <v>#DIV/0!</v>
      </c>
    </row>
    <row r="72" spans="1:16">
      <c r="A72" s="34"/>
      <c r="B72" s="259" t="s">
        <v>40</v>
      </c>
      <c r="C72" s="264" t="e">
        <f t="shared" si="32"/>
        <v>#N/A</v>
      </c>
      <c r="D72" s="250" t="e">
        <f t="shared" si="33"/>
        <v>#N/A</v>
      </c>
      <c r="E72" s="264" t="e">
        <f t="shared" si="34"/>
        <v>#N/A</v>
      </c>
      <c r="F72" s="250" t="e">
        <f>IF(C72=0,0,F21+D61)</f>
        <v>#N/A</v>
      </c>
      <c r="G72" s="259" t="s">
        <v>40</v>
      </c>
      <c r="H72" s="264" t="e">
        <f t="shared" ref="H72:H75" si="38">I72/$H$66</f>
        <v>#DIV/0!</v>
      </c>
      <c r="I72" s="265" t="e">
        <f t="shared" si="35"/>
        <v>#DIV/0!</v>
      </c>
      <c r="J72" s="264" t="e">
        <f t="shared" ref="J72:J75" si="39">J21</f>
        <v>#N/A</v>
      </c>
      <c r="K72" s="166" t="e">
        <f t="shared" ref="K72:K75" si="40">I72*J72</f>
        <v>#DIV/0!</v>
      </c>
      <c r="L72" s="259" t="s">
        <v>40</v>
      </c>
      <c r="M72" s="264" t="e">
        <f t="shared" si="36"/>
        <v>#DIV/0!</v>
      </c>
      <c r="N72" s="265" t="e">
        <f t="shared" si="37"/>
        <v>#DIV/0!</v>
      </c>
      <c r="O72" s="264" t="e">
        <f t="shared" ref="O72:O75" si="41">O21</f>
        <v>#N/A</v>
      </c>
      <c r="P72" s="166" t="e">
        <f t="shared" ref="P72:P75" si="42">N72*O72</f>
        <v>#DIV/0!</v>
      </c>
    </row>
    <row r="73" spans="1:16">
      <c r="A73" s="34"/>
      <c r="B73" s="259" t="s">
        <v>157</v>
      </c>
      <c r="C73" s="264" t="e">
        <f t="shared" si="32"/>
        <v>#N/A</v>
      </c>
      <c r="D73" s="250" t="e">
        <f t="shared" si="33"/>
        <v>#N/A</v>
      </c>
      <c r="E73" s="264" t="e">
        <f t="shared" si="34"/>
        <v>#N/A</v>
      </c>
      <c r="F73" s="250" t="e">
        <f>IF(C73=0,0,F22+D62)</f>
        <v>#N/A</v>
      </c>
      <c r="G73" s="259" t="s">
        <v>157</v>
      </c>
      <c r="H73" s="264" t="e">
        <f t="shared" si="38"/>
        <v>#DIV/0!</v>
      </c>
      <c r="I73" s="265" t="e">
        <f t="shared" si="35"/>
        <v>#DIV/0!</v>
      </c>
      <c r="J73" s="264" t="e">
        <f t="shared" si="39"/>
        <v>#N/A</v>
      </c>
      <c r="K73" s="166" t="e">
        <f t="shared" si="40"/>
        <v>#DIV/0!</v>
      </c>
      <c r="L73" s="259" t="s">
        <v>157</v>
      </c>
      <c r="M73" s="264" t="e">
        <f t="shared" si="36"/>
        <v>#DIV/0!</v>
      </c>
      <c r="N73" s="265" t="e">
        <f t="shared" si="37"/>
        <v>#DIV/0!</v>
      </c>
      <c r="O73" s="264" t="e">
        <f t="shared" si="41"/>
        <v>#N/A</v>
      </c>
      <c r="P73" s="166" t="e">
        <f t="shared" si="42"/>
        <v>#DIV/0!</v>
      </c>
    </row>
    <row r="74" spans="1:16">
      <c r="A74" s="34"/>
      <c r="B74" s="259" t="s">
        <v>158</v>
      </c>
      <c r="C74" s="264" t="e">
        <f t="shared" si="32"/>
        <v>#N/A</v>
      </c>
      <c r="D74" s="250" t="e">
        <f t="shared" si="33"/>
        <v>#N/A</v>
      </c>
      <c r="E74" s="264" t="e">
        <f t="shared" si="34"/>
        <v>#N/A</v>
      </c>
      <c r="F74" s="250" t="e">
        <f>IF(C74=0,0,F23+D63)</f>
        <v>#N/A</v>
      </c>
      <c r="G74" s="259" t="s">
        <v>158</v>
      </c>
      <c r="H74" s="264" t="e">
        <f t="shared" si="38"/>
        <v>#DIV/0!</v>
      </c>
      <c r="I74" s="265" t="e">
        <f t="shared" si="35"/>
        <v>#DIV/0!</v>
      </c>
      <c r="J74" s="264" t="e">
        <f t="shared" si="39"/>
        <v>#N/A</v>
      </c>
      <c r="K74" s="166" t="e">
        <f t="shared" si="40"/>
        <v>#DIV/0!</v>
      </c>
      <c r="L74" s="259" t="s">
        <v>158</v>
      </c>
      <c r="M74" s="264" t="e">
        <f t="shared" si="36"/>
        <v>#DIV/0!</v>
      </c>
      <c r="N74" s="265" t="e">
        <f t="shared" si="37"/>
        <v>#DIV/0!</v>
      </c>
      <c r="O74" s="264" t="e">
        <f t="shared" si="41"/>
        <v>#N/A</v>
      </c>
      <c r="P74" s="166" t="e">
        <f t="shared" si="42"/>
        <v>#DIV/0!</v>
      </c>
    </row>
    <row r="75" spans="1:16">
      <c r="A75" s="34"/>
      <c r="B75" s="259" t="s">
        <v>25</v>
      </c>
      <c r="C75" s="264" t="e">
        <f t="shared" si="32"/>
        <v>#N/A</v>
      </c>
      <c r="D75" s="250" t="e">
        <f t="shared" si="33"/>
        <v>#N/A</v>
      </c>
      <c r="E75" s="264" t="e">
        <f t="shared" si="34"/>
        <v>#N/A</v>
      </c>
      <c r="F75" s="250" t="e">
        <f>IF(C75=0,0,F24+D64)</f>
        <v>#N/A</v>
      </c>
      <c r="G75" s="259" t="s">
        <v>25</v>
      </c>
      <c r="H75" s="264" t="e">
        <f t="shared" si="38"/>
        <v>#DIV/0!</v>
      </c>
      <c r="I75" s="265" t="e">
        <f t="shared" si="35"/>
        <v>#DIV/0!</v>
      </c>
      <c r="J75" s="264" t="e">
        <f t="shared" si="39"/>
        <v>#N/A</v>
      </c>
      <c r="K75" s="166" t="e">
        <f t="shared" si="40"/>
        <v>#DIV/0!</v>
      </c>
      <c r="L75" s="259" t="s">
        <v>25</v>
      </c>
      <c r="M75" s="264" t="e">
        <f t="shared" si="36"/>
        <v>#DIV/0!</v>
      </c>
      <c r="N75" s="265" t="e">
        <f t="shared" si="37"/>
        <v>#DIV/0!</v>
      </c>
      <c r="O75" s="264" t="e">
        <f t="shared" si="41"/>
        <v>#N/A</v>
      </c>
      <c r="P75" s="166" t="e">
        <f t="shared" si="42"/>
        <v>#DIV/0!</v>
      </c>
    </row>
    <row r="76" spans="1:16">
      <c r="A76" s="34"/>
      <c r="B76" s="108"/>
      <c r="C76" s="118"/>
      <c r="D76" s="119"/>
      <c r="E76" s="119"/>
      <c r="F76" s="118"/>
      <c r="G76" s="120"/>
      <c r="H76" s="119"/>
    </row>
    <row r="77" spans="1:16">
      <c r="A77" s="34"/>
      <c r="B77" s="86" t="s">
        <v>166</v>
      </c>
      <c r="C77" s="118"/>
      <c r="D77" s="240" t="s">
        <v>167</v>
      </c>
      <c r="E77" s="394" t="e">
        <f>E26</f>
        <v>#N/A</v>
      </c>
      <c r="F77" s="127" t="s">
        <v>168</v>
      </c>
      <c r="G77" s="241" t="s">
        <v>169</v>
      </c>
      <c r="H77" s="394">
        <f>H26</f>
        <v>0</v>
      </c>
      <c r="J77" s="241" t="s">
        <v>170</v>
      </c>
      <c r="K77" s="166">
        <f>K26</f>
        <v>0</v>
      </c>
    </row>
    <row r="78" spans="1:16">
      <c r="A78" s="34"/>
      <c r="B78" s="108"/>
      <c r="C78" s="118"/>
      <c r="D78" s="119"/>
      <c r="E78" s="119"/>
      <c r="F78" s="118"/>
      <c r="G78" s="120"/>
      <c r="H78" s="119"/>
    </row>
    <row r="79" spans="1:16">
      <c r="A79" s="34"/>
      <c r="B79" s="395"/>
      <c r="C79" s="596" t="s">
        <v>47</v>
      </c>
      <c r="D79" s="597"/>
      <c r="E79" s="597"/>
      <c r="F79" s="598"/>
      <c r="H79" s="596" t="s">
        <v>639</v>
      </c>
      <c r="I79" s="597"/>
      <c r="J79" s="597"/>
      <c r="K79" s="598"/>
      <c r="M79" s="596" t="s">
        <v>153</v>
      </c>
      <c r="N79" s="597"/>
      <c r="O79" s="597"/>
      <c r="P79" s="598"/>
    </row>
    <row r="80" spans="1:16" ht="30">
      <c r="A80" s="34"/>
      <c r="B80" s="258" t="s">
        <v>47</v>
      </c>
      <c r="C80" s="258" t="s">
        <v>159</v>
      </c>
      <c r="D80" s="258" t="s">
        <v>200</v>
      </c>
      <c r="E80" s="258" t="s">
        <v>363</v>
      </c>
      <c r="F80" s="258" t="s">
        <v>201</v>
      </c>
      <c r="G80" s="258" t="s">
        <v>93</v>
      </c>
      <c r="H80" s="258" t="s">
        <v>159</v>
      </c>
      <c r="I80" s="258" t="s">
        <v>200</v>
      </c>
      <c r="J80" s="258" t="s">
        <v>363</v>
      </c>
      <c r="K80" s="258" t="s">
        <v>202</v>
      </c>
      <c r="L80" s="258" t="s">
        <v>93</v>
      </c>
      <c r="M80" s="258" t="s">
        <v>152</v>
      </c>
      <c r="N80" s="258" t="s">
        <v>200</v>
      </c>
      <c r="O80" s="258" t="s">
        <v>363</v>
      </c>
      <c r="P80" s="258" t="s">
        <v>203</v>
      </c>
    </row>
    <row r="81" spans="1:16">
      <c r="A81" s="34"/>
      <c r="B81" s="259" t="s">
        <v>206</v>
      </c>
      <c r="C81" s="264" t="e">
        <f t="shared" ref="C81:C86" si="43">D81/$H$77</f>
        <v>#DIV/0!</v>
      </c>
      <c r="D81" s="250" t="e">
        <f>IF(C30=0,0,D30+C59)</f>
        <v>#DIV/0!</v>
      </c>
      <c r="E81" s="264" t="e">
        <f>E30</f>
        <v>#N/A</v>
      </c>
      <c r="F81" s="166" t="e">
        <f>D81*E81</f>
        <v>#DIV/0!</v>
      </c>
      <c r="G81" s="268" t="s">
        <v>323</v>
      </c>
      <c r="H81" s="264" t="e">
        <f>I81/$H$77</f>
        <v>#DIV/0!</v>
      </c>
      <c r="I81" s="265" t="e">
        <f>IF(H30=0,0,I30+I59)</f>
        <v>#DIV/0!</v>
      </c>
      <c r="J81" s="260"/>
      <c r="K81" s="263"/>
      <c r="L81" s="268" t="s">
        <v>323</v>
      </c>
      <c r="M81" s="264" t="e">
        <f>N81/$K$77</f>
        <v>#DIV/0!</v>
      </c>
      <c r="N81" s="265" t="e">
        <f>IF(M30=0,0,N30+N59)</f>
        <v>#DIV/0!</v>
      </c>
      <c r="O81" s="104"/>
      <c r="P81" s="104"/>
    </row>
    <row r="82" spans="1:16">
      <c r="A82" s="34"/>
      <c r="B82" s="259" t="s">
        <v>42</v>
      </c>
      <c r="C82" s="264" t="e">
        <f t="shared" si="43"/>
        <v>#N/A</v>
      </c>
      <c r="D82" s="250" t="e">
        <f t="shared" ref="D82:D86" si="44">IF(C31=0,0,D31+C60)</f>
        <v>#N/A</v>
      </c>
      <c r="E82" s="264" t="e">
        <f t="shared" ref="E82:E86" si="45">IF(C82=0,0,F82/D82)</f>
        <v>#N/A</v>
      </c>
      <c r="F82" s="250" t="e">
        <f>IF(C82=0,0,F31+D60)</f>
        <v>#N/A</v>
      </c>
      <c r="G82" s="259" t="s">
        <v>42</v>
      </c>
      <c r="H82" s="264" t="e">
        <f t="shared" ref="H82:H86" si="46">I82/$H$77</f>
        <v>#DIV/0!</v>
      </c>
      <c r="I82" s="265" t="e">
        <f t="shared" ref="I82:I86" si="47">IF(H31=0,0,I31+I60)</f>
        <v>#DIV/0!</v>
      </c>
      <c r="J82" s="264" t="e">
        <f>J31</f>
        <v>#N/A</v>
      </c>
      <c r="K82" s="166" t="e">
        <f>I82*J82</f>
        <v>#DIV/0!</v>
      </c>
      <c r="L82" s="259" t="s">
        <v>42</v>
      </c>
      <c r="M82" s="264" t="e">
        <f>N82/$K$77</f>
        <v>#DIV/0!</v>
      </c>
      <c r="N82" s="265" t="e">
        <f t="shared" ref="N82:N86" si="48">IF(M31=0,0,N31+N60)</f>
        <v>#DIV/0!</v>
      </c>
      <c r="O82" s="264" t="e">
        <f>O31</f>
        <v>#N/A</v>
      </c>
      <c r="P82" s="166" t="e">
        <f>N82*O82</f>
        <v>#DIV/0!</v>
      </c>
    </row>
    <row r="83" spans="1:16">
      <c r="A83" s="34"/>
      <c r="B83" s="259" t="s">
        <v>40</v>
      </c>
      <c r="C83" s="264" t="e">
        <f t="shared" si="43"/>
        <v>#N/A</v>
      </c>
      <c r="D83" s="250" t="e">
        <f t="shared" si="44"/>
        <v>#N/A</v>
      </c>
      <c r="E83" s="264" t="e">
        <f t="shared" si="45"/>
        <v>#N/A</v>
      </c>
      <c r="F83" s="250" t="e">
        <f>IF(C83=0,0,F32+D61)</f>
        <v>#N/A</v>
      </c>
      <c r="G83" s="259" t="s">
        <v>40</v>
      </c>
      <c r="H83" s="264" t="e">
        <f t="shared" si="46"/>
        <v>#DIV/0!</v>
      </c>
      <c r="I83" s="265" t="e">
        <f t="shared" si="47"/>
        <v>#DIV/0!</v>
      </c>
      <c r="J83" s="264" t="e">
        <f t="shared" ref="J83:J86" si="49">J32</f>
        <v>#N/A</v>
      </c>
      <c r="K83" s="166" t="e">
        <f t="shared" ref="K83:K86" si="50">I83*J83</f>
        <v>#DIV/0!</v>
      </c>
      <c r="L83" s="259" t="s">
        <v>40</v>
      </c>
      <c r="M83" s="264" t="e">
        <f t="shared" ref="M83:M86" si="51">N83/$K$77</f>
        <v>#DIV/0!</v>
      </c>
      <c r="N83" s="265" t="e">
        <f t="shared" si="48"/>
        <v>#DIV/0!</v>
      </c>
      <c r="O83" s="264" t="e">
        <f t="shared" ref="O83:O86" si="52">O32</f>
        <v>#N/A</v>
      </c>
      <c r="P83" s="166" t="e">
        <f t="shared" ref="P83:P86" si="53">N83*O83</f>
        <v>#DIV/0!</v>
      </c>
    </row>
    <row r="84" spans="1:16">
      <c r="A84" s="34"/>
      <c r="B84" s="259" t="s">
        <v>157</v>
      </c>
      <c r="C84" s="264" t="e">
        <f t="shared" si="43"/>
        <v>#N/A</v>
      </c>
      <c r="D84" s="250" t="e">
        <f t="shared" si="44"/>
        <v>#N/A</v>
      </c>
      <c r="E84" s="264" t="e">
        <f t="shared" si="45"/>
        <v>#N/A</v>
      </c>
      <c r="F84" s="250" t="e">
        <f>IF(C84=0,0,F33+D62)</f>
        <v>#N/A</v>
      </c>
      <c r="G84" s="259" t="s">
        <v>157</v>
      </c>
      <c r="H84" s="264" t="e">
        <f t="shared" si="46"/>
        <v>#DIV/0!</v>
      </c>
      <c r="I84" s="265" t="e">
        <f t="shared" si="47"/>
        <v>#DIV/0!</v>
      </c>
      <c r="J84" s="264" t="e">
        <f t="shared" si="49"/>
        <v>#N/A</v>
      </c>
      <c r="K84" s="166" t="e">
        <f t="shared" si="50"/>
        <v>#DIV/0!</v>
      </c>
      <c r="L84" s="259" t="s">
        <v>157</v>
      </c>
      <c r="M84" s="264" t="e">
        <f t="shared" si="51"/>
        <v>#DIV/0!</v>
      </c>
      <c r="N84" s="265" t="e">
        <f t="shared" si="48"/>
        <v>#DIV/0!</v>
      </c>
      <c r="O84" s="264" t="e">
        <f t="shared" si="52"/>
        <v>#N/A</v>
      </c>
      <c r="P84" s="166" t="e">
        <f t="shared" si="53"/>
        <v>#DIV/0!</v>
      </c>
    </row>
    <row r="85" spans="1:16">
      <c r="A85" s="34"/>
      <c r="B85" s="259" t="s">
        <v>158</v>
      </c>
      <c r="C85" s="264" t="e">
        <f t="shared" si="43"/>
        <v>#N/A</v>
      </c>
      <c r="D85" s="250" t="e">
        <f t="shared" si="44"/>
        <v>#N/A</v>
      </c>
      <c r="E85" s="264" t="e">
        <f t="shared" si="45"/>
        <v>#N/A</v>
      </c>
      <c r="F85" s="250" t="e">
        <f>IF(C85=0,0,F34+D63)</f>
        <v>#N/A</v>
      </c>
      <c r="G85" s="259" t="s">
        <v>158</v>
      </c>
      <c r="H85" s="264" t="e">
        <f t="shared" si="46"/>
        <v>#DIV/0!</v>
      </c>
      <c r="I85" s="265" t="e">
        <f t="shared" si="47"/>
        <v>#DIV/0!</v>
      </c>
      <c r="J85" s="264" t="e">
        <f t="shared" si="49"/>
        <v>#N/A</v>
      </c>
      <c r="K85" s="166" t="e">
        <f t="shared" si="50"/>
        <v>#DIV/0!</v>
      </c>
      <c r="L85" s="259" t="s">
        <v>158</v>
      </c>
      <c r="M85" s="264" t="e">
        <f t="shared" si="51"/>
        <v>#DIV/0!</v>
      </c>
      <c r="N85" s="265" t="e">
        <f t="shared" si="48"/>
        <v>#DIV/0!</v>
      </c>
      <c r="O85" s="264" t="e">
        <f t="shared" si="52"/>
        <v>#N/A</v>
      </c>
      <c r="P85" s="166" t="e">
        <f t="shared" si="53"/>
        <v>#DIV/0!</v>
      </c>
    </row>
    <row r="86" spans="1:16">
      <c r="A86" s="34"/>
      <c r="B86" s="259" t="s">
        <v>25</v>
      </c>
      <c r="C86" s="264" t="e">
        <f t="shared" si="43"/>
        <v>#N/A</v>
      </c>
      <c r="D86" s="250" t="e">
        <f t="shared" si="44"/>
        <v>#N/A</v>
      </c>
      <c r="E86" s="264" t="e">
        <f t="shared" si="45"/>
        <v>#N/A</v>
      </c>
      <c r="F86" s="250" t="e">
        <f>IF(C86=0,0,F35+D64)</f>
        <v>#N/A</v>
      </c>
      <c r="G86" s="259" t="s">
        <v>25</v>
      </c>
      <c r="H86" s="264" t="e">
        <f t="shared" si="46"/>
        <v>#DIV/0!</v>
      </c>
      <c r="I86" s="265" t="e">
        <f t="shared" si="47"/>
        <v>#DIV/0!</v>
      </c>
      <c r="J86" s="264" t="e">
        <f t="shared" si="49"/>
        <v>#N/A</v>
      </c>
      <c r="K86" s="166" t="e">
        <f t="shared" si="50"/>
        <v>#DIV/0!</v>
      </c>
      <c r="L86" s="259" t="s">
        <v>25</v>
      </c>
      <c r="M86" s="264" t="e">
        <f t="shared" si="51"/>
        <v>#DIV/0!</v>
      </c>
      <c r="N86" s="265" t="e">
        <f t="shared" si="48"/>
        <v>#DIV/0!</v>
      </c>
      <c r="O86" s="264" t="e">
        <f t="shared" si="52"/>
        <v>#N/A</v>
      </c>
      <c r="P86" s="166" t="e">
        <f t="shared" si="53"/>
        <v>#DIV/0!</v>
      </c>
    </row>
    <row r="87" spans="1:16">
      <c r="A87" s="34"/>
    </row>
    <row r="88" spans="1:16">
      <c r="A88" s="34"/>
      <c r="B88" s="101" t="s">
        <v>172</v>
      </c>
      <c r="C88" s="99"/>
      <c r="D88" s="99"/>
      <c r="E88" s="99"/>
      <c r="F88" s="99"/>
      <c r="G88" s="99"/>
      <c r="H88" s="99"/>
      <c r="I88" s="99"/>
      <c r="J88" s="99"/>
      <c r="K88" s="99"/>
      <c r="L88" s="99"/>
      <c r="M88" s="99"/>
      <c r="N88" s="99"/>
      <c r="O88" s="99"/>
      <c r="P88" s="99"/>
    </row>
    <row r="89" spans="1:16">
      <c r="A89" s="34"/>
    </row>
    <row r="90" spans="1:16" ht="15.75">
      <c r="A90" s="34"/>
      <c r="C90" s="269" t="s">
        <v>365</v>
      </c>
      <c r="D90" s="593" t="s">
        <v>142</v>
      </c>
      <c r="E90" s="594"/>
      <c r="F90" s="593" t="s">
        <v>124</v>
      </c>
      <c r="G90" s="594"/>
      <c r="H90" s="269" t="s">
        <v>366</v>
      </c>
    </row>
    <row r="91" spans="1:16" ht="15.75">
      <c r="A91" s="34"/>
      <c r="B91" s="269" t="s">
        <v>173</v>
      </c>
      <c r="C91" s="270" t="e">
        <f>'Route capacity parameters'!$C$9</f>
        <v>#DIV/0!</v>
      </c>
      <c r="D91" s="363">
        <f>'Project details'!$C34</f>
        <v>0</v>
      </c>
      <c r="E91" s="380">
        <f>IF(F91=0,0,(HLOOKUP($D91,Elasticities!$C$98:$E$102,2,FALSE)))</f>
        <v>0</v>
      </c>
      <c r="F91" s="363">
        <f>'Project details'!G34</f>
        <v>0</v>
      </c>
      <c r="G91" s="380">
        <f>IF(F91=0,0,(HLOOKUP($F91,Elasticities!$C$98:$E$102,2,FALSE)))</f>
        <v>0</v>
      </c>
      <c r="H91" s="272">
        <f>IF(F91=0,0,G91-E91)</f>
        <v>0</v>
      </c>
      <c r="I91" s="112"/>
      <c r="J91" s="112"/>
    </row>
    <row r="92" spans="1:16" ht="15.75">
      <c r="A92" s="34"/>
      <c r="B92" s="269" t="s">
        <v>94</v>
      </c>
      <c r="C92" s="270" t="e">
        <f>'Route capacity parameters'!$C$10</f>
        <v>#DIV/0!</v>
      </c>
      <c r="D92" s="363">
        <f>'Project details'!$C35</f>
        <v>0</v>
      </c>
      <c r="E92" s="380">
        <f>IF(F92=0,0,(HLOOKUP($D92,Elasticities!$C$98:$E$102,2,FALSE)))</f>
        <v>0</v>
      </c>
      <c r="F92" s="363">
        <f>'Project details'!G35</f>
        <v>0</v>
      </c>
      <c r="G92" s="380">
        <f>IF(F92=0,0,(HLOOKUP($F92,Elasticities!$C$98:$E$102,2,FALSE)))</f>
        <v>0</v>
      </c>
      <c r="H92" s="272">
        <f t="shared" ref="H92:H94" si="54">IF(F92=0,0,G92-E92)</f>
        <v>0</v>
      </c>
      <c r="I92" s="15"/>
      <c r="J92" s="15"/>
      <c r="K92" s="15"/>
      <c r="L92" s="15"/>
      <c r="M92" s="15"/>
      <c r="N92" s="15"/>
    </row>
    <row r="93" spans="1:16" ht="15.75">
      <c r="A93" s="34"/>
      <c r="B93" s="269" t="s">
        <v>225</v>
      </c>
      <c r="C93" s="270" t="e">
        <f>'Route capacity parameters'!$C$11</f>
        <v>#DIV/0!</v>
      </c>
      <c r="D93" s="363">
        <f>'Project details'!$C36</f>
        <v>0</v>
      </c>
      <c r="E93" s="380">
        <f>IF(F93=0,0,(HLOOKUP($D93,Elasticities!$C$98:$E$102,2,FALSE)))</f>
        <v>0</v>
      </c>
      <c r="F93" s="363">
        <f>'Project details'!G36</f>
        <v>0</v>
      </c>
      <c r="G93" s="380">
        <f>IF(F93=0,0,(HLOOKUP($F93,Elasticities!$C$98:$E$102,2,FALSE)))</f>
        <v>0</v>
      </c>
      <c r="H93" s="272">
        <f t="shared" si="54"/>
        <v>0</v>
      </c>
      <c r="I93" s="15"/>
      <c r="J93" s="15"/>
      <c r="K93" s="15"/>
      <c r="L93" s="15"/>
      <c r="M93" s="15"/>
      <c r="N93" s="15"/>
    </row>
    <row r="94" spans="1:16" ht="15.75">
      <c r="A94" s="34"/>
      <c r="B94" s="269" t="s">
        <v>53</v>
      </c>
      <c r="C94" s="270" t="e">
        <f>'Route capacity parameters'!$C$12</f>
        <v>#DIV/0!</v>
      </c>
      <c r="D94" s="363">
        <f>'Project details'!$C37</f>
        <v>0</v>
      </c>
      <c r="E94" s="380">
        <f>IF(F94=0,0,(HLOOKUP($D94,Elasticities!$C$98:$E$102,2,FALSE)))</f>
        <v>0</v>
      </c>
      <c r="F94" s="363">
        <f>'Project details'!G37</f>
        <v>0</v>
      </c>
      <c r="G94" s="380">
        <f>IF(F94=0,0,(HLOOKUP($F94,Elasticities!$C$98:$E$102,2,FALSE)))</f>
        <v>0</v>
      </c>
      <c r="H94" s="272">
        <f t="shared" si="54"/>
        <v>0</v>
      </c>
      <c r="J94" s="15"/>
      <c r="K94" s="15"/>
      <c r="L94" s="15"/>
      <c r="M94" s="251"/>
      <c r="N94" s="15"/>
    </row>
    <row r="95" spans="1:16" ht="15.75">
      <c r="A95" s="34"/>
      <c r="B95" s="269" t="s">
        <v>367</v>
      </c>
      <c r="E95" s="271" t="e">
        <f>SUMPRODUCT(C91:C94,E91:E94)</f>
        <v>#DIV/0!</v>
      </c>
      <c r="G95" s="271" t="e">
        <f>SUMPRODUCT(C91:C94,G91:G94)</f>
        <v>#DIV/0!</v>
      </c>
      <c r="H95" s="271" t="e">
        <f>SUMPRODUCT(C91:C94,H91:H94)</f>
        <v>#DIV/0!</v>
      </c>
      <c r="I95" s="15"/>
      <c r="J95" s="15"/>
      <c r="K95" s="15"/>
      <c r="L95" s="15"/>
      <c r="M95" s="15"/>
    </row>
    <row r="96" spans="1:16">
      <c r="A96" s="34"/>
      <c r="G96" s="15"/>
      <c r="H96" s="15"/>
      <c r="I96" s="15"/>
      <c r="J96" s="15"/>
      <c r="K96" s="15"/>
    </row>
    <row r="97" spans="1:16">
      <c r="A97" s="34"/>
      <c r="B97" s="101" t="s">
        <v>174</v>
      </c>
      <c r="C97" s="99"/>
      <c r="D97" s="99"/>
      <c r="E97" s="99"/>
      <c r="F97" s="99"/>
      <c r="G97" s="131"/>
      <c r="H97" s="99"/>
      <c r="I97" s="99"/>
      <c r="J97" s="99"/>
      <c r="K97" s="99"/>
      <c r="L97" s="99"/>
      <c r="M97" s="99"/>
      <c r="N97" s="99"/>
      <c r="O97" s="99"/>
      <c r="P97" s="99"/>
    </row>
    <row r="98" spans="1:16">
      <c r="A98" s="34"/>
      <c r="G98" s="15"/>
    </row>
    <row r="99" spans="1:16" ht="15.75">
      <c r="A99" s="34"/>
      <c r="C99" s="593" t="s">
        <v>142</v>
      </c>
      <c r="D99" s="594"/>
      <c r="E99" s="593" t="s">
        <v>124</v>
      </c>
      <c r="F99" s="594"/>
      <c r="G99" s="269" t="s">
        <v>366</v>
      </c>
      <c r="I99" s="15"/>
    </row>
    <row r="100" spans="1:16" ht="15.75">
      <c r="A100" s="34"/>
      <c r="B100" s="269" t="s">
        <v>149</v>
      </c>
      <c r="C100" s="363">
        <f>'Project details'!$C$25</f>
        <v>0</v>
      </c>
      <c r="D100" s="380">
        <f>IF(C100=0,0,(HLOOKUP($C100,Elasticities!$C$106:$D$107,2,FALSE)))</f>
        <v>0</v>
      </c>
      <c r="E100" s="363">
        <f>'Project details'!$E$25</f>
        <v>0</v>
      </c>
      <c r="F100" s="380">
        <f>IF(E100=0,0,(HLOOKUP($E100,Elasticities!$C$106:$D$107,2,FALSE)))</f>
        <v>0</v>
      </c>
      <c r="G100" s="272">
        <f>IF(E100=0,0,F100-D100)</f>
        <v>0</v>
      </c>
      <c r="I100" s="15"/>
    </row>
    <row r="101" spans="1:16">
      <c r="A101" s="34"/>
      <c r="G101" s="15"/>
    </row>
    <row r="102" spans="1:16">
      <c r="A102" s="34"/>
      <c r="E102" s="15"/>
      <c r="F102" s="15"/>
      <c r="G102" s="15"/>
    </row>
    <row r="103" spans="1:16">
      <c r="A103" s="34"/>
      <c r="B103" s="101" t="s">
        <v>150</v>
      </c>
      <c r="C103" s="99"/>
      <c r="D103" s="99"/>
      <c r="E103" s="131"/>
      <c r="F103" s="131"/>
      <c r="G103" s="131"/>
      <c r="H103" s="99"/>
      <c r="I103" s="99"/>
      <c r="J103" s="99"/>
      <c r="K103" s="99"/>
      <c r="L103" s="99"/>
      <c r="M103" s="99"/>
      <c r="N103" s="99"/>
      <c r="O103" s="99"/>
      <c r="P103" s="99"/>
    </row>
    <row r="104" spans="1:16">
      <c r="A104" s="34"/>
      <c r="E104" s="15"/>
      <c r="F104" s="15"/>
      <c r="G104" s="15"/>
    </row>
    <row r="105" spans="1:16" ht="15.75">
      <c r="A105" s="34"/>
      <c r="C105" s="593" t="s">
        <v>142</v>
      </c>
      <c r="D105" s="594"/>
      <c r="E105" s="593" t="s">
        <v>124</v>
      </c>
      <c r="F105" s="594"/>
      <c r="G105" s="269" t="s">
        <v>366</v>
      </c>
      <c r="H105" s="15"/>
      <c r="I105" s="15"/>
    </row>
    <row r="106" spans="1:16" ht="15.75">
      <c r="A106" s="34"/>
      <c r="B106" s="269" t="s">
        <v>642</v>
      </c>
      <c r="C106" s="363">
        <f>'Project details'!$C$17</f>
        <v>0</v>
      </c>
      <c r="D106" s="273">
        <f>IF(C106=0,0,IF('Station parameters'!$C$15="Yes",VLOOKUP($C$106,Elasticities!$B$112:$F$114,2,FALSE),IF('Station parameters'!$C$16="Yes",VLOOKUP($C$106,Elasticities!$B$112:$F$114,3,FALSE),IF('Station parameters'!$C$17="Yes",VLOOKUP($C$106,Elasticities!$B$112:$F$114,4,FALSE),VLOOKUP($C$106,Elasticities!$B$112:$F$114,5,FALSE)))))</f>
        <v>0</v>
      </c>
      <c r="E106" s="363">
        <f>'Project details'!$E$17</f>
        <v>0</v>
      </c>
      <c r="F106" s="273">
        <f>IF(E106=0,0,IF('Station parameters'!$C$15="Yes",VLOOKUP($E$106,Elasticities!$B$112:$F$114,2,FALSE),IF('Station parameters'!$C$16="Yes",VLOOKUP($E$106,Elasticities!$B$112:$F$114,3,FALSE),IF('Station parameters'!$C$17="Yes",VLOOKUP($E$106,Elasticities!$B$112:$F$114,4,FALSE),VLOOKUP($E$106,Elasticities!$B$112:$F$114,5,FALSE)))))</f>
        <v>0</v>
      </c>
      <c r="G106" s="272">
        <f>IF(E106=0,0,$F106-$D106)</f>
        <v>0</v>
      </c>
      <c r="H106" s="15"/>
      <c r="I106" s="15"/>
    </row>
    <row r="107" spans="1:16">
      <c r="A107" s="34"/>
      <c r="E107" s="15"/>
      <c r="F107" s="15"/>
      <c r="G107" s="15"/>
    </row>
    <row r="108" spans="1:16">
      <c r="A108" s="34"/>
      <c r="B108" s="101" t="s">
        <v>371</v>
      </c>
      <c r="C108" s="99"/>
      <c r="D108" s="99"/>
      <c r="E108" s="131"/>
      <c r="F108" s="131"/>
      <c r="G108" s="131"/>
      <c r="H108" s="99"/>
      <c r="I108" s="99"/>
      <c r="J108" s="99"/>
      <c r="K108" s="99"/>
      <c r="L108" s="99"/>
      <c r="M108" s="99"/>
      <c r="N108" s="99"/>
      <c r="O108" s="99"/>
      <c r="P108" s="99"/>
    </row>
    <row r="109" spans="1:16">
      <c r="A109" s="34"/>
      <c r="E109" s="15"/>
      <c r="F109" s="15"/>
      <c r="G109" s="15"/>
    </row>
    <row r="110" spans="1:16">
      <c r="A110" s="34"/>
      <c r="B110" s="86" t="s">
        <v>370</v>
      </c>
    </row>
    <row r="111" spans="1:16" ht="15.75">
      <c r="A111" s="34"/>
      <c r="B111" s="86"/>
      <c r="C111" s="269" t="s">
        <v>155</v>
      </c>
      <c r="D111" s="269" t="s">
        <v>156</v>
      </c>
    </row>
    <row r="112" spans="1:16" ht="15.75">
      <c r="A112" s="34"/>
      <c r="B112" s="269" t="s">
        <v>59</v>
      </c>
      <c r="C112" s="273" t="e">
        <f>$H$95</f>
        <v>#DIV/0!</v>
      </c>
      <c r="D112" s="273" t="e">
        <f>$H$95</f>
        <v>#DIV/0!</v>
      </c>
    </row>
    <row r="113" spans="1:16" ht="15.75">
      <c r="A113" s="34"/>
      <c r="B113" s="269" t="s">
        <v>372</v>
      </c>
      <c r="C113" s="274" t="s">
        <v>175</v>
      </c>
      <c r="D113" s="273">
        <f>G100</f>
        <v>0</v>
      </c>
    </row>
    <row r="114" spans="1:16" ht="15.75">
      <c r="A114" s="34"/>
      <c r="B114" s="269" t="s">
        <v>140</v>
      </c>
      <c r="C114" s="273">
        <f>G106</f>
        <v>0</v>
      </c>
      <c r="D114" s="274" t="s">
        <v>175</v>
      </c>
    </row>
    <row r="115" spans="1:16" ht="15.75">
      <c r="A115" s="34"/>
      <c r="B115" s="269" t="s">
        <v>373</v>
      </c>
      <c r="C115" s="317" t="e">
        <f>IF(Option2="No",0,IF($E$106="No dedicated cycle parking", SUM(C112:C114), C114+(0.5*C112)))</f>
        <v>#DIV/0!</v>
      </c>
      <c r="D115" s="317" t="e">
        <f>IF(Option2="No",0,IF($E$100="No", SUM(D112:D114), D113+(0.25*D112)))</f>
        <v>#DIV/0!</v>
      </c>
    </row>
    <row r="116" spans="1:16">
      <c r="A116" s="34"/>
    </row>
    <row r="117" spans="1:16">
      <c r="A117" s="34"/>
      <c r="B117" s="86" t="s">
        <v>379</v>
      </c>
    </row>
    <row r="118" spans="1:16">
      <c r="A118" s="34"/>
      <c r="B118" s="14" t="s">
        <v>47</v>
      </c>
      <c r="C118" s="158" t="s">
        <v>205</v>
      </c>
      <c r="D118" s="158" t="s">
        <v>27</v>
      </c>
      <c r="H118" s="14" t="s">
        <v>641</v>
      </c>
      <c r="I118" s="158" t="s">
        <v>205</v>
      </c>
      <c r="J118" s="158" t="s">
        <v>27</v>
      </c>
      <c r="K118" s="158"/>
      <c r="M118" s="14" t="s">
        <v>364</v>
      </c>
      <c r="N118" s="158" t="s">
        <v>205</v>
      </c>
      <c r="O118" s="158" t="s">
        <v>27</v>
      </c>
    </row>
    <row r="119" spans="1:16">
      <c r="A119" s="34"/>
      <c r="B119" s="23" t="s">
        <v>206</v>
      </c>
      <c r="C119" s="245"/>
      <c r="D119" s="245"/>
      <c r="H119" s="61" t="s">
        <v>323</v>
      </c>
      <c r="I119" s="245" t="e">
        <f>$I$121*VLOOKUP($H119,DiversionCycleAccess,4,FALSE)</f>
        <v>#DIV/0!</v>
      </c>
      <c r="J119" s="245"/>
      <c r="K119" s="244"/>
      <c r="M119" s="61" t="s">
        <v>323</v>
      </c>
      <c r="N119" s="245" t="e">
        <f>$N$121*VLOOKUP($M119,DiversionCycleEgress,2,FALSE)</f>
        <v>#DIV/0!</v>
      </c>
      <c r="O119" s="245"/>
    </row>
    <row r="120" spans="1:16">
      <c r="A120" s="34"/>
      <c r="B120" s="165" t="s">
        <v>42</v>
      </c>
      <c r="C120" s="245"/>
      <c r="D120" s="245"/>
      <c r="H120" s="249" t="s">
        <v>42</v>
      </c>
      <c r="I120" s="245" t="e">
        <f>$I$121*VLOOKUP($H120,DiversionCycleAccess,4,FALSE)</f>
        <v>#DIV/0!</v>
      </c>
      <c r="J120" s="245"/>
      <c r="K120" s="244"/>
      <c r="M120" s="249" t="s">
        <v>42</v>
      </c>
      <c r="N120" s="245" t="e">
        <f>$N$121*VLOOKUP($M120,DiversionCycleEgress,2,FALSE)</f>
        <v>#DIV/0!</v>
      </c>
      <c r="O120" s="245"/>
    </row>
    <row r="121" spans="1:16">
      <c r="A121" s="34"/>
      <c r="B121" s="165" t="s">
        <v>40</v>
      </c>
      <c r="C121" s="245"/>
      <c r="D121" s="245"/>
      <c r="H121" s="249" t="s">
        <v>40</v>
      </c>
      <c r="I121" s="248" t="e">
        <f>C115*D13</f>
        <v>#DIV/0!</v>
      </c>
      <c r="J121" s="248"/>
      <c r="K121" s="244"/>
      <c r="M121" s="247" t="s">
        <v>40</v>
      </c>
      <c r="N121" s="248" t="e">
        <f>D115*G13</f>
        <v>#DIV/0!</v>
      </c>
      <c r="O121" s="248"/>
    </row>
    <row r="122" spans="1:16">
      <c r="A122" s="34"/>
      <c r="B122" s="165" t="s">
        <v>157</v>
      </c>
      <c r="C122" s="245"/>
      <c r="D122" s="245"/>
      <c r="H122" s="249" t="s">
        <v>157</v>
      </c>
      <c r="I122" s="245" t="e">
        <f>$I$121*VLOOKUP($H122,DiversionCycleAccess,4,FALSE)</f>
        <v>#DIV/0!</v>
      </c>
      <c r="J122" s="245"/>
      <c r="K122" s="244"/>
      <c r="M122" s="249" t="s">
        <v>157</v>
      </c>
      <c r="N122" s="245" t="e">
        <f>$N$121*VLOOKUP($M122,DiversionCycleEgress,2,FALSE)</f>
        <v>#DIV/0!</v>
      </c>
      <c r="O122" s="245"/>
    </row>
    <row r="123" spans="1:16">
      <c r="A123" s="34"/>
      <c r="B123" s="165" t="s">
        <v>158</v>
      </c>
      <c r="C123" s="245"/>
      <c r="D123" s="245"/>
      <c r="H123" s="249" t="s">
        <v>158</v>
      </c>
      <c r="I123" s="245" t="e">
        <f>$I$121*VLOOKUP($H123,DiversionCycleAccess,4,FALSE)</f>
        <v>#DIV/0!</v>
      </c>
      <c r="J123" s="245"/>
      <c r="K123" s="244"/>
      <c r="M123" s="249" t="s">
        <v>158</v>
      </c>
      <c r="N123" s="245" t="e">
        <f>$N$121*VLOOKUP($M123,DiversionCycleEgress,2,FALSE)</f>
        <v>#DIV/0!</v>
      </c>
      <c r="O123" s="245"/>
    </row>
    <row r="124" spans="1:16">
      <c r="A124" s="34"/>
      <c r="B124" s="144" t="s">
        <v>25</v>
      </c>
      <c r="C124" s="245"/>
      <c r="D124" s="245"/>
      <c r="F124" s="163"/>
    </row>
    <row r="125" spans="1:16">
      <c r="A125" s="34"/>
    </row>
    <row r="126" spans="1:16">
      <c r="A126" s="34"/>
      <c r="B126" s="86" t="s">
        <v>166</v>
      </c>
      <c r="C126" s="118"/>
      <c r="D126" s="240" t="s">
        <v>167</v>
      </c>
      <c r="E126" s="239" t="e">
        <f>E77</f>
        <v>#N/A</v>
      </c>
      <c r="F126" s="127" t="s">
        <v>168</v>
      </c>
      <c r="G126" s="241" t="s">
        <v>169</v>
      </c>
      <c r="H126" s="239">
        <f>H77</f>
        <v>0</v>
      </c>
      <c r="J126" s="241" t="s">
        <v>170</v>
      </c>
      <c r="K126" s="239">
        <f>K77</f>
        <v>0</v>
      </c>
    </row>
    <row r="127" spans="1:16">
      <c r="A127" s="34"/>
      <c r="B127" s="108"/>
      <c r="C127" s="118"/>
      <c r="D127" s="119"/>
      <c r="E127" s="119"/>
      <c r="F127" s="118"/>
      <c r="G127" s="120"/>
      <c r="H127" s="119"/>
    </row>
    <row r="128" spans="1:16">
      <c r="A128" s="34"/>
      <c r="B128" s="395"/>
      <c r="C128" s="596" t="s">
        <v>47</v>
      </c>
      <c r="D128" s="597"/>
      <c r="E128" s="597"/>
      <c r="F128" s="598"/>
      <c r="H128" s="596" t="s">
        <v>639</v>
      </c>
      <c r="I128" s="597"/>
      <c r="J128" s="597"/>
      <c r="K128" s="598"/>
      <c r="M128" s="596" t="s">
        <v>153</v>
      </c>
      <c r="N128" s="597"/>
      <c r="O128" s="597"/>
      <c r="P128" s="598"/>
    </row>
    <row r="129" spans="1:16" ht="30">
      <c r="A129" s="34"/>
      <c r="B129" s="258" t="s">
        <v>47</v>
      </c>
      <c r="C129" s="258" t="s">
        <v>159</v>
      </c>
      <c r="D129" s="258" t="s">
        <v>200</v>
      </c>
      <c r="E129" s="258" t="s">
        <v>363</v>
      </c>
      <c r="F129" s="258" t="s">
        <v>201</v>
      </c>
      <c r="G129" s="258" t="s">
        <v>93</v>
      </c>
      <c r="H129" s="258" t="s">
        <v>159</v>
      </c>
      <c r="I129" s="258" t="s">
        <v>200</v>
      </c>
      <c r="J129" s="258" t="s">
        <v>363</v>
      </c>
      <c r="K129" s="258" t="s">
        <v>202</v>
      </c>
      <c r="L129" s="258" t="s">
        <v>93</v>
      </c>
      <c r="M129" s="258" t="s">
        <v>152</v>
      </c>
      <c r="N129" s="258" t="s">
        <v>200</v>
      </c>
      <c r="O129" s="258" t="s">
        <v>363</v>
      </c>
      <c r="P129" s="258" t="s">
        <v>203</v>
      </c>
    </row>
    <row r="130" spans="1:16">
      <c r="A130" s="34"/>
      <c r="B130" s="259" t="s">
        <v>206</v>
      </c>
      <c r="C130" s="264" t="e">
        <f>D130/$H$126</f>
        <v>#DIV/0!</v>
      </c>
      <c r="D130" s="250" t="e">
        <f>IF(C81=0,0,D81+C119)</f>
        <v>#DIV/0!</v>
      </c>
      <c r="E130" s="264" t="e">
        <f>IF(C130=0,0,F130/D130)</f>
        <v>#DIV/0!</v>
      </c>
      <c r="F130" s="250" t="e">
        <f>IF(C130=0,0,F81+D119)</f>
        <v>#DIV/0!</v>
      </c>
      <c r="G130" s="268" t="s">
        <v>323</v>
      </c>
      <c r="H130" s="264" t="e">
        <f>I130/$H$126</f>
        <v>#DIV/0!</v>
      </c>
      <c r="I130" s="265" t="e">
        <f>I81+I119</f>
        <v>#DIV/0!</v>
      </c>
      <c r="J130" s="260"/>
      <c r="K130" s="263"/>
      <c r="L130" s="268" t="s">
        <v>323</v>
      </c>
      <c r="M130" s="264" t="e">
        <f>N130/$K$126</f>
        <v>#DIV/0!</v>
      </c>
      <c r="N130" s="265" t="e">
        <f>N81+N119</f>
        <v>#DIV/0!</v>
      </c>
      <c r="O130" s="104"/>
      <c r="P130" s="104"/>
    </row>
    <row r="131" spans="1:16">
      <c r="A131" s="34"/>
      <c r="B131" s="259" t="s">
        <v>42</v>
      </c>
      <c r="C131" s="264" t="e">
        <f t="shared" ref="C131:C135" si="55">D131/$H$126</f>
        <v>#N/A</v>
      </c>
      <c r="D131" s="250" t="e">
        <f t="shared" ref="D131:D135" si="56">IF(C82=0,0,D82+C120)</f>
        <v>#N/A</v>
      </c>
      <c r="E131" s="264" t="e">
        <f t="shared" ref="E131:E135" si="57">IF(C131=0,0,F131/D131)</f>
        <v>#N/A</v>
      </c>
      <c r="F131" s="250" t="e">
        <f t="shared" ref="F131:F135" si="58">IF(C131=0,0,F82+D120)</f>
        <v>#N/A</v>
      </c>
      <c r="G131" s="259" t="s">
        <v>42</v>
      </c>
      <c r="H131" s="264" t="e">
        <f t="shared" ref="H131:H135" si="59">I131/$H$126</f>
        <v>#DIV/0!</v>
      </c>
      <c r="I131" s="265" t="e">
        <f t="shared" ref="I131:I135" si="60">I82+I120</f>
        <v>#DIV/0!</v>
      </c>
      <c r="J131" s="264" t="e">
        <f>J82</f>
        <v>#N/A</v>
      </c>
      <c r="K131" s="166" t="e">
        <f>I131*J131</f>
        <v>#DIV/0!</v>
      </c>
      <c r="L131" s="259" t="s">
        <v>42</v>
      </c>
      <c r="M131" s="264" t="e">
        <f t="shared" ref="M131:M135" si="61">N131/$K$126</f>
        <v>#DIV/0!</v>
      </c>
      <c r="N131" s="265" t="e">
        <f t="shared" ref="N131:N135" si="62">N82+N120</f>
        <v>#DIV/0!</v>
      </c>
      <c r="O131" s="264" t="e">
        <f>O82</f>
        <v>#N/A</v>
      </c>
      <c r="P131" s="166" t="e">
        <f>N131*O131</f>
        <v>#DIV/0!</v>
      </c>
    </row>
    <row r="132" spans="1:16">
      <c r="A132" s="34"/>
      <c r="B132" s="259" t="s">
        <v>40</v>
      </c>
      <c r="C132" s="264" t="e">
        <f t="shared" si="55"/>
        <v>#N/A</v>
      </c>
      <c r="D132" s="250" t="e">
        <f t="shared" si="56"/>
        <v>#N/A</v>
      </c>
      <c r="E132" s="264" t="e">
        <f t="shared" si="57"/>
        <v>#N/A</v>
      </c>
      <c r="F132" s="250" t="e">
        <f t="shared" si="58"/>
        <v>#N/A</v>
      </c>
      <c r="G132" s="259" t="s">
        <v>40</v>
      </c>
      <c r="H132" s="264" t="e">
        <f t="shared" si="59"/>
        <v>#DIV/0!</v>
      </c>
      <c r="I132" s="265" t="e">
        <f t="shared" si="60"/>
        <v>#DIV/0!</v>
      </c>
      <c r="J132" s="264" t="e">
        <f t="shared" ref="J132:J135" si="63">J83</f>
        <v>#N/A</v>
      </c>
      <c r="K132" s="166" t="e">
        <f t="shared" ref="K132:K135" si="64">I132*J132</f>
        <v>#DIV/0!</v>
      </c>
      <c r="L132" s="259" t="s">
        <v>40</v>
      </c>
      <c r="M132" s="264" t="e">
        <f t="shared" si="61"/>
        <v>#DIV/0!</v>
      </c>
      <c r="N132" s="265" t="e">
        <f t="shared" si="62"/>
        <v>#DIV/0!</v>
      </c>
      <c r="O132" s="264" t="e">
        <f t="shared" ref="O132:O135" si="65">O83</f>
        <v>#N/A</v>
      </c>
      <c r="P132" s="166" t="e">
        <f t="shared" ref="P132:P135" si="66">N132*O132</f>
        <v>#DIV/0!</v>
      </c>
    </row>
    <row r="133" spans="1:16">
      <c r="A133" s="34"/>
      <c r="B133" s="259" t="s">
        <v>157</v>
      </c>
      <c r="C133" s="264" t="e">
        <f t="shared" si="55"/>
        <v>#N/A</v>
      </c>
      <c r="D133" s="250" t="e">
        <f t="shared" si="56"/>
        <v>#N/A</v>
      </c>
      <c r="E133" s="264" t="e">
        <f t="shared" si="57"/>
        <v>#N/A</v>
      </c>
      <c r="F133" s="250" t="e">
        <f t="shared" si="58"/>
        <v>#N/A</v>
      </c>
      <c r="G133" s="259" t="s">
        <v>157</v>
      </c>
      <c r="H133" s="264" t="e">
        <f t="shared" si="59"/>
        <v>#DIV/0!</v>
      </c>
      <c r="I133" s="265" t="e">
        <f t="shared" si="60"/>
        <v>#DIV/0!</v>
      </c>
      <c r="J133" s="264" t="e">
        <f t="shared" si="63"/>
        <v>#N/A</v>
      </c>
      <c r="K133" s="166" t="e">
        <f t="shared" si="64"/>
        <v>#DIV/0!</v>
      </c>
      <c r="L133" s="259" t="s">
        <v>157</v>
      </c>
      <c r="M133" s="264" t="e">
        <f t="shared" si="61"/>
        <v>#DIV/0!</v>
      </c>
      <c r="N133" s="265" t="e">
        <f t="shared" si="62"/>
        <v>#DIV/0!</v>
      </c>
      <c r="O133" s="264" t="e">
        <f t="shared" si="65"/>
        <v>#N/A</v>
      </c>
      <c r="P133" s="166" t="e">
        <f t="shared" si="66"/>
        <v>#DIV/0!</v>
      </c>
    </row>
    <row r="134" spans="1:16">
      <c r="A134" s="34"/>
      <c r="B134" s="259" t="s">
        <v>158</v>
      </c>
      <c r="C134" s="264" t="e">
        <f t="shared" si="55"/>
        <v>#N/A</v>
      </c>
      <c r="D134" s="250" t="e">
        <f t="shared" si="56"/>
        <v>#N/A</v>
      </c>
      <c r="E134" s="264" t="e">
        <f t="shared" si="57"/>
        <v>#N/A</v>
      </c>
      <c r="F134" s="250" t="e">
        <f t="shared" si="58"/>
        <v>#N/A</v>
      </c>
      <c r="G134" s="259" t="s">
        <v>158</v>
      </c>
      <c r="H134" s="264" t="e">
        <f t="shared" si="59"/>
        <v>#DIV/0!</v>
      </c>
      <c r="I134" s="265" t="e">
        <f t="shared" si="60"/>
        <v>#DIV/0!</v>
      </c>
      <c r="J134" s="264" t="e">
        <f t="shared" si="63"/>
        <v>#N/A</v>
      </c>
      <c r="K134" s="166" t="e">
        <f t="shared" si="64"/>
        <v>#DIV/0!</v>
      </c>
      <c r="L134" s="259" t="s">
        <v>158</v>
      </c>
      <c r="M134" s="264" t="e">
        <f t="shared" si="61"/>
        <v>#DIV/0!</v>
      </c>
      <c r="N134" s="265" t="e">
        <f t="shared" si="62"/>
        <v>#DIV/0!</v>
      </c>
      <c r="O134" s="264" t="e">
        <f t="shared" si="65"/>
        <v>#N/A</v>
      </c>
      <c r="P134" s="166" t="e">
        <f t="shared" si="66"/>
        <v>#DIV/0!</v>
      </c>
    </row>
    <row r="135" spans="1:16">
      <c r="A135" s="34"/>
      <c r="B135" s="259" t="s">
        <v>25</v>
      </c>
      <c r="C135" s="264" t="e">
        <f t="shared" si="55"/>
        <v>#N/A</v>
      </c>
      <c r="D135" s="250" t="e">
        <f t="shared" si="56"/>
        <v>#N/A</v>
      </c>
      <c r="E135" s="264" t="e">
        <f t="shared" si="57"/>
        <v>#N/A</v>
      </c>
      <c r="F135" s="250" t="e">
        <f t="shared" si="58"/>
        <v>#N/A</v>
      </c>
      <c r="G135" s="259" t="s">
        <v>25</v>
      </c>
      <c r="H135" s="264" t="e">
        <f t="shared" si="59"/>
        <v>#DIV/0!</v>
      </c>
      <c r="I135" s="265" t="e">
        <f t="shared" si="60"/>
        <v>#DIV/0!</v>
      </c>
      <c r="J135" s="264" t="e">
        <f t="shared" si="63"/>
        <v>#N/A</v>
      </c>
      <c r="K135" s="166" t="e">
        <f t="shared" si="64"/>
        <v>#DIV/0!</v>
      </c>
      <c r="L135" s="259" t="s">
        <v>25</v>
      </c>
      <c r="M135" s="264" t="e">
        <f t="shared" si="61"/>
        <v>#DIV/0!</v>
      </c>
      <c r="N135" s="265" t="e">
        <f t="shared" si="62"/>
        <v>#DIV/0!</v>
      </c>
      <c r="O135" s="264" t="e">
        <f t="shared" si="65"/>
        <v>#N/A</v>
      </c>
      <c r="P135" s="166" t="e">
        <f t="shared" si="66"/>
        <v>#DIV/0!</v>
      </c>
    </row>
    <row r="136" spans="1:16">
      <c r="A136" s="34"/>
    </row>
    <row r="137" spans="1:16">
      <c r="A137" s="34"/>
      <c r="B137" s="101" t="s">
        <v>333</v>
      </c>
      <c r="C137" s="99"/>
      <c r="D137" s="99"/>
      <c r="E137" s="99"/>
      <c r="F137" s="99"/>
      <c r="G137" s="99"/>
      <c r="H137" s="99"/>
      <c r="I137" s="99"/>
      <c r="J137" s="99"/>
      <c r="K137" s="99"/>
      <c r="L137" s="99"/>
      <c r="M137" s="99"/>
      <c r="N137" s="99"/>
      <c r="O137" s="99"/>
      <c r="P137" s="99"/>
    </row>
    <row r="138" spans="1:16">
      <c r="A138" s="34"/>
    </row>
    <row r="139" spans="1:16">
      <c r="A139" s="34"/>
      <c r="B139" s="86" t="s">
        <v>339</v>
      </c>
    </row>
    <row r="140" spans="1:16">
      <c r="A140" s="34"/>
      <c r="B140" s="86"/>
      <c r="H140" s="155" t="s">
        <v>358</v>
      </c>
      <c r="I140" s="214"/>
      <c r="J140" s="156"/>
      <c r="K140" s="155" t="s">
        <v>640</v>
      </c>
      <c r="L140" s="214"/>
      <c r="M140" s="156"/>
      <c r="N140" s="155" t="s">
        <v>387</v>
      </c>
      <c r="O140" s="214"/>
      <c r="P140" s="156"/>
    </row>
    <row r="141" spans="1:16">
      <c r="A141" s="34"/>
      <c r="B141" s="238" t="s">
        <v>374</v>
      </c>
      <c r="C141" s="238" t="s">
        <v>304</v>
      </c>
      <c r="D141" s="238" t="s">
        <v>356</v>
      </c>
      <c r="E141" s="238" t="s">
        <v>357</v>
      </c>
      <c r="F141" s="238" t="s">
        <v>355</v>
      </c>
      <c r="G141" s="238" t="s">
        <v>359</v>
      </c>
      <c r="H141" s="238" t="s">
        <v>360</v>
      </c>
      <c r="I141" s="238" t="s">
        <v>329</v>
      </c>
      <c r="J141" s="238" t="s">
        <v>361</v>
      </c>
      <c r="K141" s="238" t="s">
        <v>360</v>
      </c>
      <c r="L141" s="238" t="s">
        <v>329</v>
      </c>
      <c r="M141" s="238" t="s">
        <v>361</v>
      </c>
      <c r="N141" s="238" t="s">
        <v>360</v>
      </c>
      <c r="O141" s="238" t="s">
        <v>329</v>
      </c>
      <c r="P141" s="238" t="s">
        <v>361</v>
      </c>
    </row>
    <row r="142" spans="1:16">
      <c r="A142" s="34"/>
      <c r="B142" s="595" t="s">
        <v>30</v>
      </c>
      <c r="C142" s="238" t="s">
        <v>334</v>
      </c>
      <c r="D142" s="242">
        <f>'Project details'!$K99</f>
        <v>0</v>
      </c>
      <c r="E142" s="242">
        <f>'Project details'!M99</f>
        <v>0</v>
      </c>
      <c r="F142" s="242">
        <f>IF(Option2="No",0,(E142-D142)/60)</f>
        <v>0</v>
      </c>
      <c r="G142" s="243">
        <f>'Project details'!$K$70</f>
        <v>0</v>
      </c>
      <c r="H142" s="242" t="e">
        <f>$H$148*$G142</f>
        <v>#DIV/0!</v>
      </c>
      <c r="I142" s="277" t="e">
        <f>$F142/VLOOKUP('Station parameters'!$O$3,HomeCycleGJT,8,FALSE)*Elasticities!$C$119</f>
        <v>#N/A</v>
      </c>
      <c r="J142" s="242" t="e">
        <f>H142*I142</f>
        <v>#DIV/0!</v>
      </c>
      <c r="K142" s="242" t="e">
        <f>$K$148*$G142</f>
        <v>#DIV/0!</v>
      </c>
      <c r="L142" s="277" t="e">
        <f>$F142/VLOOKUP('Station parameters'!$O$3,HomeCycleGJT,7,FALSE)*Elasticities!$C$119</f>
        <v>#N/A</v>
      </c>
      <c r="M142" s="242" t="e">
        <f>K142*L142</f>
        <v>#DIV/0!</v>
      </c>
      <c r="N142" s="242" t="e">
        <f>$N$148*$G142</f>
        <v>#DIV/0!</v>
      </c>
      <c r="O142" s="277" t="e">
        <f>$F142/VLOOKUP('Station parameters'!$O$3,DestinationCycleGJT,7,FALSE)*Elasticities!$C$119</f>
        <v>#N/A</v>
      </c>
      <c r="P142" s="242" t="e">
        <f>N142*O142</f>
        <v>#DIV/0!</v>
      </c>
    </row>
    <row r="143" spans="1:16">
      <c r="A143" s="34"/>
      <c r="B143" s="595"/>
      <c r="C143" s="238" t="s">
        <v>335</v>
      </c>
      <c r="D143" s="242">
        <f>'Project details'!$K140</f>
        <v>0</v>
      </c>
      <c r="E143" s="242">
        <f>'Project details'!M140</f>
        <v>0</v>
      </c>
      <c r="F143" s="242">
        <f>IF(Option2="No",0,(E143-D143)/60)</f>
        <v>0</v>
      </c>
      <c r="G143" s="243">
        <f>'Project details'!$K$111</f>
        <v>0</v>
      </c>
      <c r="H143" s="242" t="e">
        <f t="shared" ref="H143:H146" si="67">$H$148*$G143</f>
        <v>#DIV/0!</v>
      </c>
      <c r="I143" s="277" t="e">
        <f>$F143/VLOOKUP('Station parameters'!$O$3,HomeCycleGJT,8,FALSE)*Elasticities!$C$119</f>
        <v>#N/A</v>
      </c>
      <c r="J143" s="242" t="e">
        <f t="shared" ref="J143:J146" si="68">H143*I143</f>
        <v>#DIV/0!</v>
      </c>
      <c r="K143" s="242" t="e">
        <f t="shared" ref="K143:K146" si="69">$K$148*$G143</f>
        <v>#DIV/0!</v>
      </c>
      <c r="L143" s="277" t="e">
        <f>$F143/VLOOKUP('Station parameters'!$O$3,HomeCycleGJT,7,FALSE)*Elasticities!$C$119</f>
        <v>#N/A</v>
      </c>
      <c r="M143" s="242" t="e">
        <f t="shared" ref="M143:M146" si="70">K143*L143</f>
        <v>#DIV/0!</v>
      </c>
      <c r="N143" s="242" t="e">
        <f t="shared" ref="N143:N146" si="71">$N$148*$G143</f>
        <v>#DIV/0!</v>
      </c>
      <c r="O143" s="277" t="e">
        <f>$F143/VLOOKUP('Station parameters'!$O$3,DestinationCycleGJT,7,FALSE)*Elasticities!$C$119</f>
        <v>#N/A</v>
      </c>
      <c r="P143" s="242" t="e">
        <f t="shared" ref="P143:P146" si="72">N143*O143</f>
        <v>#DIV/0!</v>
      </c>
    </row>
    <row r="144" spans="1:16">
      <c r="A144" s="34"/>
      <c r="B144" s="595"/>
      <c r="C144" s="238" t="s">
        <v>336</v>
      </c>
      <c r="D144" s="242">
        <f>'Project details'!$K181</f>
        <v>0</v>
      </c>
      <c r="E144" s="242">
        <f>'Project details'!M181</f>
        <v>0</v>
      </c>
      <c r="F144" s="242">
        <f>IF(Option2="No",0,(E144-D144)/60)</f>
        <v>0</v>
      </c>
      <c r="G144" s="243">
        <f>'Project details'!$K$152</f>
        <v>0</v>
      </c>
      <c r="H144" s="242" t="e">
        <f t="shared" si="67"/>
        <v>#DIV/0!</v>
      </c>
      <c r="I144" s="277" t="e">
        <f>$F144/VLOOKUP('Station parameters'!$O$3,HomeCycleGJT,8,FALSE)*Elasticities!$C$119</f>
        <v>#N/A</v>
      </c>
      <c r="J144" s="242" t="e">
        <f t="shared" si="68"/>
        <v>#DIV/0!</v>
      </c>
      <c r="K144" s="242" t="e">
        <f t="shared" si="69"/>
        <v>#DIV/0!</v>
      </c>
      <c r="L144" s="277" t="e">
        <f>$F144/VLOOKUP('Station parameters'!$O$3,HomeCycleGJT,7,FALSE)*Elasticities!$C$119</f>
        <v>#N/A</v>
      </c>
      <c r="M144" s="242" t="e">
        <f t="shared" si="70"/>
        <v>#DIV/0!</v>
      </c>
      <c r="N144" s="242" t="e">
        <f t="shared" si="71"/>
        <v>#DIV/0!</v>
      </c>
      <c r="O144" s="277" t="e">
        <f>$F144/VLOOKUP('Station parameters'!$O$3,DestinationCycleGJT,7,FALSE)*Elasticities!$C$119</f>
        <v>#N/A</v>
      </c>
      <c r="P144" s="242" t="e">
        <f t="shared" si="72"/>
        <v>#DIV/0!</v>
      </c>
    </row>
    <row r="145" spans="1:16">
      <c r="A145" s="34"/>
      <c r="B145" s="595"/>
      <c r="C145" s="238" t="s">
        <v>337</v>
      </c>
      <c r="D145" s="242">
        <f>'Project details'!$K222</f>
        <v>0</v>
      </c>
      <c r="E145" s="242">
        <f>'Project details'!M222</f>
        <v>0</v>
      </c>
      <c r="F145" s="242">
        <f>IF(Option2="No",0,(E145-D145)/60)</f>
        <v>0</v>
      </c>
      <c r="G145" s="243">
        <f>'Project details'!$K$193</f>
        <v>0</v>
      </c>
      <c r="H145" s="242" t="e">
        <f t="shared" si="67"/>
        <v>#DIV/0!</v>
      </c>
      <c r="I145" s="277" t="e">
        <f>$F145/VLOOKUP('Station parameters'!$O$3,HomeCycleGJT,8,FALSE)*Elasticities!$C$119</f>
        <v>#N/A</v>
      </c>
      <c r="J145" s="242" t="e">
        <f t="shared" si="68"/>
        <v>#DIV/0!</v>
      </c>
      <c r="K145" s="242" t="e">
        <f t="shared" si="69"/>
        <v>#DIV/0!</v>
      </c>
      <c r="L145" s="277" t="e">
        <f>$F145/VLOOKUP('Station parameters'!$O$3,HomeCycleGJT,7,FALSE)*Elasticities!$C$119</f>
        <v>#N/A</v>
      </c>
      <c r="M145" s="242" t="e">
        <f t="shared" si="70"/>
        <v>#DIV/0!</v>
      </c>
      <c r="N145" s="242" t="e">
        <f t="shared" si="71"/>
        <v>#DIV/0!</v>
      </c>
      <c r="O145" s="277" t="e">
        <f>$F145/VLOOKUP('Station parameters'!$O$3,DestinationCycleGJT,7,FALSE)*Elasticities!$C$119</f>
        <v>#N/A</v>
      </c>
      <c r="P145" s="242" t="e">
        <f t="shared" si="72"/>
        <v>#DIV/0!</v>
      </c>
    </row>
    <row r="146" spans="1:16">
      <c r="A146" s="34"/>
      <c r="B146" s="595"/>
      <c r="C146" s="238" t="s">
        <v>338</v>
      </c>
      <c r="D146" s="242">
        <f>'Project details'!$K263</f>
        <v>0</v>
      </c>
      <c r="E146" s="242">
        <f>'Project details'!M263</f>
        <v>0</v>
      </c>
      <c r="F146" s="242">
        <f>IF(Option2="No",0,(E146-D146)/60)</f>
        <v>0</v>
      </c>
      <c r="G146" s="243">
        <f>'Project details'!$K$234</f>
        <v>0</v>
      </c>
      <c r="H146" s="242" t="e">
        <f t="shared" si="67"/>
        <v>#DIV/0!</v>
      </c>
      <c r="I146" s="277" t="e">
        <f>$F146/VLOOKUP('Station parameters'!$O$3,HomeCycleGJT,8,FALSE)*Elasticities!$C$119</f>
        <v>#N/A</v>
      </c>
      <c r="J146" s="242" t="e">
        <f t="shared" si="68"/>
        <v>#DIV/0!</v>
      </c>
      <c r="K146" s="242" t="e">
        <f t="shared" si="69"/>
        <v>#DIV/0!</v>
      </c>
      <c r="L146" s="277" t="e">
        <f>$F146/VLOOKUP('Station parameters'!$O$3,HomeCycleGJT,7,FALSE)*Elasticities!$C$119</f>
        <v>#N/A</v>
      </c>
      <c r="M146" s="242" t="e">
        <f t="shared" si="70"/>
        <v>#DIV/0!</v>
      </c>
      <c r="N146" s="242" t="e">
        <f t="shared" si="71"/>
        <v>#DIV/0!</v>
      </c>
      <c r="O146" s="277" t="e">
        <f>$F146/VLOOKUP('Station parameters'!$O$3,DestinationCycleGJT,7,FALSE)*Elasticities!$C$119</f>
        <v>#N/A</v>
      </c>
      <c r="P146" s="242" t="e">
        <f t="shared" si="72"/>
        <v>#DIV/0!</v>
      </c>
    </row>
    <row r="147" spans="1:16">
      <c r="A147" s="34"/>
      <c r="B147" s="595"/>
      <c r="C147" s="61" t="s">
        <v>331</v>
      </c>
      <c r="D147" s="236" t="s">
        <v>175</v>
      </c>
      <c r="E147" s="236" t="s">
        <v>175</v>
      </c>
      <c r="F147" s="236" t="s">
        <v>175</v>
      </c>
      <c r="G147" s="243">
        <f>1-SUM(G142:G146)</f>
        <v>1</v>
      </c>
      <c r="H147" s="236" t="s">
        <v>175</v>
      </c>
      <c r="I147" s="281">
        <v>0</v>
      </c>
      <c r="J147" s="236" t="s">
        <v>175</v>
      </c>
      <c r="K147" s="236" t="s">
        <v>175</v>
      </c>
      <c r="L147" s="281">
        <v>0</v>
      </c>
      <c r="M147" s="236" t="s">
        <v>175</v>
      </c>
      <c r="N147" s="236" t="s">
        <v>175</v>
      </c>
      <c r="O147" s="281">
        <v>0</v>
      </c>
      <c r="P147" s="236" t="s">
        <v>175</v>
      </c>
    </row>
    <row r="148" spans="1:16">
      <c r="A148" s="34"/>
      <c r="B148" s="238" t="s">
        <v>377</v>
      </c>
      <c r="D148" s="267"/>
      <c r="E148" s="267"/>
      <c r="F148" s="267"/>
      <c r="G148" s="275"/>
      <c r="H148" s="239" t="e">
        <f>('Station parameters'!$E$39-(SUM('Station parameters'!$C$53:$C$55)*('Station parameters'!$E$39/'Station parameters'!$E$49)))*0.75</f>
        <v>#DIV/0!</v>
      </c>
      <c r="I148" s="167" t="e">
        <f>SUMPRODUCT(G142:G147,I142:I147)/SUM(G142:G147)</f>
        <v>#N/A</v>
      </c>
      <c r="J148" s="276" t="e">
        <f>SUM(J142:J146)</f>
        <v>#DIV/0!</v>
      </c>
      <c r="K148" s="239" t="e">
        <f>I132*(H148/SUM(H148,H155))</f>
        <v>#DIV/0!</v>
      </c>
      <c r="L148" s="167" t="e">
        <f>SUMPRODUCT(G142:G147,L142:L147)/SUM(G142:G147)</f>
        <v>#N/A</v>
      </c>
      <c r="M148" s="276" t="e">
        <f>SUM(M142:M146)</f>
        <v>#DIV/0!</v>
      </c>
      <c r="N148" s="239" t="e">
        <f>N132*(H148/SUM(H148,H155))</f>
        <v>#DIV/0!</v>
      </c>
      <c r="O148" s="167" t="e">
        <f>SUMPRODUCT(G142:G147,O142:O147)/SUM(G142:G147)</f>
        <v>#N/A</v>
      </c>
      <c r="P148" s="276" t="e">
        <f>SUM(P142:P146)</f>
        <v>#DIV/0!</v>
      </c>
    </row>
    <row r="149" spans="1:16">
      <c r="A149" s="34"/>
      <c r="B149" s="595" t="s">
        <v>37</v>
      </c>
      <c r="C149" s="238" t="s">
        <v>334</v>
      </c>
      <c r="D149" s="427">
        <f>'Project details'!$K100</f>
        <v>0</v>
      </c>
      <c r="E149" s="427">
        <f>'Project details'!M100</f>
        <v>0</v>
      </c>
      <c r="F149" s="242">
        <f>IF(Option2="No",0,(E149-D149)/60)</f>
        <v>0</v>
      </c>
      <c r="G149" s="243">
        <f>'Project details'!$K$70</f>
        <v>0</v>
      </c>
      <c r="H149" s="242" t="e">
        <f>$H$155*$G149</f>
        <v>#DIV/0!</v>
      </c>
      <c r="I149" s="277" t="e">
        <f>$F149/VLOOKUP('Station parameters'!$O$3,HomeCycleGJT,8,FALSE)*Elasticities!$C$120</f>
        <v>#N/A</v>
      </c>
      <c r="J149" s="242" t="e">
        <f>H149*I149</f>
        <v>#DIV/0!</v>
      </c>
      <c r="K149" s="242" t="e">
        <f>$K$155*$G149</f>
        <v>#DIV/0!</v>
      </c>
      <c r="L149" s="277" t="e">
        <f>$F149/VLOOKUP('Station parameters'!$O$3,HomeCycleGJT,7,FALSE)*Elasticities!$C$120</f>
        <v>#N/A</v>
      </c>
      <c r="M149" s="242" t="e">
        <f>K149*L149</f>
        <v>#DIV/0!</v>
      </c>
      <c r="N149" s="242" t="e">
        <f>$N$155*$G149</f>
        <v>#DIV/0!</v>
      </c>
      <c r="O149" s="277" t="e">
        <f>$F149/VLOOKUP('Station parameters'!$O$3,DestinationCycleGJT,7,FALSE)*Elasticities!$C$120</f>
        <v>#N/A</v>
      </c>
      <c r="P149" s="242" t="e">
        <f>N149*O149</f>
        <v>#DIV/0!</v>
      </c>
    </row>
    <row r="150" spans="1:16">
      <c r="A150" s="34"/>
      <c r="B150" s="595"/>
      <c r="C150" s="238" t="s">
        <v>335</v>
      </c>
      <c r="D150" s="242">
        <f>'Project details'!$K141</f>
        <v>0</v>
      </c>
      <c r="E150" s="242">
        <f>'Project details'!M141</f>
        <v>0</v>
      </c>
      <c r="F150" s="242">
        <f>IF(Option2="No",0,(E150-D150)/60)</f>
        <v>0</v>
      </c>
      <c r="G150" s="243">
        <f>'Project details'!$K$111</f>
        <v>0</v>
      </c>
      <c r="H150" s="242" t="e">
        <f t="shared" ref="H150:H153" si="73">$H$155*$G150</f>
        <v>#DIV/0!</v>
      </c>
      <c r="I150" s="277" t="e">
        <f>$F150/VLOOKUP('Station parameters'!$O$3,HomeCycleGJT,8,FALSE)*Elasticities!$C$120</f>
        <v>#N/A</v>
      </c>
      <c r="J150" s="242" t="e">
        <f t="shared" ref="J150:J153" si="74">H150*I150</f>
        <v>#DIV/0!</v>
      </c>
      <c r="K150" s="242" t="e">
        <f t="shared" ref="K150:K153" si="75">$K$155*$G150</f>
        <v>#DIV/0!</v>
      </c>
      <c r="L150" s="277" t="e">
        <f>$F150/VLOOKUP('Station parameters'!$O$3,HomeCycleGJT,7,FALSE)*Elasticities!$C$120</f>
        <v>#N/A</v>
      </c>
      <c r="M150" s="242" t="e">
        <f t="shared" ref="M150:M153" si="76">K150*L150</f>
        <v>#DIV/0!</v>
      </c>
      <c r="N150" s="242" t="e">
        <f t="shared" ref="N150:N153" si="77">$N$155*$G150</f>
        <v>#DIV/0!</v>
      </c>
      <c r="O150" s="277" t="e">
        <f>$F150/VLOOKUP('Station parameters'!$O$3,DestinationCycleGJT,7,FALSE)*Elasticities!$C$120</f>
        <v>#N/A</v>
      </c>
      <c r="P150" s="242" t="e">
        <f t="shared" ref="P150:P153" si="78">N150*O150</f>
        <v>#DIV/0!</v>
      </c>
    </row>
    <row r="151" spans="1:16">
      <c r="A151" s="34"/>
      <c r="B151" s="595"/>
      <c r="C151" s="238" t="s">
        <v>336</v>
      </c>
      <c r="D151" s="242">
        <f>'Project details'!$K182</f>
        <v>0</v>
      </c>
      <c r="E151" s="242">
        <f>'Project details'!M182</f>
        <v>0</v>
      </c>
      <c r="F151" s="242">
        <f>IF(Option2="No",0,(E151-D151)/60)</f>
        <v>0</v>
      </c>
      <c r="G151" s="243">
        <f>'Project details'!$K$152</f>
        <v>0</v>
      </c>
      <c r="H151" s="242" t="e">
        <f t="shared" si="73"/>
        <v>#DIV/0!</v>
      </c>
      <c r="I151" s="277" t="e">
        <f>$F151/VLOOKUP('Station parameters'!$O$3,HomeCycleGJT,8,FALSE)*Elasticities!$C$120</f>
        <v>#N/A</v>
      </c>
      <c r="J151" s="242" t="e">
        <f t="shared" si="74"/>
        <v>#DIV/0!</v>
      </c>
      <c r="K151" s="242" t="e">
        <f t="shared" si="75"/>
        <v>#DIV/0!</v>
      </c>
      <c r="L151" s="277" t="e">
        <f>$F151/VLOOKUP('Station parameters'!$O$3,HomeCycleGJT,7,FALSE)*Elasticities!$C$120</f>
        <v>#N/A</v>
      </c>
      <c r="M151" s="242" t="e">
        <f t="shared" si="76"/>
        <v>#DIV/0!</v>
      </c>
      <c r="N151" s="242" t="e">
        <f t="shared" si="77"/>
        <v>#DIV/0!</v>
      </c>
      <c r="O151" s="277" t="e">
        <f>$F151/VLOOKUP('Station parameters'!$O$3,DestinationCycleGJT,7,FALSE)*Elasticities!$C$120</f>
        <v>#N/A</v>
      </c>
      <c r="P151" s="242" t="e">
        <f t="shared" si="78"/>
        <v>#DIV/0!</v>
      </c>
    </row>
    <row r="152" spans="1:16">
      <c r="A152" s="34"/>
      <c r="B152" s="595"/>
      <c r="C152" s="238" t="s">
        <v>337</v>
      </c>
      <c r="D152" s="242">
        <f>'Project details'!$K222</f>
        <v>0</v>
      </c>
      <c r="E152" s="242">
        <f>'Project details'!M222</f>
        <v>0</v>
      </c>
      <c r="F152" s="242">
        <f>IF(Option2="No",0,(E152-D152)/60)</f>
        <v>0</v>
      </c>
      <c r="G152" s="243">
        <f>'Project details'!$K$193</f>
        <v>0</v>
      </c>
      <c r="H152" s="242" t="e">
        <f t="shared" si="73"/>
        <v>#DIV/0!</v>
      </c>
      <c r="I152" s="277" t="e">
        <f>$F152/VLOOKUP('Station parameters'!$O$3,HomeCycleGJT,8,FALSE)*Elasticities!$C$120</f>
        <v>#N/A</v>
      </c>
      <c r="J152" s="242" t="e">
        <f t="shared" si="74"/>
        <v>#DIV/0!</v>
      </c>
      <c r="K152" s="242" t="e">
        <f t="shared" si="75"/>
        <v>#DIV/0!</v>
      </c>
      <c r="L152" s="277" t="e">
        <f>$F152/VLOOKUP('Station parameters'!$O$3,HomeCycleGJT,7,FALSE)*Elasticities!$C$120</f>
        <v>#N/A</v>
      </c>
      <c r="M152" s="242" t="e">
        <f t="shared" si="76"/>
        <v>#DIV/0!</v>
      </c>
      <c r="N152" s="242" t="e">
        <f t="shared" si="77"/>
        <v>#DIV/0!</v>
      </c>
      <c r="O152" s="277" t="e">
        <f>$F152/VLOOKUP('Station parameters'!$O$3,DestinationCycleGJT,7,FALSE)*Elasticities!$C$120</f>
        <v>#N/A</v>
      </c>
      <c r="P152" s="242" t="e">
        <f t="shared" si="78"/>
        <v>#DIV/0!</v>
      </c>
    </row>
    <row r="153" spans="1:16">
      <c r="A153" s="34"/>
      <c r="B153" s="595"/>
      <c r="C153" s="238" t="s">
        <v>338</v>
      </c>
      <c r="D153" s="242">
        <f>'Project details'!$K264</f>
        <v>0</v>
      </c>
      <c r="E153" s="242">
        <f>'Project details'!M264</f>
        <v>0</v>
      </c>
      <c r="F153" s="242">
        <f>IF(Option2="No",0,(E153-D153)/60)</f>
        <v>0</v>
      </c>
      <c r="G153" s="243">
        <f>'Project details'!$K$234</f>
        <v>0</v>
      </c>
      <c r="H153" s="242" t="e">
        <f t="shared" si="73"/>
        <v>#DIV/0!</v>
      </c>
      <c r="I153" s="277" t="e">
        <f>$F153/VLOOKUP('Station parameters'!$O$3,HomeCycleGJT,8,FALSE)*Elasticities!$C$120</f>
        <v>#N/A</v>
      </c>
      <c r="J153" s="242" t="e">
        <f t="shared" si="74"/>
        <v>#DIV/0!</v>
      </c>
      <c r="K153" s="242" t="e">
        <f t="shared" si="75"/>
        <v>#DIV/0!</v>
      </c>
      <c r="L153" s="277" t="e">
        <f>$F153/VLOOKUP('Station parameters'!$O$3,HomeCycleGJT,7,FALSE)*Elasticities!$C$120</f>
        <v>#N/A</v>
      </c>
      <c r="M153" s="242" t="e">
        <f t="shared" si="76"/>
        <v>#DIV/0!</v>
      </c>
      <c r="N153" s="242" t="e">
        <f t="shared" si="77"/>
        <v>#DIV/0!</v>
      </c>
      <c r="O153" s="277" t="e">
        <f>$F153/VLOOKUP('Station parameters'!$O$3,DestinationCycleGJT,7,FALSE)*Elasticities!$C$120</f>
        <v>#N/A</v>
      </c>
      <c r="P153" s="242" t="e">
        <f t="shared" si="78"/>
        <v>#DIV/0!</v>
      </c>
    </row>
    <row r="154" spans="1:16">
      <c r="A154" s="34"/>
      <c r="B154" s="595"/>
      <c r="C154" s="61" t="s">
        <v>331</v>
      </c>
      <c r="D154" s="236" t="s">
        <v>175</v>
      </c>
      <c r="E154" s="236" t="s">
        <v>175</v>
      </c>
      <c r="F154" s="236" t="s">
        <v>175</v>
      </c>
      <c r="G154" s="243">
        <f>1-SUM(G149:G153)</f>
        <v>1</v>
      </c>
      <c r="H154" s="236" t="s">
        <v>175</v>
      </c>
      <c r="I154" s="281">
        <v>0</v>
      </c>
      <c r="J154" s="236" t="s">
        <v>175</v>
      </c>
      <c r="K154" s="236" t="s">
        <v>175</v>
      </c>
      <c r="L154" s="281">
        <v>0</v>
      </c>
      <c r="M154" s="236" t="s">
        <v>175</v>
      </c>
      <c r="N154" s="236" t="s">
        <v>175</v>
      </c>
      <c r="O154" s="281">
        <v>0</v>
      </c>
      <c r="P154" s="236" t="s">
        <v>175</v>
      </c>
    </row>
    <row r="155" spans="1:16">
      <c r="A155" s="34"/>
      <c r="B155" s="238" t="s">
        <v>378</v>
      </c>
      <c r="D155" s="267"/>
      <c r="E155" s="267"/>
      <c r="F155" s="267"/>
      <c r="G155" s="275"/>
      <c r="H155" s="239" t="e">
        <f>'Station parameters'!$E$44-(SUM('Station parameters'!$C$53:$C$55)*('Station parameters'!$E$44/'Station parameters'!$E$49))*0.75</f>
        <v>#DIV/0!</v>
      </c>
      <c r="I155" s="167" t="e">
        <f>SUMPRODUCT(G149:G154,I149:I154)/SUM(G149:G154)</f>
        <v>#N/A</v>
      </c>
      <c r="J155" s="276" t="e">
        <f>SUM(J149:J153)</f>
        <v>#DIV/0!</v>
      </c>
      <c r="K155" s="239" t="e">
        <f>I132*(H155/SUM(H148,H155))</f>
        <v>#DIV/0!</v>
      </c>
      <c r="L155" s="167" t="e">
        <f>SUMPRODUCT(G149:G154,L149:L154)/SUM(G149:G154)</f>
        <v>#N/A</v>
      </c>
      <c r="M155" s="276" t="e">
        <f>SUM(M149:M153)</f>
        <v>#DIV/0!</v>
      </c>
      <c r="N155" s="239" t="e">
        <f>N132*(H155/SUM(H148,H155))</f>
        <v>#DIV/0!</v>
      </c>
      <c r="O155" s="167" t="e">
        <f>SUMPRODUCT(G149:G154,O149:O154)/SUM(G149:G154)</f>
        <v>#N/A</v>
      </c>
      <c r="P155" s="276" t="e">
        <f>SUM(P149:P153)</f>
        <v>#DIV/0!</v>
      </c>
    </row>
    <row r="156" spans="1:16">
      <c r="A156" s="34"/>
      <c r="B156" s="238" t="s">
        <v>376</v>
      </c>
      <c r="D156" s="120"/>
      <c r="E156" s="120"/>
      <c r="F156" s="120"/>
      <c r="G156" s="120"/>
      <c r="H156" s="119"/>
      <c r="I156" s="167" t="e">
        <f>(I148*(H148/SUM(H148,H155)))+(I155*(H155/SUM(H148,H155)))</f>
        <v>#N/A</v>
      </c>
      <c r="J156" s="276" t="e">
        <f>J148+J155</f>
        <v>#DIV/0!</v>
      </c>
      <c r="K156" s="119"/>
      <c r="L156" s="167" t="e">
        <f>IF(SUM(K148,K155)=0,0,(L148*(K148/SUM(K148,K155)))+(L155*(K155/SUM(K148,K155))))</f>
        <v>#DIV/0!</v>
      </c>
      <c r="M156" s="276" t="e">
        <f>M148+M155</f>
        <v>#DIV/0!</v>
      </c>
      <c r="N156" s="119"/>
      <c r="O156" s="167" t="e">
        <f>IF(SUM(N148,N155)=0,0,(O148*(N148/SUM(N148,N155)))+(O155*(N155/SUM(N148,N155))))</f>
        <v>#DIV/0!</v>
      </c>
      <c r="P156" s="276" t="e">
        <f>P148+P155</f>
        <v>#DIV/0!</v>
      </c>
    </row>
    <row r="158" spans="1:16">
      <c r="B158" s="86" t="s">
        <v>332</v>
      </c>
    </row>
    <row r="159" spans="1:16">
      <c r="B159" s="14" t="s">
        <v>47</v>
      </c>
      <c r="C159" s="158" t="s">
        <v>205</v>
      </c>
      <c r="D159" s="158" t="s">
        <v>27</v>
      </c>
      <c r="H159" s="14" t="s">
        <v>641</v>
      </c>
      <c r="I159" s="158" t="s">
        <v>205</v>
      </c>
      <c r="J159" s="158" t="s">
        <v>27</v>
      </c>
      <c r="K159" s="158"/>
      <c r="L159" s="158"/>
      <c r="M159" s="14" t="s">
        <v>364</v>
      </c>
      <c r="N159" s="158" t="s">
        <v>205</v>
      </c>
      <c r="O159" s="158" t="s">
        <v>27</v>
      </c>
    </row>
    <row r="160" spans="1:16">
      <c r="B160" s="23" t="s">
        <v>206</v>
      </c>
      <c r="C160" s="248" t="e">
        <f>J156</f>
        <v>#DIV/0!</v>
      </c>
      <c r="D160" s="248" t="e">
        <f>J156</f>
        <v>#DIV/0!</v>
      </c>
      <c r="H160" s="61" t="s">
        <v>323</v>
      </c>
      <c r="I160" s="245" t="e">
        <f>$I$162*VLOOKUP($H160,DiversionCycleAccess,4,FALSE)</f>
        <v>#DIV/0!</v>
      </c>
      <c r="J160" s="245" t="e">
        <f>$J$162*VLOOKUP($H160,DiversionCycleAccess,4,FALSE)</f>
        <v>#DIV/0!</v>
      </c>
      <c r="K160" s="244"/>
      <c r="L160" s="244"/>
      <c r="M160" s="61" t="s">
        <v>323</v>
      </c>
      <c r="N160" s="245" t="e">
        <f>$N$162*VLOOKUP($M160,DiversionCycleAccess,4,FALSE)</f>
        <v>#DIV/0!</v>
      </c>
      <c r="O160" s="245" t="e">
        <f>$O$162*VLOOKUP($M160,DiversionCycleAccess,4,FALSE)</f>
        <v>#DIV/0!</v>
      </c>
    </row>
    <row r="161" spans="2:16">
      <c r="B161" s="165" t="s">
        <v>42</v>
      </c>
      <c r="C161" s="245" t="e">
        <f>$C$160*VLOOKUP($B161,DiversionPTMainMode,2,FALSE)*AVERAGE(WalkDiversionFactor,CycleDiversionFactor)</f>
        <v>#DIV/0!</v>
      </c>
      <c r="D161" s="245" t="e">
        <f>$D$160*VLOOKUP($B161,DiversionPTMainMode,3,FALSE)*AVERAGE(WalkDiversionFactor,CycleDiversionFactor)</f>
        <v>#DIV/0!</v>
      </c>
      <c r="H161" s="249" t="s">
        <v>42</v>
      </c>
      <c r="I161" s="245" t="e">
        <f>$I$162*VLOOKUP($H161,DiversionCycleAccess,4,FALSE)</f>
        <v>#DIV/0!</v>
      </c>
      <c r="J161" s="245" t="e">
        <f>$J$162*VLOOKUP($H161,DiversionCycleAccess,4,FALSE)</f>
        <v>#DIV/0!</v>
      </c>
      <c r="K161" s="244"/>
      <c r="L161" s="244"/>
      <c r="M161" s="249" t="s">
        <v>42</v>
      </c>
      <c r="N161" s="245" t="e">
        <f>$N$162*VLOOKUP($M161,DiversionCycleAccess,4,FALSE)</f>
        <v>#DIV/0!</v>
      </c>
      <c r="O161" s="245" t="e">
        <f>$O$162*VLOOKUP($M161,DiversionCycleAccess,4,FALSE)</f>
        <v>#DIV/0!</v>
      </c>
    </row>
    <row r="162" spans="2:16">
      <c r="B162" s="165" t="s">
        <v>40</v>
      </c>
      <c r="C162" s="245" t="e">
        <f>$C$160*VLOOKUP($B162,DiversionPTMainMode,2,FALSE)*AVERAGE(WalkDiversionFactor,CycleDiversionFactor)</f>
        <v>#DIV/0!</v>
      </c>
      <c r="D162" s="245" t="e">
        <f>$D$160*VLOOKUP($B162,DiversionPTMainMode,3,FALSE)*AVERAGE(WalkDiversionFactor,CycleDiversionFactor)</f>
        <v>#DIV/0!</v>
      </c>
      <c r="H162" s="247" t="s">
        <v>40</v>
      </c>
      <c r="I162" s="248" t="e">
        <f>M156+J156</f>
        <v>#DIV/0!</v>
      </c>
      <c r="J162" s="248" t="e">
        <f>M156+J156</f>
        <v>#DIV/0!</v>
      </c>
      <c r="K162" s="244"/>
      <c r="L162" s="244"/>
      <c r="M162" s="247" t="s">
        <v>40</v>
      </c>
      <c r="N162" s="248" t="e">
        <f>P156</f>
        <v>#DIV/0!</v>
      </c>
      <c r="O162" s="248" t="e">
        <f>P156</f>
        <v>#DIV/0!</v>
      </c>
    </row>
    <row r="163" spans="2:16">
      <c r="B163" s="165" t="s">
        <v>157</v>
      </c>
      <c r="C163" s="245" t="e">
        <f>$C$160*VLOOKUP($B163,DiversionPTMainMode,2,FALSE)*AVERAGE(WalkDiversionFactor,CycleDiversionFactor)</f>
        <v>#DIV/0!</v>
      </c>
      <c r="D163" s="245" t="e">
        <f>$D$160*VLOOKUP($B163,DiversionPTMainMode,3,FALSE)*AVERAGE(WalkDiversionFactor,CycleDiversionFactor)</f>
        <v>#DIV/0!</v>
      </c>
      <c r="H163" s="249" t="s">
        <v>157</v>
      </c>
      <c r="I163" s="245" t="e">
        <f>$I$162*VLOOKUP($H163,DiversionCycleAccess,4,FALSE)</f>
        <v>#DIV/0!</v>
      </c>
      <c r="J163" s="245" t="e">
        <f>$J$162*VLOOKUP($H163,DiversionCycleAccess,4,FALSE)</f>
        <v>#DIV/0!</v>
      </c>
      <c r="K163" s="244"/>
      <c r="L163" s="244"/>
      <c r="M163" s="249" t="s">
        <v>157</v>
      </c>
      <c r="N163" s="245" t="e">
        <f>$N$162*VLOOKUP($M163,DiversionCycleAccess,4,FALSE)</f>
        <v>#DIV/0!</v>
      </c>
      <c r="O163" s="245" t="e">
        <f>$O$162*VLOOKUP($M163,DiversionCycleAccess,4,FALSE)</f>
        <v>#DIV/0!</v>
      </c>
    </row>
    <row r="164" spans="2:16">
      <c r="B164" s="165" t="s">
        <v>158</v>
      </c>
      <c r="C164" s="245" t="e">
        <f>$C$160*VLOOKUP($B164,DiversionPTMainMode,2,FALSE)*AVERAGE(WalkDiversionFactor,CycleDiversionFactor)</f>
        <v>#DIV/0!</v>
      </c>
      <c r="D164" s="245" t="e">
        <f>$D$160*VLOOKUP($B164,DiversionPTMainMode,3,FALSE)*AVERAGE(WalkDiversionFactor,CycleDiversionFactor)</f>
        <v>#DIV/0!</v>
      </c>
      <c r="H164" s="249" t="s">
        <v>158</v>
      </c>
      <c r="I164" s="245" t="e">
        <f>$I$162*VLOOKUP($H164,DiversionCycleAccess,4,FALSE)</f>
        <v>#DIV/0!</v>
      </c>
      <c r="J164" s="245" t="e">
        <f>$J$162*VLOOKUP($H164,DiversionCycleAccess,4,FALSE)</f>
        <v>#DIV/0!</v>
      </c>
      <c r="K164" s="244"/>
      <c r="L164" s="244"/>
      <c r="M164" s="249" t="s">
        <v>158</v>
      </c>
      <c r="N164" s="245" t="e">
        <f>$N$162*VLOOKUP($M164,DiversionCycleAccess,4,FALSE)</f>
        <v>#DIV/0!</v>
      </c>
      <c r="O164" s="245" t="e">
        <f>$O$162*VLOOKUP($M164,DiversionCycleAccess,4,FALSE)</f>
        <v>#DIV/0!</v>
      </c>
    </row>
    <row r="165" spans="2:16">
      <c r="B165" s="144" t="s">
        <v>25</v>
      </c>
      <c r="C165" s="245" t="e">
        <f>$C$160*VLOOKUP($B165,DiversionPTMainMode,2,FALSE)*AVERAGE(WalkDiversionFactor,CycleDiversionFactor)</f>
        <v>#DIV/0!</v>
      </c>
      <c r="D165" s="245" t="e">
        <f>$D$160*VLOOKUP($B165,DiversionPTMainMode,3,FALSE)*AVERAGE(WalkDiversionFactor,CycleDiversionFactor)</f>
        <v>#DIV/0!</v>
      </c>
      <c r="F165" s="163"/>
      <c r="J165" s="163"/>
    </row>
    <row r="167" spans="2:16">
      <c r="B167" s="86" t="s">
        <v>166</v>
      </c>
      <c r="C167" s="118"/>
      <c r="D167" s="240" t="s">
        <v>167</v>
      </c>
      <c r="E167" s="239" t="e">
        <f>E126</f>
        <v>#N/A</v>
      </c>
      <c r="F167" s="127" t="s">
        <v>168</v>
      </c>
      <c r="G167" s="241" t="s">
        <v>169</v>
      </c>
      <c r="H167" s="239">
        <f>H126</f>
        <v>0</v>
      </c>
      <c r="J167" s="241" t="s">
        <v>170</v>
      </c>
      <c r="K167" s="288">
        <f>K126</f>
        <v>0</v>
      </c>
    </row>
    <row r="168" spans="2:16">
      <c r="B168" s="108"/>
      <c r="C168" s="118"/>
      <c r="D168" s="119"/>
      <c r="E168" s="119"/>
      <c r="F168" s="118"/>
      <c r="G168" s="120"/>
      <c r="H168" s="119"/>
    </row>
    <row r="169" spans="2:16">
      <c r="B169" s="395"/>
      <c r="C169" s="596" t="s">
        <v>47</v>
      </c>
      <c r="D169" s="597"/>
      <c r="E169" s="597"/>
      <c r="F169" s="598"/>
      <c r="H169" s="596" t="s">
        <v>639</v>
      </c>
      <c r="I169" s="597"/>
      <c r="J169" s="597"/>
      <c r="K169" s="598"/>
      <c r="M169" s="596" t="s">
        <v>153</v>
      </c>
      <c r="N169" s="597"/>
      <c r="O169" s="597"/>
      <c r="P169" s="598"/>
    </row>
    <row r="170" spans="2:16" ht="30">
      <c r="B170" s="258" t="s">
        <v>47</v>
      </c>
      <c r="C170" s="258" t="s">
        <v>159</v>
      </c>
      <c r="D170" s="258" t="s">
        <v>200</v>
      </c>
      <c r="E170" s="258" t="s">
        <v>363</v>
      </c>
      <c r="F170" s="258" t="s">
        <v>201</v>
      </c>
      <c r="G170" s="258" t="s">
        <v>93</v>
      </c>
      <c r="H170" s="258" t="s">
        <v>159</v>
      </c>
      <c r="I170" s="258" t="s">
        <v>200</v>
      </c>
      <c r="J170" s="258" t="s">
        <v>363</v>
      </c>
      <c r="K170" s="258" t="s">
        <v>202</v>
      </c>
      <c r="L170" s="258" t="s">
        <v>93</v>
      </c>
      <c r="M170" s="258" t="s">
        <v>152</v>
      </c>
      <c r="N170" s="258" t="s">
        <v>200</v>
      </c>
      <c r="O170" s="258" t="s">
        <v>363</v>
      </c>
      <c r="P170" s="258" t="s">
        <v>203</v>
      </c>
    </row>
    <row r="171" spans="2:16">
      <c r="B171" s="259" t="s">
        <v>206</v>
      </c>
      <c r="C171" s="264" t="e">
        <f>D171/$H$167</f>
        <v>#DIV/0!</v>
      </c>
      <c r="D171" s="250" t="e">
        <f>IF(C130=0,0,D130+C160)</f>
        <v>#DIV/0!</v>
      </c>
      <c r="E171" s="264" t="e">
        <f>E130</f>
        <v>#DIV/0!</v>
      </c>
      <c r="F171" s="166" t="e">
        <f>D171*E171</f>
        <v>#DIV/0!</v>
      </c>
      <c r="G171" s="268" t="s">
        <v>323</v>
      </c>
      <c r="H171" s="264" t="e">
        <f>I171/$H$167</f>
        <v>#DIV/0!</v>
      </c>
      <c r="I171" s="265" t="e">
        <f>IF(H130=0,0,I130+I160)</f>
        <v>#DIV/0!</v>
      </c>
      <c r="J171" s="260"/>
      <c r="K171" s="263"/>
      <c r="L171" s="268" t="s">
        <v>323</v>
      </c>
      <c r="M171" s="264" t="e">
        <f>N171/$K$167</f>
        <v>#DIV/0!</v>
      </c>
      <c r="N171" s="265" t="e">
        <f>IF(M130=0,0,N130+N160)</f>
        <v>#DIV/0!</v>
      </c>
      <c r="O171" s="104"/>
      <c r="P171" s="104"/>
    </row>
    <row r="172" spans="2:16">
      <c r="B172" s="259" t="s">
        <v>42</v>
      </c>
      <c r="C172" s="264" t="e">
        <f t="shared" ref="C172:C176" si="79">D172/$H$167</f>
        <v>#N/A</v>
      </c>
      <c r="D172" s="250" t="e">
        <f t="shared" ref="D172:D176" si="80">IF(C131=0,0,D131+C161)</f>
        <v>#N/A</v>
      </c>
      <c r="E172" s="264" t="e">
        <f t="shared" ref="E172:E176" si="81">IF(C172=0,0,F172/D172)</f>
        <v>#N/A</v>
      </c>
      <c r="F172" s="250" t="e">
        <f>IF(C172=0,0,F131+D161)</f>
        <v>#N/A</v>
      </c>
      <c r="G172" s="259" t="s">
        <v>42</v>
      </c>
      <c r="H172" s="264" t="e">
        <f t="shared" ref="H172:H176" si="82">I172/$H$167</f>
        <v>#DIV/0!</v>
      </c>
      <c r="I172" s="265" t="e">
        <f t="shared" ref="I172:I173" si="83">IF(H131=0,0,I131+I161)</f>
        <v>#DIV/0!</v>
      </c>
      <c r="J172" s="264" t="e">
        <f>J131</f>
        <v>#N/A</v>
      </c>
      <c r="K172" s="166" t="e">
        <f>I172*J172</f>
        <v>#DIV/0!</v>
      </c>
      <c r="L172" s="259" t="s">
        <v>42</v>
      </c>
      <c r="M172" s="264" t="e">
        <f t="shared" ref="M172:M176" si="84">N172/$K$167</f>
        <v>#DIV/0!</v>
      </c>
      <c r="N172" s="265" t="e">
        <f t="shared" ref="N172:N176" si="85">IF(M131=0,0,N131+N161)</f>
        <v>#DIV/0!</v>
      </c>
      <c r="O172" s="264" t="e">
        <f>O131</f>
        <v>#N/A</v>
      </c>
      <c r="P172" s="166" t="e">
        <f>N172*O172</f>
        <v>#DIV/0!</v>
      </c>
    </row>
    <row r="173" spans="2:16">
      <c r="B173" s="259" t="s">
        <v>40</v>
      </c>
      <c r="C173" s="264" t="e">
        <f t="shared" si="79"/>
        <v>#N/A</v>
      </c>
      <c r="D173" s="250" t="e">
        <f t="shared" si="80"/>
        <v>#N/A</v>
      </c>
      <c r="E173" s="264" t="e">
        <f t="shared" si="81"/>
        <v>#N/A</v>
      </c>
      <c r="F173" s="250" t="e">
        <f t="shared" ref="F173:F176" si="86">IF(C173=0,0,F132+D162)</f>
        <v>#N/A</v>
      </c>
      <c r="G173" s="259" t="s">
        <v>40</v>
      </c>
      <c r="H173" s="264" t="e">
        <f t="shared" si="82"/>
        <v>#DIV/0!</v>
      </c>
      <c r="I173" s="265" t="e">
        <f t="shared" si="83"/>
        <v>#DIV/0!</v>
      </c>
      <c r="J173" s="264" t="e">
        <f t="shared" ref="J173:J176" si="87">J132</f>
        <v>#N/A</v>
      </c>
      <c r="K173" s="166" t="e">
        <f t="shared" ref="K173:K176" si="88">I173*J173</f>
        <v>#DIV/0!</v>
      </c>
      <c r="L173" s="259" t="s">
        <v>40</v>
      </c>
      <c r="M173" s="264" t="e">
        <f t="shared" si="84"/>
        <v>#DIV/0!</v>
      </c>
      <c r="N173" s="265" t="e">
        <f t="shared" si="85"/>
        <v>#DIV/0!</v>
      </c>
      <c r="O173" s="264" t="e">
        <f t="shared" ref="O173:O176" si="89">O132</f>
        <v>#N/A</v>
      </c>
      <c r="P173" s="166" t="e">
        <f t="shared" ref="P173:P176" si="90">N173*O173</f>
        <v>#DIV/0!</v>
      </c>
    </row>
    <row r="174" spans="2:16">
      <c r="B174" s="259" t="s">
        <v>157</v>
      </c>
      <c r="C174" s="264" t="e">
        <f t="shared" si="79"/>
        <v>#N/A</v>
      </c>
      <c r="D174" s="250" t="e">
        <f t="shared" si="80"/>
        <v>#N/A</v>
      </c>
      <c r="E174" s="264" t="e">
        <f t="shared" si="81"/>
        <v>#N/A</v>
      </c>
      <c r="F174" s="250" t="e">
        <f t="shared" si="86"/>
        <v>#N/A</v>
      </c>
      <c r="G174" s="259" t="s">
        <v>157</v>
      </c>
      <c r="H174" s="264" t="e">
        <f t="shared" si="82"/>
        <v>#DIV/0!</v>
      </c>
      <c r="I174" s="265" t="e">
        <f t="shared" ref="I174:I176" si="91">IF(H133=0,0,I133+I163)</f>
        <v>#DIV/0!</v>
      </c>
      <c r="J174" s="264" t="e">
        <f t="shared" si="87"/>
        <v>#N/A</v>
      </c>
      <c r="K174" s="166" t="e">
        <f t="shared" si="88"/>
        <v>#DIV/0!</v>
      </c>
      <c r="L174" s="259" t="s">
        <v>157</v>
      </c>
      <c r="M174" s="264" t="e">
        <f t="shared" si="84"/>
        <v>#DIV/0!</v>
      </c>
      <c r="N174" s="265" t="e">
        <f t="shared" si="85"/>
        <v>#DIV/0!</v>
      </c>
      <c r="O174" s="264" t="e">
        <f t="shared" si="89"/>
        <v>#N/A</v>
      </c>
      <c r="P174" s="166" t="e">
        <f t="shared" si="90"/>
        <v>#DIV/0!</v>
      </c>
    </row>
    <row r="175" spans="2:16">
      <c r="B175" s="259" t="s">
        <v>158</v>
      </c>
      <c r="C175" s="264" t="e">
        <f t="shared" si="79"/>
        <v>#N/A</v>
      </c>
      <c r="D175" s="250" t="e">
        <f t="shared" si="80"/>
        <v>#N/A</v>
      </c>
      <c r="E175" s="264" t="e">
        <f t="shared" si="81"/>
        <v>#N/A</v>
      </c>
      <c r="F175" s="250" t="e">
        <f t="shared" si="86"/>
        <v>#N/A</v>
      </c>
      <c r="G175" s="259" t="s">
        <v>158</v>
      </c>
      <c r="H175" s="264" t="e">
        <f t="shared" si="82"/>
        <v>#DIV/0!</v>
      </c>
      <c r="I175" s="265" t="e">
        <f t="shared" si="91"/>
        <v>#DIV/0!</v>
      </c>
      <c r="J175" s="264" t="e">
        <f t="shared" si="87"/>
        <v>#N/A</v>
      </c>
      <c r="K175" s="166" t="e">
        <f t="shared" si="88"/>
        <v>#DIV/0!</v>
      </c>
      <c r="L175" s="259" t="s">
        <v>158</v>
      </c>
      <c r="M175" s="264" t="e">
        <f t="shared" si="84"/>
        <v>#DIV/0!</v>
      </c>
      <c r="N175" s="265" t="e">
        <f t="shared" si="85"/>
        <v>#DIV/0!</v>
      </c>
      <c r="O175" s="264" t="e">
        <f t="shared" si="89"/>
        <v>#N/A</v>
      </c>
      <c r="P175" s="166" t="e">
        <f t="shared" si="90"/>
        <v>#DIV/0!</v>
      </c>
    </row>
    <row r="176" spans="2:16">
      <c r="B176" s="259" t="s">
        <v>25</v>
      </c>
      <c r="C176" s="264" t="e">
        <f t="shared" si="79"/>
        <v>#N/A</v>
      </c>
      <c r="D176" s="250" t="e">
        <f t="shared" si="80"/>
        <v>#N/A</v>
      </c>
      <c r="E176" s="264" t="e">
        <f t="shared" si="81"/>
        <v>#N/A</v>
      </c>
      <c r="F176" s="250" t="e">
        <f t="shared" si="86"/>
        <v>#N/A</v>
      </c>
      <c r="G176" s="259" t="s">
        <v>25</v>
      </c>
      <c r="H176" s="264" t="e">
        <f t="shared" si="82"/>
        <v>#DIV/0!</v>
      </c>
      <c r="I176" s="265" t="e">
        <f t="shared" si="91"/>
        <v>#DIV/0!</v>
      </c>
      <c r="J176" s="264" t="e">
        <f t="shared" si="87"/>
        <v>#N/A</v>
      </c>
      <c r="K176" s="166" t="e">
        <f t="shared" si="88"/>
        <v>#DIV/0!</v>
      </c>
      <c r="L176" s="259" t="s">
        <v>25</v>
      </c>
      <c r="M176" s="264" t="e">
        <f t="shared" si="84"/>
        <v>#DIV/0!</v>
      </c>
      <c r="N176" s="265" t="e">
        <f t="shared" si="85"/>
        <v>#DIV/0!</v>
      </c>
      <c r="O176" s="264" t="e">
        <f t="shared" si="89"/>
        <v>#N/A</v>
      </c>
      <c r="P176" s="166" t="e">
        <f t="shared" si="90"/>
        <v>#DIV/0!</v>
      </c>
    </row>
  </sheetData>
  <sheetProtection password="EA07" sheet="1" objects="1" scenarios="1"/>
  <mergeCells count="30">
    <mergeCell ref="B42:B47"/>
    <mergeCell ref="C68:F68"/>
    <mergeCell ref="H68:K68"/>
    <mergeCell ref="M68:P68"/>
    <mergeCell ref="C5:E5"/>
    <mergeCell ref="F5:H5"/>
    <mergeCell ref="I5:I6"/>
    <mergeCell ref="C17:F17"/>
    <mergeCell ref="H17:K17"/>
    <mergeCell ref="M17:P17"/>
    <mergeCell ref="C99:D99"/>
    <mergeCell ref="E99:F99"/>
    <mergeCell ref="C28:F28"/>
    <mergeCell ref="H28:K28"/>
    <mergeCell ref="M28:P28"/>
    <mergeCell ref="C79:F79"/>
    <mergeCell ref="H79:K79"/>
    <mergeCell ref="M79:P79"/>
    <mergeCell ref="D90:E90"/>
    <mergeCell ref="F90:G90"/>
    <mergeCell ref="B149:B154"/>
    <mergeCell ref="C169:F169"/>
    <mergeCell ref="H169:K169"/>
    <mergeCell ref="M169:P169"/>
    <mergeCell ref="C105:D105"/>
    <mergeCell ref="E105:F105"/>
    <mergeCell ref="C128:F128"/>
    <mergeCell ref="H128:K128"/>
    <mergeCell ref="M128:P128"/>
    <mergeCell ref="B142:B147"/>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sheetPr>
    <tabColor theme="7"/>
  </sheetPr>
  <dimension ref="A1:P176"/>
  <sheetViews>
    <sheetView workbookViewId="0">
      <selection activeCell="B3" sqref="B3"/>
    </sheetView>
  </sheetViews>
  <sheetFormatPr defaultColWidth="9.140625" defaultRowHeight="15"/>
  <cols>
    <col min="1" max="1" width="10" style="1" customWidth="1"/>
    <col min="2" max="2" width="22.42578125" style="1" customWidth="1"/>
    <col min="3" max="3" width="18.140625" style="1" customWidth="1"/>
    <col min="4" max="4" width="12.85546875" style="1" customWidth="1"/>
    <col min="5" max="11" width="14.5703125" style="1" customWidth="1"/>
    <col min="12" max="15" width="16.140625" style="1" customWidth="1"/>
    <col min="16" max="16" width="14.28515625" style="1" customWidth="1"/>
    <col min="17" max="16384" width="9.140625" style="1"/>
  </cols>
  <sheetData>
    <row r="1" spans="1:16">
      <c r="A1" s="34"/>
    </row>
    <row r="2" spans="1:16">
      <c r="A2" s="34"/>
      <c r="B2" s="101" t="s">
        <v>154</v>
      </c>
      <c r="C2" s="99"/>
      <c r="D2" s="99"/>
      <c r="E2" s="99"/>
      <c r="F2" s="99"/>
      <c r="G2" s="99"/>
      <c r="H2" s="99"/>
      <c r="I2" s="99"/>
      <c r="J2" s="99"/>
      <c r="K2" s="99"/>
      <c r="L2" s="99"/>
      <c r="M2" s="99"/>
      <c r="N2" s="99"/>
      <c r="O2" s="99"/>
      <c r="P2" s="99"/>
    </row>
    <row r="3" spans="1:16">
      <c r="A3" s="34"/>
    </row>
    <row r="4" spans="1:16">
      <c r="A4" s="34"/>
      <c r="B4" s="86" t="s">
        <v>302</v>
      </c>
    </row>
    <row r="5" spans="1:16">
      <c r="A5" s="34"/>
      <c r="C5" s="599" t="s">
        <v>639</v>
      </c>
      <c r="D5" s="600"/>
      <c r="E5" s="601"/>
      <c r="F5" s="599" t="s">
        <v>153</v>
      </c>
      <c r="G5" s="600"/>
      <c r="H5" s="601"/>
      <c r="I5" s="602" t="s">
        <v>11</v>
      </c>
    </row>
    <row r="6" spans="1:16">
      <c r="A6" s="34"/>
      <c r="C6" s="234" t="s">
        <v>151</v>
      </c>
      <c r="D6" s="234" t="s">
        <v>161</v>
      </c>
      <c r="E6" s="234" t="s">
        <v>162</v>
      </c>
      <c r="F6" s="234" t="s">
        <v>151</v>
      </c>
      <c r="G6" s="234" t="s">
        <v>161</v>
      </c>
      <c r="H6" s="234" t="s">
        <v>162</v>
      </c>
      <c r="I6" s="603"/>
    </row>
    <row r="7" spans="1:16">
      <c r="A7" s="34"/>
      <c r="B7" s="140" t="s">
        <v>42</v>
      </c>
      <c r="C7" s="237" t="b">
        <f>'Station parameters'!$C$75</f>
        <v>0</v>
      </c>
      <c r="D7" s="235">
        <f>$C7*SUM('Station parameters'!$C$26:$C$29,'Station parameters'!$D$34:$D$37)</f>
        <v>0</v>
      </c>
      <c r="E7" s="235">
        <f>$C7*((0.5*'Station parameters'!$C$44)+(0.5*'Station parameters'!$D$44))</f>
        <v>0</v>
      </c>
      <c r="F7" s="237" t="b">
        <f>'Station parameters'!$D$75</f>
        <v>0</v>
      </c>
      <c r="G7" s="235">
        <f>$F7*SUM('Station parameters'!$C$34:$C$37,'Station parameters'!$D$26:$D$29)</f>
        <v>0</v>
      </c>
      <c r="H7" s="235">
        <f>$F7*((0.5*'Station parameters'!$C$44)+(0.5*'Station parameters'!$D$44))</f>
        <v>0</v>
      </c>
      <c r="I7" s="235">
        <f t="shared" ref="I7:I12" si="0">SUM(D7:E7)+SUM(G7:H7)</f>
        <v>0</v>
      </c>
    </row>
    <row r="8" spans="1:16">
      <c r="A8" s="34"/>
      <c r="B8" s="140" t="s">
        <v>40</v>
      </c>
      <c r="C8" s="237" t="b">
        <f>'Station parameters'!$C$76</f>
        <v>0</v>
      </c>
      <c r="D8" s="235">
        <f>$C8*SUM('Station parameters'!$C$26:$C$29,'Station parameters'!$D$34:$D$37)</f>
        <v>0</v>
      </c>
      <c r="E8" s="235">
        <f>$C8*((0.5*'Station parameters'!$C$44)+(0.5*'Station parameters'!$D$44))</f>
        <v>0</v>
      </c>
      <c r="F8" s="237" t="b">
        <f>'Station parameters'!$D$76</f>
        <v>0</v>
      </c>
      <c r="G8" s="235">
        <f>$F8*SUM('Station parameters'!$C$34:$C$37,'Station parameters'!$D$26:$D$29)</f>
        <v>0</v>
      </c>
      <c r="H8" s="235">
        <f>$F8*((0.5*'Station parameters'!$C$44)+(0.5*'Station parameters'!$D$44))</f>
        <v>0</v>
      </c>
      <c r="I8" s="235">
        <f t="shared" si="0"/>
        <v>0</v>
      </c>
    </row>
    <row r="9" spans="1:16">
      <c r="A9" s="34"/>
      <c r="B9" s="238" t="s">
        <v>323</v>
      </c>
      <c r="C9" s="237">
        <f>'Station parameters'!$C$77</f>
        <v>0</v>
      </c>
      <c r="D9" s="235">
        <f>$C9*SUM('Station parameters'!$C$26:$C$29,'Station parameters'!$D$34:$D$37)</f>
        <v>0</v>
      </c>
      <c r="E9" s="235">
        <f>$C9*((0.5*'Station parameters'!$C$44)+(0.5*'Station parameters'!$D$44))</f>
        <v>0</v>
      </c>
      <c r="F9" s="237">
        <f>'Station parameters'!$D$77</f>
        <v>0</v>
      </c>
      <c r="G9" s="235">
        <f>$F9*SUM('Station parameters'!$C$34:$C$37,'Station parameters'!$D$26:$D$29)</f>
        <v>0</v>
      </c>
      <c r="H9" s="235">
        <f>$F9*((0.5*'Station parameters'!$C$44)+(0.5*'Station parameters'!$D$44))</f>
        <v>0</v>
      </c>
      <c r="I9" s="235">
        <f t="shared" si="0"/>
        <v>0</v>
      </c>
    </row>
    <row r="10" spans="1:16">
      <c r="A10" s="34"/>
      <c r="B10" s="140" t="s">
        <v>157</v>
      </c>
      <c r="C10" s="237" t="b">
        <f>'Station parameters'!$C$78</f>
        <v>0</v>
      </c>
      <c r="D10" s="235">
        <f>$C10*SUM('Station parameters'!$C$26:$C$29,'Station parameters'!$D$34:$D$37)</f>
        <v>0</v>
      </c>
      <c r="E10" s="235">
        <f>$C10*((0.5*'Station parameters'!$C$44)+(0.5*'Station parameters'!$D$44))</f>
        <v>0</v>
      </c>
      <c r="F10" s="237" t="b">
        <f>'Station parameters'!$D$78</f>
        <v>0</v>
      </c>
      <c r="G10" s="235">
        <f>$F10*SUM('Station parameters'!$C$34:$C$37,'Station parameters'!$D$26:$D$29)</f>
        <v>0</v>
      </c>
      <c r="H10" s="235">
        <f>$F10*((0.5*'Station parameters'!$C$44)+(0.5*'Station parameters'!$D$44))</f>
        <v>0</v>
      </c>
      <c r="I10" s="235">
        <f t="shared" si="0"/>
        <v>0</v>
      </c>
    </row>
    <row r="11" spans="1:16">
      <c r="A11" s="34"/>
      <c r="B11" s="140" t="s">
        <v>158</v>
      </c>
      <c r="C11" s="237" t="b">
        <f>'Station parameters'!$C$79</f>
        <v>0</v>
      </c>
      <c r="D11" s="235">
        <f>$C11*SUM('Station parameters'!$C$26:$C$29,'Station parameters'!$D$34:$D$37)</f>
        <v>0</v>
      </c>
      <c r="E11" s="235">
        <f>$C11*((0.5*'Station parameters'!$C$44)+(0.5*'Station parameters'!$D$44))</f>
        <v>0</v>
      </c>
      <c r="F11" s="237" t="b">
        <f>'Station parameters'!$D$79</f>
        <v>0</v>
      </c>
      <c r="G11" s="235">
        <f>$F11*SUM('Station parameters'!$C$34:$C$37,'Station parameters'!$D$26:$D$29)</f>
        <v>0</v>
      </c>
      <c r="H11" s="235">
        <f>$F11*((0.5*'Station parameters'!$C$44)+(0.5*'Station parameters'!$D$44))</f>
        <v>0</v>
      </c>
      <c r="I11" s="235">
        <f t="shared" si="0"/>
        <v>0</v>
      </c>
    </row>
    <row r="12" spans="1:16">
      <c r="A12" s="34"/>
      <c r="B12" s="140" t="s">
        <v>25</v>
      </c>
      <c r="C12" s="237" t="b">
        <f>'Station parameters'!$C$80</f>
        <v>0</v>
      </c>
      <c r="D12" s="235">
        <f>$C12*SUM('Station parameters'!$C$26:$C$29,'Station parameters'!$D$34:$D$37)</f>
        <v>0</v>
      </c>
      <c r="E12" s="235">
        <f>$C12*((0.5*'Station parameters'!$C$44)+(0.5*'Station parameters'!$D$44))</f>
        <v>0</v>
      </c>
      <c r="F12" s="237" t="b">
        <f>'Station parameters'!$D$80</f>
        <v>0</v>
      </c>
      <c r="G12" s="235">
        <f>$F12*SUM('Station parameters'!$C$34:$C$37,'Station parameters'!$D$26:$D$29)</f>
        <v>0</v>
      </c>
      <c r="H12" s="235">
        <f>$F12*((0.5*'Station parameters'!$C$44)+(0.5*'Station parameters'!$D$44))</f>
        <v>0</v>
      </c>
      <c r="I12" s="235">
        <f t="shared" si="0"/>
        <v>0</v>
      </c>
    </row>
    <row r="13" spans="1:16">
      <c r="A13" s="34"/>
      <c r="D13" s="242">
        <f>SUM(D7:E12)</f>
        <v>0</v>
      </c>
      <c r="G13" s="242">
        <f>SUM(G7:H12)</f>
        <v>0</v>
      </c>
      <c r="H13" s="119"/>
      <c r="I13" s="119"/>
    </row>
    <row r="14" spans="1:16">
      <c r="A14" s="34"/>
      <c r="B14" s="108"/>
      <c r="C14" s="118"/>
      <c r="D14" s="119"/>
      <c r="E14" s="119"/>
      <c r="F14" s="118"/>
      <c r="G14" s="120"/>
      <c r="H14" s="119"/>
    </row>
    <row r="15" spans="1:16">
      <c r="A15" s="34"/>
      <c r="B15" s="86" t="s">
        <v>165</v>
      </c>
      <c r="C15" s="118"/>
      <c r="D15" s="240" t="s">
        <v>167</v>
      </c>
      <c r="E15" s="239" t="e">
        <f>'Station catchment'!$C$5</f>
        <v>#N/A</v>
      </c>
      <c r="F15" s="127" t="s">
        <v>168</v>
      </c>
      <c r="G15" s="241" t="s">
        <v>169</v>
      </c>
      <c r="H15" s="239">
        <f>'Station catchment'!$C$14</f>
        <v>0</v>
      </c>
      <c r="J15" s="241" t="s">
        <v>170</v>
      </c>
      <c r="K15" s="288">
        <f>'Station catchment'!$C$15</f>
        <v>0</v>
      </c>
    </row>
    <row r="16" spans="1:16">
      <c r="A16" s="34"/>
      <c r="B16" s="108"/>
      <c r="C16" s="118"/>
      <c r="D16" s="119"/>
      <c r="E16" s="119"/>
      <c r="F16" s="118"/>
      <c r="G16" s="120"/>
      <c r="H16" s="119"/>
    </row>
    <row r="17" spans="1:16">
      <c r="A17" s="34"/>
      <c r="B17" s="395"/>
      <c r="C17" s="596" t="s">
        <v>47</v>
      </c>
      <c r="D17" s="597"/>
      <c r="E17" s="597"/>
      <c r="F17" s="598"/>
      <c r="H17" s="596" t="s">
        <v>639</v>
      </c>
      <c r="I17" s="597"/>
      <c r="J17" s="597"/>
      <c r="K17" s="598"/>
      <c r="M17" s="596" t="s">
        <v>153</v>
      </c>
      <c r="N17" s="597"/>
      <c r="O17" s="597"/>
      <c r="P17" s="598"/>
    </row>
    <row r="18" spans="1:16" ht="30">
      <c r="A18" s="34"/>
      <c r="B18" s="258" t="s">
        <v>47</v>
      </c>
      <c r="C18" s="258" t="s">
        <v>159</v>
      </c>
      <c r="D18" s="258" t="s">
        <v>200</v>
      </c>
      <c r="E18" s="258" t="s">
        <v>363</v>
      </c>
      <c r="F18" s="258" t="s">
        <v>201</v>
      </c>
      <c r="G18" s="258" t="s">
        <v>93</v>
      </c>
      <c r="H18" s="258" t="s">
        <v>159</v>
      </c>
      <c r="I18" s="258" t="s">
        <v>200</v>
      </c>
      <c r="J18" s="258" t="s">
        <v>363</v>
      </c>
      <c r="K18" s="258" t="s">
        <v>202</v>
      </c>
      <c r="L18" s="258" t="s">
        <v>93</v>
      </c>
      <c r="M18" s="258" t="s">
        <v>152</v>
      </c>
      <c r="N18" s="258" t="s">
        <v>200</v>
      </c>
      <c r="O18" s="258" t="s">
        <v>363</v>
      </c>
      <c r="P18" s="258" t="s">
        <v>203</v>
      </c>
    </row>
    <row r="19" spans="1:16">
      <c r="A19" s="34"/>
      <c r="B19" s="259" t="s">
        <v>206</v>
      </c>
      <c r="C19" s="257" t="e">
        <f>(D13*0.75)/H15</f>
        <v>#DIV/0!</v>
      </c>
      <c r="D19" s="166" t="e">
        <f>C19*$H$15</f>
        <v>#DIV/0!</v>
      </c>
      <c r="E19" s="256" t="e">
        <f>VLOOKUP('Station parameters'!$C$8,Catchments!$B$56:$N$61,8,FALSE)</f>
        <v>#N/A</v>
      </c>
      <c r="F19" s="166" t="e">
        <f>D19*E19</f>
        <v>#DIV/0!</v>
      </c>
      <c r="G19" s="268" t="s">
        <v>323</v>
      </c>
      <c r="H19" s="261" t="e">
        <f>(SUM(D9:E9)*0.75)/H$15</f>
        <v>#DIV/0!</v>
      </c>
      <c r="I19" s="262" t="e">
        <f>$H19*$H$15</f>
        <v>#DIV/0!</v>
      </c>
      <c r="J19" s="124"/>
      <c r="K19" s="260"/>
      <c r="L19" s="268" t="s">
        <v>323</v>
      </c>
      <c r="M19" s="261" t="e">
        <f>(SUM(G9:H9)*0.75)/K$15</f>
        <v>#DIV/0!</v>
      </c>
      <c r="N19" s="262" t="e">
        <f>$M19*$K$15</f>
        <v>#DIV/0!</v>
      </c>
      <c r="O19" s="104"/>
      <c r="P19" s="104"/>
    </row>
    <row r="20" spans="1:16">
      <c r="A20" s="34"/>
      <c r="B20" s="259" t="s">
        <v>42</v>
      </c>
      <c r="C20" s="256" t="e">
        <f>VLOOKUP('Station parameters'!$C$8,Catchments!$B$56:$N$61,3,FALSE)</f>
        <v>#N/A</v>
      </c>
      <c r="D20" s="166" t="e">
        <f t="shared" ref="D20:D24" si="1">C20*$H$15</f>
        <v>#N/A</v>
      </c>
      <c r="E20" s="256" t="e">
        <f>VLOOKUP('Station parameters'!$C$8,Catchments!$B$56:$N$61,9,FALSE)</f>
        <v>#N/A</v>
      </c>
      <c r="F20" s="166" t="e">
        <f t="shared" ref="F20:F24" si="2">D20*E20</f>
        <v>#N/A</v>
      </c>
      <c r="G20" s="259" t="s">
        <v>42</v>
      </c>
      <c r="H20" s="261" t="e">
        <f>(SUM(D7:E7)*0.75)/H$15</f>
        <v>#DIV/0!</v>
      </c>
      <c r="I20" s="262" t="e">
        <f>$H20*$H$15</f>
        <v>#DIV/0!</v>
      </c>
      <c r="J20" s="256" t="e">
        <f>VLOOKUP('Station parameters'!$C$8,Catchments!$B$67:$G$72,2,FALSE)</f>
        <v>#N/A</v>
      </c>
      <c r="K20" s="166" t="e">
        <f>I20*J20</f>
        <v>#DIV/0!</v>
      </c>
      <c r="L20" s="259" t="s">
        <v>42</v>
      </c>
      <c r="M20" s="261" t="e">
        <f>(SUM(G7:H7)*0.75)/K$15</f>
        <v>#DIV/0!</v>
      </c>
      <c r="N20" s="262" t="e">
        <f>$M20*$K$15</f>
        <v>#DIV/0!</v>
      </c>
      <c r="O20" s="256" t="e">
        <f>VLOOKUP('Station parameters'!$C$8,Catchments!$B$67:$L$72,7,FALSE)</f>
        <v>#N/A</v>
      </c>
      <c r="P20" s="166" t="e">
        <f>N20*O20</f>
        <v>#DIV/0!</v>
      </c>
    </row>
    <row r="21" spans="1:16">
      <c r="A21" s="34"/>
      <c r="B21" s="259" t="s">
        <v>40</v>
      </c>
      <c r="C21" s="256" t="e">
        <f>VLOOKUP('Station parameters'!$C$8,Catchments!$B$56:$N$61,4,FALSE)</f>
        <v>#N/A</v>
      </c>
      <c r="D21" s="166" t="e">
        <f t="shared" si="1"/>
        <v>#N/A</v>
      </c>
      <c r="E21" s="256" t="e">
        <f>VLOOKUP('Station parameters'!$C$8,Catchments!$B$56:$N$61,10,FALSE)</f>
        <v>#N/A</v>
      </c>
      <c r="F21" s="166" t="e">
        <f t="shared" si="2"/>
        <v>#N/A</v>
      </c>
      <c r="G21" s="259" t="s">
        <v>40</v>
      </c>
      <c r="H21" s="261" t="e">
        <f>(SUM(D8:E8)*0.75)/H$15</f>
        <v>#DIV/0!</v>
      </c>
      <c r="I21" s="262" t="e">
        <f>$H21*$H$15</f>
        <v>#DIV/0!</v>
      </c>
      <c r="J21" s="256" t="e">
        <f>VLOOKUP('Station parameters'!$C$8,Catchments!$B$67:$G$72,3,FALSE)</f>
        <v>#N/A</v>
      </c>
      <c r="K21" s="166" t="e">
        <f t="shared" ref="K21:K24" si="3">I21*J21</f>
        <v>#DIV/0!</v>
      </c>
      <c r="L21" s="259" t="s">
        <v>40</v>
      </c>
      <c r="M21" s="261" t="e">
        <f t="shared" ref="M21" si="4">(SUM(G8:H8)*0.75)/K$15</f>
        <v>#DIV/0!</v>
      </c>
      <c r="N21" s="262" t="e">
        <f t="shared" ref="N21:N24" si="5">$M21*$K$15</f>
        <v>#DIV/0!</v>
      </c>
      <c r="O21" s="256" t="e">
        <f>VLOOKUP('Station parameters'!$C$8,Catchments!$B$67:$L$72,8,FALSE)</f>
        <v>#N/A</v>
      </c>
      <c r="P21" s="166" t="e">
        <f t="shared" ref="P21:P24" si="6">N21*O21</f>
        <v>#DIV/0!</v>
      </c>
    </row>
    <row r="22" spans="1:16">
      <c r="A22" s="34"/>
      <c r="B22" s="259" t="s">
        <v>157</v>
      </c>
      <c r="C22" s="256" t="e">
        <f>VLOOKUP('Station parameters'!$C$8,Catchments!$B$56:$N$61,5,FALSE)</f>
        <v>#N/A</v>
      </c>
      <c r="D22" s="166" t="e">
        <f t="shared" si="1"/>
        <v>#N/A</v>
      </c>
      <c r="E22" s="256" t="e">
        <f>VLOOKUP('Station parameters'!$C$8,Catchments!$B$56:$N$61,11,FALSE)</f>
        <v>#N/A</v>
      </c>
      <c r="F22" s="166" t="e">
        <f t="shared" si="2"/>
        <v>#N/A</v>
      </c>
      <c r="G22" s="259" t="s">
        <v>157</v>
      </c>
      <c r="H22" s="261" t="e">
        <f>(SUM(D10:E10)*0.75)/H$15</f>
        <v>#DIV/0!</v>
      </c>
      <c r="I22" s="262" t="e">
        <f t="shared" ref="I22:I24" si="7">$H22*$H$15</f>
        <v>#DIV/0!</v>
      </c>
      <c r="J22" s="256" t="e">
        <f>VLOOKUP('Station parameters'!$C$8,Catchments!$B$67:$G$72,4,FALSE)</f>
        <v>#N/A</v>
      </c>
      <c r="K22" s="166" t="e">
        <f t="shared" si="3"/>
        <v>#DIV/0!</v>
      </c>
      <c r="L22" s="259" t="s">
        <v>157</v>
      </c>
      <c r="M22" s="261" t="e">
        <f>(SUM(G10:H10)*0.75)/K$15</f>
        <v>#DIV/0!</v>
      </c>
      <c r="N22" s="262" t="e">
        <f t="shared" si="5"/>
        <v>#DIV/0!</v>
      </c>
      <c r="O22" s="256" t="e">
        <f>VLOOKUP('Station parameters'!$C$8,Catchments!$B$67:$L$72,9,FALSE)</f>
        <v>#N/A</v>
      </c>
      <c r="P22" s="166" t="e">
        <f t="shared" si="6"/>
        <v>#DIV/0!</v>
      </c>
    </row>
    <row r="23" spans="1:16">
      <c r="A23" s="34"/>
      <c r="B23" s="259" t="s">
        <v>158</v>
      </c>
      <c r="C23" s="256" t="e">
        <f>VLOOKUP('Station parameters'!$C$8,Catchments!$B$56:$N$61,6,FALSE)</f>
        <v>#N/A</v>
      </c>
      <c r="D23" s="166" t="e">
        <f t="shared" si="1"/>
        <v>#N/A</v>
      </c>
      <c r="E23" s="256" t="e">
        <f>VLOOKUP('Station parameters'!$C$8,Catchments!$B$56:$N$61,12,FALSE)</f>
        <v>#N/A</v>
      </c>
      <c r="F23" s="166" t="e">
        <f t="shared" si="2"/>
        <v>#N/A</v>
      </c>
      <c r="G23" s="259" t="s">
        <v>158</v>
      </c>
      <c r="H23" s="261" t="e">
        <f t="shared" ref="H23:H24" si="8">(SUM(D11:E11)*0.75)/H$15</f>
        <v>#DIV/0!</v>
      </c>
      <c r="I23" s="262" t="e">
        <f t="shared" si="7"/>
        <v>#DIV/0!</v>
      </c>
      <c r="J23" s="256" t="e">
        <f>VLOOKUP('Station parameters'!$C$8,Catchments!$B$67:$G$72,5,FALSE)</f>
        <v>#N/A</v>
      </c>
      <c r="K23" s="166" t="e">
        <f t="shared" si="3"/>
        <v>#DIV/0!</v>
      </c>
      <c r="L23" s="259" t="s">
        <v>158</v>
      </c>
      <c r="M23" s="261" t="e">
        <f t="shared" ref="M23:M24" si="9">(SUM(G11:H11)*0.75)/K$15</f>
        <v>#DIV/0!</v>
      </c>
      <c r="N23" s="262" t="e">
        <f t="shared" si="5"/>
        <v>#DIV/0!</v>
      </c>
      <c r="O23" s="256" t="e">
        <f>VLOOKUP('Station parameters'!$C$8,Catchments!$B$67:$L$72,10,FALSE)</f>
        <v>#N/A</v>
      </c>
      <c r="P23" s="166" t="e">
        <f t="shared" si="6"/>
        <v>#DIV/0!</v>
      </c>
    </row>
    <row r="24" spans="1:16">
      <c r="A24" s="34"/>
      <c r="B24" s="259" t="s">
        <v>25</v>
      </c>
      <c r="C24" s="256" t="e">
        <f>VLOOKUP('Station parameters'!$C$8,Catchments!$B$56:$N$61,7,FALSE)</f>
        <v>#N/A</v>
      </c>
      <c r="D24" s="166" t="e">
        <f t="shared" si="1"/>
        <v>#N/A</v>
      </c>
      <c r="E24" s="256" t="e">
        <f>VLOOKUP('Station parameters'!$C$8,Catchments!$B$56:$N$61,13,FALSE)</f>
        <v>#N/A</v>
      </c>
      <c r="F24" s="166" t="e">
        <f t="shared" si="2"/>
        <v>#N/A</v>
      </c>
      <c r="G24" s="259" t="s">
        <v>25</v>
      </c>
      <c r="H24" s="261" t="e">
        <f t="shared" si="8"/>
        <v>#DIV/0!</v>
      </c>
      <c r="I24" s="262" t="e">
        <f t="shared" si="7"/>
        <v>#DIV/0!</v>
      </c>
      <c r="J24" s="256" t="e">
        <f>VLOOKUP('Station parameters'!$C$8,Catchments!$B$67:$G$72,6,FALSE)</f>
        <v>#N/A</v>
      </c>
      <c r="K24" s="166" t="e">
        <f t="shared" si="3"/>
        <v>#DIV/0!</v>
      </c>
      <c r="L24" s="259" t="s">
        <v>25</v>
      </c>
      <c r="M24" s="261" t="e">
        <f t="shared" si="9"/>
        <v>#DIV/0!</v>
      </c>
      <c r="N24" s="262" t="e">
        <f t="shared" si="5"/>
        <v>#DIV/0!</v>
      </c>
      <c r="O24" s="256" t="e">
        <f>VLOOKUP('Station parameters'!$C$8,Catchments!$B$67:$L$72,11,FALSE)</f>
        <v>#N/A</v>
      </c>
      <c r="P24" s="166" t="e">
        <f t="shared" si="6"/>
        <v>#DIV/0!</v>
      </c>
    </row>
    <row r="25" spans="1:16">
      <c r="A25" s="34"/>
      <c r="B25" s="112"/>
      <c r="C25" s="125"/>
      <c r="D25" s="112"/>
      <c r="E25" s="126"/>
      <c r="F25" s="126"/>
      <c r="G25" s="108"/>
      <c r="H25" s="15"/>
      <c r="I25" s="15"/>
      <c r="J25" s="15"/>
      <c r="K25" s="123"/>
      <c r="L25" s="123"/>
      <c r="M25" s="15"/>
    </row>
    <row r="26" spans="1:16">
      <c r="B26" s="86" t="s">
        <v>166</v>
      </c>
      <c r="C26" s="118"/>
      <c r="D26" s="240" t="s">
        <v>167</v>
      </c>
      <c r="E26" s="239" t="e">
        <f>'Station catchment'!$I$5</f>
        <v>#N/A</v>
      </c>
      <c r="F26" s="127" t="s">
        <v>168</v>
      </c>
      <c r="G26" s="241" t="s">
        <v>169</v>
      </c>
      <c r="H26" s="239">
        <f>'Station catchment'!$I$14</f>
        <v>0</v>
      </c>
      <c r="J26" s="241" t="s">
        <v>170</v>
      </c>
      <c r="K26" s="288">
        <f>'Station catchment'!$I$15</f>
        <v>0</v>
      </c>
    </row>
    <row r="27" spans="1:16">
      <c r="A27" s="34"/>
    </row>
    <row r="28" spans="1:16">
      <c r="A28" s="34"/>
      <c r="B28" s="395"/>
      <c r="C28" s="596" t="s">
        <v>47</v>
      </c>
      <c r="D28" s="597"/>
      <c r="E28" s="597"/>
      <c r="F28" s="598"/>
      <c r="H28" s="596" t="s">
        <v>639</v>
      </c>
      <c r="I28" s="597"/>
      <c r="J28" s="597"/>
      <c r="K28" s="598"/>
      <c r="M28" s="596" t="s">
        <v>153</v>
      </c>
      <c r="N28" s="597"/>
      <c r="O28" s="597"/>
      <c r="P28" s="598"/>
    </row>
    <row r="29" spans="1:16" ht="30">
      <c r="A29" s="34"/>
      <c r="B29" s="258" t="s">
        <v>47</v>
      </c>
      <c r="C29" s="258" t="s">
        <v>159</v>
      </c>
      <c r="D29" s="258" t="s">
        <v>200</v>
      </c>
      <c r="E29" s="258" t="s">
        <v>363</v>
      </c>
      <c r="F29" s="258" t="s">
        <v>201</v>
      </c>
      <c r="G29" s="258" t="s">
        <v>93</v>
      </c>
      <c r="H29" s="258" t="s">
        <v>159</v>
      </c>
      <c r="I29" s="258" t="s">
        <v>200</v>
      </c>
      <c r="J29" s="258" t="s">
        <v>363</v>
      </c>
      <c r="K29" s="258" t="s">
        <v>202</v>
      </c>
      <c r="L29" s="258" t="s">
        <v>93</v>
      </c>
      <c r="M29" s="258" t="s">
        <v>152</v>
      </c>
      <c r="N29" s="258" t="s">
        <v>200</v>
      </c>
      <c r="O29" s="258" t="s">
        <v>363</v>
      </c>
      <c r="P29" s="258" t="s">
        <v>203</v>
      </c>
    </row>
    <row r="30" spans="1:16">
      <c r="A30" s="34"/>
      <c r="B30" s="259" t="s">
        <v>206</v>
      </c>
      <c r="C30" s="257" t="e">
        <f>(D13*0.75)/H26</f>
        <v>#DIV/0!</v>
      </c>
      <c r="D30" s="166" t="e">
        <f>C30*$H$26</f>
        <v>#DIV/0!</v>
      </c>
      <c r="E30" s="256" t="e">
        <f>VLOOKUP('Station parameters'!$C$8,Catchments!$B$56:$N$61,8,FALSE)</f>
        <v>#N/A</v>
      </c>
      <c r="F30" s="166" t="e">
        <f t="shared" ref="F30:F35" si="10">D30*E30</f>
        <v>#DIV/0!</v>
      </c>
      <c r="G30" s="268" t="s">
        <v>323</v>
      </c>
      <c r="H30" s="261" t="e">
        <f>(SUM(D9:E9)*0.75)/H$26</f>
        <v>#DIV/0!</v>
      </c>
      <c r="I30" s="262" t="e">
        <f>$H30*$H$26</f>
        <v>#DIV/0!</v>
      </c>
      <c r="J30" s="260"/>
      <c r="K30" s="260"/>
      <c r="L30" s="268" t="s">
        <v>323</v>
      </c>
      <c r="M30" s="261" t="e">
        <f>(SUM(G9:H9)*0.75)/K$26</f>
        <v>#DIV/0!</v>
      </c>
      <c r="N30" s="262" t="e">
        <f>$M30*$K$26</f>
        <v>#DIV/0!</v>
      </c>
      <c r="O30" s="104"/>
      <c r="P30" s="104"/>
    </row>
    <row r="31" spans="1:16">
      <c r="A31" s="34"/>
      <c r="B31" s="259" t="s">
        <v>42</v>
      </c>
      <c r="C31" s="256" t="e">
        <f>VLOOKUP('Station parameters'!$C$8,Catchments!$B$56:$N$61,3,FALSE)</f>
        <v>#N/A</v>
      </c>
      <c r="D31" s="166" t="e">
        <f t="shared" ref="D31:D35" si="11">C31*$H$26</f>
        <v>#N/A</v>
      </c>
      <c r="E31" s="256" t="e">
        <f>VLOOKUP('Station parameters'!$C$8,Catchments!$B$56:$N$61,9,FALSE)</f>
        <v>#N/A</v>
      </c>
      <c r="F31" s="166" t="e">
        <f t="shared" si="10"/>
        <v>#N/A</v>
      </c>
      <c r="G31" s="259" t="s">
        <v>42</v>
      </c>
      <c r="H31" s="261" t="e">
        <f>(SUM(D7:E7)*0.75)/H$26</f>
        <v>#DIV/0!</v>
      </c>
      <c r="I31" s="262" t="e">
        <f>$H31*$H$26</f>
        <v>#DIV/0!</v>
      </c>
      <c r="J31" s="256" t="e">
        <f>VLOOKUP('Station parameters'!$C$8,Catchments!$B$67:$G$72,2,FALSE)</f>
        <v>#N/A</v>
      </c>
      <c r="K31" s="166" t="e">
        <f>I31*J31</f>
        <v>#DIV/0!</v>
      </c>
      <c r="L31" s="259" t="s">
        <v>42</v>
      </c>
      <c r="M31" s="261" t="e">
        <f>(SUM(G7:H7)*0.75)/K$15</f>
        <v>#DIV/0!</v>
      </c>
      <c r="N31" s="262" t="e">
        <f>$M31*$H$15</f>
        <v>#DIV/0!</v>
      </c>
      <c r="O31" s="256" t="e">
        <f>VLOOKUP('Station parameters'!$C$8,Catchments!$B$67:$L$72,7,FALSE)</f>
        <v>#N/A</v>
      </c>
      <c r="P31" s="166" t="e">
        <f>N31*O31</f>
        <v>#DIV/0!</v>
      </c>
    </row>
    <row r="32" spans="1:16">
      <c r="A32" s="34"/>
      <c r="B32" s="259" t="s">
        <v>40</v>
      </c>
      <c r="C32" s="256" t="e">
        <f>VLOOKUP('Station parameters'!$C$8,Catchments!$B$56:$N$61,4,FALSE)</f>
        <v>#N/A</v>
      </c>
      <c r="D32" s="166" t="e">
        <f t="shared" si="11"/>
        <v>#N/A</v>
      </c>
      <c r="E32" s="256" t="e">
        <f>VLOOKUP('Station parameters'!$C$8,Catchments!$B$56:$N$61,10,FALSE)</f>
        <v>#N/A</v>
      </c>
      <c r="F32" s="166" t="e">
        <f t="shared" si="10"/>
        <v>#N/A</v>
      </c>
      <c r="G32" s="259" t="s">
        <v>40</v>
      </c>
      <c r="H32" s="261" t="e">
        <f t="shared" ref="H32" si="12">(SUM(D8:E8)*0.75)/H$26</f>
        <v>#DIV/0!</v>
      </c>
      <c r="I32" s="262" t="e">
        <f t="shared" ref="I32:I35" si="13">$H32*$H$26</f>
        <v>#DIV/0!</v>
      </c>
      <c r="J32" s="256" t="e">
        <f>VLOOKUP('Station parameters'!$C$8,Catchments!$B$67:$G$72,3,FALSE)</f>
        <v>#N/A</v>
      </c>
      <c r="K32" s="166" t="e">
        <f t="shared" ref="K32:K35" si="14">I32*J32</f>
        <v>#DIV/0!</v>
      </c>
      <c r="L32" s="259" t="s">
        <v>40</v>
      </c>
      <c r="M32" s="261" t="e">
        <f t="shared" ref="M32" si="15">(SUM(G8:H8)*0.75)/K$15</f>
        <v>#DIV/0!</v>
      </c>
      <c r="N32" s="262" t="e">
        <f>$M32*$H$15</f>
        <v>#DIV/0!</v>
      </c>
      <c r="O32" s="256" t="e">
        <f>VLOOKUP('Station parameters'!$C$8,Catchments!$B$67:$L$72,8,FALSE)</f>
        <v>#N/A</v>
      </c>
      <c r="P32" s="166" t="e">
        <f t="shared" ref="P32:P35" si="16">N32*O32</f>
        <v>#DIV/0!</v>
      </c>
    </row>
    <row r="33" spans="1:16">
      <c r="A33" s="34"/>
      <c r="B33" s="259" t="s">
        <v>157</v>
      </c>
      <c r="C33" s="256" t="e">
        <f>VLOOKUP('Station parameters'!$C$8,Catchments!$B$56:$N$61,5,FALSE)</f>
        <v>#N/A</v>
      </c>
      <c r="D33" s="166" t="e">
        <f>C33*$H$26</f>
        <v>#N/A</v>
      </c>
      <c r="E33" s="256" t="e">
        <f>VLOOKUP('Station parameters'!$C$8,Catchments!$B$56:$N$61,11,FALSE)</f>
        <v>#N/A</v>
      </c>
      <c r="F33" s="166" t="e">
        <f t="shared" si="10"/>
        <v>#N/A</v>
      </c>
      <c r="G33" s="259" t="s">
        <v>157</v>
      </c>
      <c r="H33" s="261" t="e">
        <f>(SUM(D10:E10)*0.75)/H$26</f>
        <v>#DIV/0!</v>
      </c>
      <c r="I33" s="262" t="e">
        <f t="shared" si="13"/>
        <v>#DIV/0!</v>
      </c>
      <c r="J33" s="256" t="e">
        <f>VLOOKUP('Station parameters'!$C$8,Catchments!$B$67:$G$72,4,FALSE)</f>
        <v>#N/A</v>
      </c>
      <c r="K33" s="166" t="e">
        <f t="shared" si="14"/>
        <v>#DIV/0!</v>
      </c>
      <c r="L33" s="259" t="s">
        <v>157</v>
      </c>
      <c r="M33" s="261" t="e">
        <f>(SUM(G10:H10)*0.75)/K$15</f>
        <v>#DIV/0!</v>
      </c>
      <c r="N33" s="262" t="e">
        <f>$M33*$H$15</f>
        <v>#DIV/0!</v>
      </c>
      <c r="O33" s="256" t="e">
        <f>VLOOKUP('Station parameters'!$C$8,Catchments!$B$67:$L$72,9,FALSE)</f>
        <v>#N/A</v>
      </c>
      <c r="P33" s="166" t="e">
        <f t="shared" si="16"/>
        <v>#DIV/0!</v>
      </c>
    </row>
    <row r="34" spans="1:16">
      <c r="A34" s="34"/>
      <c r="B34" s="259" t="s">
        <v>158</v>
      </c>
      <c r="C34" s="256" t="e">
        <f>VLOOKUP('Station parameters'!$C$8,Catchments!$B$56:$N$61,6,FALSE)</f>
        <v>#N/A</v>
      </c>
      <c r="D34" s="166" t="e">
        <f t="shared" si="11"/>
        <v>#N/A</v>
      </c>
      <c r="E34" s="256" t="e">
        <f>VLOOKUP('Station parameters'!$C$8,Catchments!$B$56:$N$61,12,FALSE)</f>
        <v>#N/A</v>
      </c>
      <c r="F34" s="166" t="e">
        <f t="shared" si="10"/>
        <v>#N/A</v>
      </c>
      <c r="G34" s="259" t="s">
        <v>158</v>
      </c>
      <c r="H34" s="261" t="e">
        <f>(SUM(D11:E11)*0.75)/H$26</f>
        <v>#DIV/0!</v>
      </c>
      <c r="I34" s="262" t="e">
        <f t="shared" si="13"/>
        <v>#DIV/0!</v>
      </c>
      <c r="J34" s="256" t="e">
        <f>VLOOKUP('Station parameters'!$C$8,Catchments!$B$67:$G$72,5,FALSE)</f>
        <v>#N/A</v>
      </c>
      <c r="K34" s="166" t="e">
        <f t="shared" si="14"/>
        <v>#DIV/0!</v>
      </c>
      <c r="L34" s="259" t="s">
        <v>158</v>
      </c>
      <c r="M34" s="261" t="e">
        <f t="shared" ref="M34:M35" si="17">(SUM(G11:H11)*0.75)/K$15</f>
        <v>#DIV/0!</v>
      </c>
      <c r="N34" s="262" t="e">
        <f>$M34*$H$15</f>
        <v>#DIV/0!</v>
      </c>
      <c r="O34" s="256" t="e">
        <f>VLOOKUP('Station parameters'!$C$8,Catchments!$B$67:$L$72,10,FALSE)</f>
        <v>#N/A</v>
      </c>
      <c r="P34" s="166" t="e">
        <f t="shared" si="16"/>
        <v>#DIV/0!</v>
      </c>
    </row>
    <row r="35" spans="1:16">
      <c r="A35" s="34"/>
      <c r="B35" s="259" t="s">
        <v>25</v>
      </c>
      <c r="C35" s="256" t="e">
        <f>VLOOKUP('Station parameters'!$C$8,Catchments!$B$56:$N$61,7,FALSE)</f>
        <v>#N/A</v>
      </c>
      <c r="D35" s="166" t="e">
        <f t="shared" si="11"/>
        <v>#N/A</v>
      </c>
      <c r="E35" s="256" t="e">
        <f>VLOOKUP('Station parameters'!$C$8,Catchments!$B$56:$N$61,13,FALSE)</f>
        <v>#N/A</v>
      </c>
      <c r="F35" s="166" t="e">
        <f t="shared" si="10"/>
        <v>#N/A</v>
      </c>
      <c r="G35" s="259" t="s">
        <v>25</v>
      </c>
      <c r="H35" s="261" t="e">
        <f t="shared" ref="H35" si="18">(SUM(D12:E12)*0.75)/H$26</f>
        <v>#DIV/0!</v>
      </c>
      <c r="I35" s="262" t="e">
        <f t="shared" si="13"/>
        <v>#DIV/0!</v>
      </c>
      <c r="J35" s="256" t="e">
        <f>VLOOKUP('Station parameters'!$C$8,Catchments!$B$67:$G$72,6,FALSE)</f>
        <v>#N/A</v>
      </c>
      <c r="K35" s="166" t="e">
        <f t="shared" si="14"/>
        <v>#DIV/0!</v>
      </c>
      <c r="L35" s="259" t="s">
        <v>25</v>
      </c>
      <c r="M35" s="261" t="e">
        <f t="shared" si="17"/>
        <v>#DIV/0!</v>
      </c>
      <c r="N35" s="262" t="e">
        <f>$M35*$H$15</f>
        <v>#DIV/0!</v>
      </c>
      <c r="O35" s="256" t="e">
        <f>VLOOKUP('Station parameters'!$C$8,Catchments!$B$67:$L$72,11,FALSE)</f>
        <v>#N/A</v>
      </c>
      <c r="P35" s="166" t="e">
        <f t="shared" si="16"/>
        <v>#DIV/0!</v>
      </c>
    </row>
    <row r="36" spans="1:16">
      <c r="A36" s="34"/>
    </row>
    <row r="37" spans="1:16">
      <c r="A37" s="34"/>
      <c r="B37" s="101" t="s">
        <v>192</v>
      </c>
      <c r="C37" s="99"/>
      <c r="D37" s="99"/>
      <c r="E37" s="99"/>
      <c r="F37" s="99"/>
      <c r="G37" s="99"/>
      <c r="H37" s="99"/>
      <c r="I37" s="99"/>
      <c r="J37" s="99"/>
      <c r="K37" s="99"/>
      <c r="L37" s="99"/>
      <c r="M37" s="99"/>
      <c r="N37" s="99"/>
      <c r="O37" s="99"/>
      <c r="P37" s="99"/>
    </row>
    <row r="38" spans="1:16">
      <c r="A38" s="34"/>
    </row>
    <row r="39" spans="1:16">
      <c r="A39" s="34"/>
      <c r="B39" s="86" t="s">
        <v>330</v>
      </c>
    </row>
    <row r="40" spans="1:16">
      <c r="A40" s="34"/>
      <c r="B40" s="86"/>
      <c r="H40" s="155" t="s">
        <v>358</v>
      </c>
      <c r="I40" s="214"/>
      <c r="J40" s="156"/>
      <c r="K40" s="155" t="s">
        <v>640</v>
      </c>
      <c r="L40" s="214"/>
      <c r="M40" s="156"/>
      <c r="N40" s="155" t="s">
        <v>387</v>
      </c>
      <c r="O40" s="214"/>
      <c r="P40" s="156"/>
    </row>
    <row r="41" spans="1:16">
      <c r="A41" s="34"/>
      <c r="B41" s="238" t="s">
        <v>374</v>
      </c>
      <c r="C41" s="238" t="s">
        <v>304</v>
      </c>
      <c r="D41" s="238" t="s">
        <v>356</v>
      </c>
      <c r="E41" s="238" t="s">
        <v>357</v>
      </c>
      <c r="F41" s="238" t="s">
        <v>355</v>
      </c>
      <c r="G41" s="238" t="s">
        <v>359</v>
      </c>
      <c r="H41" s="238" t="s">
        <v>360</v>
      </c>
      <c r="I41" s="238" t="s">
        <v>329</v>
      </c>
      <c r="J41" s="238" t="s">
        <v>361</v>
      </c>
      <c r="K41" s="238" t="s">
        <v>360</v>
      </c>
      <c r="L41" s="238" t="s">
        <v>329</v>
      </c>
      <c r="M41" s="238" t="s">
        <v>361</v>
      </c>
      <c r="N41" s="238" t="s">
        <v>360</v>
      </c>
      <c r="O41" s="238" t="s">
        <v>329</v>
      </c>
      <c r="P41" s="238" t="s">
        <v>361</v>
      </c>
    </row>
    <row r="42" spans="1:16">
      <c r="A42" s="34"/>
      <c r="B42" s="595" t="s">
        <v>30</v>
      </c>
      <c r="C42" s="238" t="s">
        <v>324</v>
      </c>
      <c r="D42" s="242">
        <f>'Project details'!$D99</f>
        <v>0</v>
      </c>
      <c r="E42" s="242">
        <f>'Project details'!G99</f>
        <v>0</v>
      </c>
      <c r="F42" s="242">
        <f>IF(Option3="No",0,(E42-D42)/60)</f>
        <v>0</v>
      </c>
      <c r="G42" s="243">
        <f>'Project details'!$D$70</f>
        <v>0</v>
      </c>
      <c r="H42" s="242" t="e">
        <f>$H$48*$G42</f>
        <v>#DIV/0!</v>
      </c>
      <c r="I42" s="255" t="e">
        <f>$F42/VLOOKUP('Station parameters'!$O$3,HomeWalkGJT,8,FALSE)*Elasticities!$C$93</f>
        <v>#N/A</v>
      </c>
      <c r="J42" s="242" t="e">
        <f>H42*I42</f>
        <v>#DIV/0!</v>
      </c>
      <c r="K42" s="242">
        <f>$K$48*$G42</f>
        <v>0</v>
      </c>
      <c r="L42" s="255" t="e">
        <f>$F42/VLOOKUP('Station parameters'!$O$3,HomeWalkGJT,7,FALSE)*Elasticities!$C$93</f>
        <v>#N/A</v>
      </c>
      <c r="M42" s="242" t="e">
        <f>K42*L42</f>
        <v>#N/A</v>
      </c>
      <c r="N42" s="242">
        <f>$N$48*$G42</f>
        <v>0</v>
      </c>
      <c r="O42" s="255" t="e">
        <f>$F42/VLOOKUP('Station parameters'!$O$3,DestinationWalkGJT,7,FALSE)*Elasticities!$C$93</f>
        <v>#N/A</v>
      </c>
      <c r="P42" s="242" t="e">
        <f>N42*O42</f>
        <v>#N/A</v>
      </c>
    </row>
    <row r="43" spans="1:16">
      <c r="A43" s="34"/>
      <c r="B43" s="595"/>
      <c r="C43" s="238" t="s">
        <v>325</v>
      </c>
      <c r="D43" s="242">
        <f>'Project details'!$D140</f>
        <v>0</v>
      </c>
      <c r="E43" s="242">
        <f>'Project details'!G140</f>
        <v>0</v>
      </c>
      <c r="F43" s="242">
        <f>IF(Option3="No",0,(E43-D43)/60)</f>
        <v>0</v>
      </c>
      <c r="G43" s="243">
        <f>'Project details'!$D$111</f>
        <v>0</v>
      </c>
      <c r="H43" s="242" t="e">
        <f t="shared" ref="H43:H46" si="19">$H$48*$G43</f>
        <v>#DIV/0!</v>
      </c>
      <c r="I43" s="255" t="e">
        <f>$F43/VLOOKUP('Station parameters'!$O$3,HomeWalkGJT,8,FALSE)*Elasticities!$C$93</f>
        <v>#N/A</v>
      </c>
      <c r="J43" s="242" t="e">
        <f t="shared" ref="J43:J46" si="20">H43*I43</f>
        <v>#DIV/0!</v>
      </c>
      <c r="K43" s="242">
        <f t="shared" ref="K43:K46" si="21">$K$48*$G43</f>
        <v>0</v>
      </c>
      <c r="L43" s="255" t="e">
        <f>$F43/VLOOKUP('Station parameters'!$O$3,HomeWalkGJT,7,FALSE)*Elasticities!$C$93</f>
        <v>#N/A</v>
      </c>
      <c r="M43" s="242" t="e">
        <f t="shared" ref="M43:M46" si="22">K43*L43</f>
        <v>#N/A</v>
      </c>
      <c r="N43" s="242">
        <f>$N$48*$G43</f>
        <v>0</v>
      </c>
      <c r="O43" s="255" t="e">
        <f>$F43/VLOOKUP('Station parameters'!$O$3,DestinationWalkGJT,7,FALSE)*Elasticities!$C$93</f>
        <v>#N/A</v>
      </c>
      <c r="P43" s="242" t="e">
        <f t="shared" ref="P43:P46" si="23">N43*O43</f>
        <v>#N/A</v>
      </c>
    </row>
    <row r="44" spans="1:16">
      <c r="A44" s="34"/>
      <c r="B44" s="595"/>
      <c r="C44" s="238" t="s">
        <v>326</v>
      </c>
      <c r="D44" s="242">
        <f>'Project details'!$D181</f>
        <v>0</v>
      </c>
      <c r="E44" s="242">
        <f>'Project details'!G181</f>
        <v>0</v>
      </c>
      <c r="F44" s="242">
        <f>IF(Option3="No",0,(E44-D44)/60)</f>
        <v>0</v>
      </c>
      <c r="G44" s="243">
        <f>'Project details'!$D$152</f>
        <v>0</v>
      </c>
      <c r="H44" s="242" t="e">
        <f t="shared" si="19"/>
        <v>#DIV/0!</v>
      </c>
      <c r="I44" s="255" t="e">
        <f>$F44/VLOOKUP('Station parameters'!$O$3,HomeWalkGJT,8,FALSE)*Elasticities!$C$93</f>
        <v>#N/A</v>
      </c>
      <c r="J44" s="242" t="e">
        <f t="shared" si="20"/>
        <v>#DIV/0!</v>
      </c>
      <c r="K44" s="242">
        <f t="shared" si="21"/>
        <v>0</v>
      </c>
      <c r="L44" s="255" t="e">
        <f>$F44/VLOOKUP('Station parameters'!$O$3,HomeWalkGJT,7,FALSE)*Elasticities!$C$93</f>
        <v>#N/A</v>
      </c>
      <c r="M44" s="242" t="e">
        <f t="shared" si="22"/>
        <v>#N/A</v>
      </c>
      <c r="N44" s="242">
        <f t="shared" ref="N44:N46" si="24">$N$48*$G44</f>
        <v>0</v>
      </c>
      <c r="O44" s="255" t="e">
        <f>$F44/VLOOKUP('Station parameters'!$O$3,DestinationWalkGJT,7,FALSE)*Elasticities!$C$93</f>
        <v>#N/A</v>
      </c>
      <c r="P44" s="242" t="e">
        <f t="shared" si="23"/>
        <v>#N/A</v>
      </c>
    </row>
    <row r="45" spans="1:16">
      <c r="A45" s="34"/>
      <c r="B45" s="595"/>
      <c r="C45" s="238" t="s">
        <v>327</v>
      </c>
      <c r="D45" s="242">
        <f>'Project details'!$D222</f>
        <v>0</v>
      </c>
      <c r="E45" s="242">
        <f>'Project details'!G222</f>
        <v>0</v>
      </c>
      <c r="F45" s="242">
        <f>IF(Option3="No",0,(E45-D45)/60)</f>
        <v>0</v>
      </c>
      <c r="G45" s="243">
        <f>'Project details'!$D$193</f>
        <v>0</v>
      </c>
      <c r="H45" s="242" t="e">
        <f t="shared" si="19"/>
        <v>#DIV/0!</v>
      </c>
      <c r="I45" s="255" t="e">
        <f>$F45/VLOOKUP('Station parameters'!$O$3,HomeWalkGJT,8,FALSE)*Elasticities!$C$93</f>
        <v>#N/A</v>
      </c>
      <c r="J45" s="242" t="e">
        <f t="shared" si="20"/>
        <v>#DIV/0!</v>
      </c>
      <c r="K45" s="242">
        <f t="shared" si="21"/>
        <v>0</v>
      </c>
      <c r="L45" s="255" t="e">
        <f>$F45/VLOOKUP('Station parameters'!$O$3,HomeWalkGJT,7,FALSE)*Elasticities!$C$93</f>
        <v>#N/A</v>
      </c>
      <c r="M45" s="242" t="e">
        <f t="shared" si="22"/>
        <v>#N/A</v>
      </c>
      <c r="N45" s="242">
        <f t="shared" si="24"/>
        <v>0</v>
      </c>
      <c r="O45" s="255" t="e">
        <f>$F45/VLOOKUP('Station parameters'!$O$3,DestinationWalkGJT,7,FALSE)*Elasticities!$C$93</f>
        <v>#N/A</v>
      </c>
      <c r="P45" s="242" t="e">
        <f t="shared" si="23"/>
        <v>#N/A</v>
      </c>
    </row>
    <row r="46" spans="1:16">
      <c r="A46" s="34"/>
      <c r="B46" s="595"/>
      <c r="C46" s="238" t="s">
        <v>328</v>
      </c>
      <c r="D46" s="242">
        <f>'Project details'!$D263</f>
        <v>0</v>
      </c>
      <c r="E46" s="242">
        <f>'Project details'!G263</f>
        <v>0</v>
      </c>
      <c r="F46" s="242">
        <f>IF(Option3="No",0,(E46-D46)/60)</f>
        <v>0</v>
      </c>
      <c r="G46" s="243">
        <f>'Project details'!$D$234</f>
        <v>0</v>
      </c>
      <c r="H46" s="242" t="e">
        <f t="shared" si="19"/>
        <v>#DIV/0!</v>
      </c>
      <c r="I46" s="255" t="e">
        <f>$F46/VLOOKUP('Station parameters'!$O$3,HomeWalkGJT,8,FALSE)*Elasticities!$C$93</f>
        <v>#N/A</v>
      </c>
      <c r="J46" s="242" t="e">
        <f t="shared" si="20"/>
        <v>#DIV/0!</v>
      </c>
      <c r="K46" s="242">
        <f t="shared" si="21"/>
        <v>0</v>
      </c>
      <c r="L46" s="255" t="e">
        <f>$F46/VLOOKUP('Station parameters'!$O$3,HomeWalkGJT,7,FALSE)*Elasticities!$C$93</f>
        <v>#N/A</v>
      </c>
      <c r="M46" s="242" t="e">
        <f t="shared" si="22"/>
        <v>#N/A</v>
      </c>
      <c r="N46" s="242">
        <f t="shared" si="24"/>
        <v>0</v>
      </c>
      <c r="O46" s="255" t="e">
        <f>$F46/VLOOKUP('Station parameters'!$O$3,DestinationWalkGJT,7,FALSE)*Elasticities!$C$93</f>
        <v>#N/A</v>
      </c>
      <c r="P46" s="242" t="e">
        <f t="shared" si="23"/>
        <v>#N/A</v>
      </c>
    </row>
    <row r="47" spans="1:16">
      <c r="A47" s="34"/>
      <c r="B47" s="595"/>
      <c r="C47" s="61" t="s">
        <v>331</v>
      </c>
      <c r="D47" s="236" t="s">
        <v>175</v>
      </c>
      <c r="E47" s="236" t="s">
        <v>175</v>
      </c>
      <c r="F47" s="236" t="s">
        <v>175</v>
      </c>
      <c r="G47" s="243">
        <f>1-SUM(G42:G46)</f>
        <v>1</v>
      </c>
      <c r="H47" s="236" t="s">
        <v>175</v>
      </c>
      <c r="I47" s="281">
        <v>0</v>
      </c>
      <c r="J47" s="342" t="s">
        <v>175</v>
      </c>
      <c r="K47" s="236" t="s">
        <v>175</v>
      </c>
      <c r="L47" s="281">
        <v>0</v>
      </c>
      <c r="M47" s="236" t="s">
        <v>175</v>
      </c>
      <c r="N47" s="236" t="s">
        <v>175</v>
      </c>
      <c r="O47" s="281">
        <v>0</v>
      </c>
      <c r="P47" s="236" t="s">
        <v>175</v>
      </c>
    </row>
    <row r="48" spans="1:16">
      <c r="A48" s="34"/>
      <c r="B48" s="238" t="s">
        <v>377</v>
      </c>
      <c r="C48" s="238" t="s">
        <v>11</v>
      </c>
      <c r="D48" s="266"/>
      <c r="E48" s="267"/>
      <c r="F48" s="267"/>
      <c r="G48" s="275"/>
      <c r="H48" s="239" t="e">
        <f>('Station parameters'!$E$39-(SUM('Station parameters'!$C$53:$C$55)*('Station parameters'!$E$39/'Station parameters'!$E$49)))*0.75</f>
        <v>#DIV/0!</v>
      </c>
      <c r="I48" s="276" t="e">
        <f>SUMPRODUCT(G42:G47,I42:I47)/SUM(G42:G47)</f>
        <v>#N/A</v>
      </c>
      <c r="J48" s="276" t="e">
        <f>SUM(J42:J46)</f>
        <v>#DIV/0!</v>
      </c>
      <c r="K48" s="239">
        <f>SUM($D$7)*0.75</f>
        <v>0</v>
      </c>
      <c r="L48" s="167" t="e">
        <f>SUMPRODUCT(G42:G47,L42:L47)/SUM(G42:G47)</f>
        <v>#N/A</v>
      </c>
      <c r="M48" s="276" t="e">
        <f>SUM(M42:M46)</f>
        <v>#N/A</v>
      </c>
      <c r="N48" s="239">
        <f>SUM($G$7)*0.75</f>
        <v>0</v>
      </c>
      <c r="O48" s="167" t="e">
        <f>SUMPRODUCT(G42:G47,O42:O47)/SUM(G42:G47)</f>
        <v>#N/A</v>
      </c>
      <c r="P48" s="276" t="e">
        <f>SUM(P42:P46)</f>
        <v>#N/A</v>
      </c>
    </row>
    <row r="49" spans="1:16">
      <c r="A49" s="34"/>
      <c r="B49" s="338" t="s">
        <v>37</v>
      </c>
      <c r="C49" s="238" t="s">
        <v>324</v>
      </c>
      <c r="D49" s="242">
        <f>'Project details'!$D99</f>
        <v>0</v>
      </c>
      <c r="E49" s="242">
        <f>'Project details'!G99</f>
        <v>0</v>
      </c>
      <c r="F49" s="242">
        <f>IF(Option3="No",0,(E49-D49)/60)</f>
        <v>0</v>
      </c>
      <c r="G49" s="243">
        <f>'Project details'!$D$70</f>
        <v>0</v>
      </c>
      <c r="H49" s="242" t="e">
        <f>$H$55*$G49</f>
        <v>#DIV/0!</v>
      </c>
      <c r="I49" s="255" t="e">
        <f>$F49/VLOOKUP('Station parameters'!$O$3,HomeWalkGJT,8,FALSE)*Elasticities!$C$94</f>
        <v>#N/A</v>
      </c>
      <c r="J49" s="242" t="e">
        <f>H49*I49</f>
        <v>#DIV/0!</v>
      </c>
      <c r="K49" s="242">
        <f>$K$55*$G49</f>
        <v>0</v>
      </c>
      <c r="L49" s="255" t="e">
        <f>$F49/VLOOKUP('Station parameters'!$O$3,HomeWalkGJT,7,FALSE)*Elasticities!$C$94</f>
        <v>#N/A</v>
      </c>
      <c r="M49" s="242" t="e">
        <f>K49*L49</f>
        <v>#N/A</v>
      </c>
      <c r="N49" s="242">
        <f>$N$55*$G49</f>
        <v>0</v>
      </c>
      <c r="O49" s="255" t="e">
        <f>$F49/VLOOKUP('Station parameters'!$O$3,DestinationWalkGJT,7,FALSE)*Elasticities!$C$94</f>
        <v>#N/A</v>
      </c>
      <c r="P49" s="242" t="e">
        <f>N49*O49</f>
        <v>#N/A</v>
      </c>
    </row>
    <row r="50" spans="1:16">
      <c r="A50" s="34"/>
      <c r="B50" s="339"/>
      <c r="C50" s="238" t="s">
        <v>325</v>
      </c>
      <c r="D50" s="242">
        <f>'Project details'!$D140</f>
        <v>0</v>
      </c>
      <c r="E50" s="242">
        <f>'Project details'!G140</f>
        <v>0</v>
      </c>
      <c r="F50" s="242">
        <f>IF(Option3="No",0,(E50-D50)/60)</f>
        <v>0</v>
      </c>
      <c r="G50" s="243">
        <f>'Project details'!$D$111</f>
        <v>0</v>
      </c>
      <c r="H50" s="242" t="e">
        <f t="shared" ref="H50:H53" si="25">$H$55*$G50</f>
        <v>#DIV/0!</v>
      </c>
      <c r="I50" s="255" t="e">
        <f>$F50/VLOOKUP('Station parameters'!$O$3,HomeWalkGJT,8,FALSE)*Elasticities!$C$94</f>
        <v>#N/A</v>
      </c>
      <c r="J50" s="242" t="e">
        <f t="shared" ref="J50:J53" si="26">H50*I50</f>
        <v>#DIV/0!</v>
      </c>
      <c r="K50" s="242">
        <f t="shared" ref="K50:K53" si="27">$K$55*$G50</f>
        <v>0</v>
      </c>
      <c r="L50" s="255" t="e">
        <f>$F50/VLOOKUP('Station parameters'!$O$3,HomeWalkGJT,7,FALSE)*Elasticities!$C$94</f>
        <v>#N/A</v>
      </c>
      <c r="M50" s="242" t="e">
        <f t="shared" ref="M50:M53" si="28">K50*L50</f>
        <v>#N/A</v>
      </c>
      <c r="N50" s="242">
        <f t="shared" ref="N50:N53" si="29">$N$55*$G50</f>
        <v>0</v>
      </c>
      <c r="O50" s="255" t="e">
        <f>$F50/VLOOKUP('Station parameters'!$O$3,DestinationWalkGJT,7,FALSE)*Elasticities!$C$94</f>
        <v>#N/A</v>
      </c>
      <c r="P50" s="242" t="e">
        <f t="shared" ref="P50:P53" si="30">N50*O50</f>
        <v>#N/A</v>
      </c>
    </row>
    <row r="51" spans="1:16">
      <c r="A51" s="34"/>
      <c r="B51" s="339"/>
      <c r="C51" s="238" t="s">
        <v>326</v>
      </c>
      <c r="D51" s="242">
        <f>'Project details'!$D181</f>
        <v>0</v>
      </c>
      <c r="E51" s="242">
        <f>'Project details'!G181</f>
        <v>0</v>
      </c>
      <c r="F51" s="242">
        <f>IF(Option3="No",0,(E51-D51)/60)</f>
        <v>0</v>
      </c>
      <c r="G51" s="243">
        <f>'Project details'!$D$152</f>
        <v>0</v>
      </c>
      <c r="H51" s="242" t="e">
        <f t="shared" si="25"/>
        <v>#DIV/0!</v>
      </c>
      <c r="I51" s="255" t="e">
        <f>$F51/VLOOKUP('Station parameters'!$O$3,HomeWalkGJT,8,FALSE)*Elasticities!$C$94</f>
        <v>#N/A</v>
      </c>
      <c r="J51" s="242" t="e">
        <f t="shared" si="26"/>
        <v>#DIV/0!</v>
      </c>
      <c r="K51" s="242">
        <f t="shared" si="27"/>
        <v>0</v>
      </c>
      <c r="L51" s="255" t="e">
        <f>$F51/VLOOKUP('Station parameters'!$O$3,HomeWalkGJT,7,FALSE)*Elasticities!$C$94</f>
        <v>#N/A</v>
      </c>
      <c r="M51" s="242" t="e">
        <f t="shared" si="28"/>
        <v>#N/A</v>
      </c>
      <c r="N51" s="242">
        <f t="shared" si="29"/>
        <v>0</v>
      </c>
      <c r="O51" s="255" t="e">
        <f>$F51/VLOOKUP('Station parameters'!$O$3,DestinationWalkGJT,7,FALSE)*Elasticities!$C$94</f>
        <v>#N/A</v>
      </c>
      <c r="P51" s="242" t="e">
        <f t="shared" si="30"/>
        <v>#N/A</v>
      </c>
    </row>
    <row r="52" spans="1:16">
      <c r="A52" s="34"/>
      <c r="B52" s="339"/>
      <c r="C52" s="238" t="s">
        <v>327</v>
      </c>
      <c r="D52" s="242">
        <f>'Project details'!$D222</f>
        <v>0</v>
      </c>
      <c r="E52" s="242">
        <f>'Project details'!G222</f>
        <v>0</v>
      </c>
      <c r="F52" s="242">
        <f>IF(Option3="No",0,(E52-D52)/60)</f>
        <v>0</v>
      </c>
      <c r="G52" s="243">
        <f>'Project details'!$D$193</f>
        <v>0</v>
      </c>
      <c r="H52" s="242" t="e">
        <f t="shared" si="25"/>
        <v>#DIV/0!</v>
      </c>
      <c r="I52" s="255" t="e">
        <f>$F52/VLOOKUP('Station parameters'!$O$3,HomeWalkGJT,8,FALSE)*Elasticities!$C$94</f>
        <v>#N/A</v>
      </c>
      <c r="J52" s="242" t="e">
        <f t="shared" si="26"/>
        <v>#DIV/0!</v>
      </c>
      <c r="K52" s="242">
        <f t="shared" si="27"/>
        <v>0</v>
      </c>
      <c r="L52" s="255" t="e">
        <f>$F52/VLOOKUP('Station parameters'!$O$3,HomeWalkGJT,7,FALSE)*Elasticities!$C$94</f>
        <v>#N/A</v>
      </c>
      <c r="M52" s="242" t="e">
        <f t="shared" si="28"/>
        <v>#N/A</v>
      </c>
      <c r="N52" s="242">
        <f t="shared" si="29"/>
        <v>0</v>
      </c>
      <c r="O52" s="255" t="e">
        <f>$F52/VLOOKUP('Station parameters'!$O$3,DestinationWalkGJT,7,FALSE)*Elasticities!$C$94</f>
        <v>#N/A</v>
      </c>
      <c r="P52" s="242" t="e">
        <f t="shared" si="30"/>
        <v>#N/A</v>
      </c>
    </row>
    <row r="53" spans="1:16">
      <c r="A53" s="34"/>
      <c r="B53" s="339"/>
      <c r="C53" s="238" t="s">
        <v>328</v>
      </c>
      <c r="D53" s="242">
        <f>'Project details'!$D263</f>
        <v>0</v>
      </c>
      <c r="E53" s="242">
        <f>'Project details'!G263</f>
        <v>0</v>
      </c>
      <c r="F53" s="242">
        <f>IF(Option3="No",0,(E53-D53)/60)</f>
        <v>0</v>
      </c>
      <c r="G53" s="243">
        <f>'Project details'!$D$234</f>
        <v>0</v>
      </c>
      <c r="H53" s="242" t="e">
        <f t="shared" si="25"/>
        <v>#DIV/0!</v>
      </c>
      <c r="I53" s="255" t="e">
        <f>$F53/VLOOKUP('Station parameters'!$O$3,HomeWalkGJT,8,FALSE)*Elasticities!$C$94</f>
        <v>#N/A</v>
      </c>
      <c r="J53" s="242" t="e">
        <f t="shared" si="26"/>
        <v>#DIV/0!</v>
      </c>
      <c r="K53" s="242">
        <f t="shared" si="27"/>
        <v>0</v>
      </c>
      <c r="L53" s="255" t="e">
        <f>$F53/VLOOKUP('Station parameters'!$O$3,HomeWalkGJT,7,FALSE)*Elasticities!$C$94</f>
        <v>#N/A</v>
      </c>
      <c r="M53" s="242" t="e">
        <f t="shared" si="28"/>
        <v>#N/A</v>
      </c>
      <c r="N53" s="242">
        <f t="shared" si="29"/>
        <v>0</v>
      </c>
      <c r="O53" s="255" t="e">
        <f>$F53/VLOOKUP('Station parameters'!$O$3,DestinationWalkGJT,7,FALSE)*Elasticities!$C$94</f>
        <v>#N/A</v>
      </c>
      <c r="P53" s="242" t="e">
        <f t="shared" si="30"/>
        <v>#N/A</v>
      </c>
    </row>
    <row r="54" spans="1:16">
      <c r="A54" s="34"/>
      <c r="B54" s="340"/>
      <c r="C54" s="61" t="s">
        <v>331</v>
      </c>
      <c r="D54" s="236" t="s">
        <v>175</v>
      </c>
      <c r="E54" s="236" t="s">
        <v>175</v>
      </c>
      <c r="F54" s="236" t="s">
        <v>175</v>
      </c>
      <c r="G54" s="243">
        <f>1-SUM(G49:G53)</f>
        <v>1</v>
      </c>
      <c r="H54" s="236" t="s">
        <v>175</v>
      </c>
      <c r="I54" s="281">
        <v>0</v>
      </c>
      <c r="J54" s="236" t="s">
        <v>175</v>
      </c>
      <c r="K54" s="236" t="s">
        <v>175</v>
      </c>
      <c r="L54" s="281">
        <v>0</v>
      </c>
      <c r="M54" s="236" t="s">
        <v>175</v>
      </c>
      <c r="N54" s="236" t="s">
        <v>175</v>
      </c>
      <c r="O54" s="281">
        <v>0</v>
      </c>
      <c r="P54" s="236" t="s">
        <v>175</v>
      </c>
    </row>
    <row r="55" spans="1:16">
      <c r="A55" s="34"/>
      <c r="B55" s="238" t="s">
        <v>378</v>
      </c>
      <c r="C55" s="238" t="s">
        <v>11</v>
      </c>
      <c r="D55" s="266"/>
      <c r="E55" s="267"/>
      <c r="F55" s="267"/>
      <c r="G55" s="275"/>
      <c r="H55" s="239" t="e">
        <f>'Station parameters'!$E$44-(SUM('Station parameters'!$C$53:$C$55)*('Station parameters'!$E$44/'Station parameters'!$E$49))*0.75</f>
        <v>#DIV/0!</v>
      </c>
      <c r="I55" s="341" t="e">
        <f>SUMPRODUCT(G49:G54,I49:I54)/SUM(G49:G54)</f>
        <v>#N/A</v>
      </c>
      <c r="J55" s="276" t="e">
        <f>SUM(J49:J53)</f>
        <v>#DIV/0!</v>
      </c>
      <c r="K55" s="239">
        <f>SUM($E$7)*0.75</f>
        <v>0</v>
      </c>
      <c r="L55" s="167" t="e">
        <f>SUMPRODUCT(G49:G54,L49:L54)/SUM(G49:G54)</f>
        <v>#N/A</v>
      </c>
      <c r="M55" s="276" t="e">
        <f>SUM(M49:M53)</f>
        <v>#N/A</v>
      </c>
      <c r="N55" s="239">
        <f>SUM($H$7)*0.75</f>
        <v>0</v>
      </c>
      <c r="O55" s="167" t="e">
        <f>SUMPRODUCT(G49:G54,O49:O54)/SUM(G49:G54)</f>
        <v>#N/A</v>
      </c>
      <c r="P55" s="276" t="e">
        <f>SUM(P49:P53)</f>
        <v>#N/A</v>
      </c>
    </row>
    <row r="56" spans="1:16">
      <c r="A56" s="34"/>
      <c r="B56" s="238" t="s">
        <v>376</v>
      </c>
      <c r="H56" s="119"/>
      <c r="I56" s="167" t="e">
        <f>(I48*(H48/SUM(H48,H55)))+(I55*(H55/SUM(H48,H55)))</f>
        <v>#N/A</v>
      </c>
      <c r="J56" s="276" t="e">
        <f>J48+J55</f>
        <v>#DIV/0!</v>
      </c>
      <c r="K56" s="119"/>
      <c r="L56" s="167">
        <f>IF(SUM(K48,K55)=0,0,(L48*(K48/SUM(K48,K55)))+(L55*(K55/SUM(K48,K55))))</f>
        <v>0</v>
      </c>
      <c r="M56" s="276" t="e">
        <f>M48+M55</f>
        <v>#N/A</v>
      </c>
      <c r="N56" s="119"/>
      <c r="O56" s="167">
        <f>IF(SUM(N48,N55)=0,0,(O48*(N48/SUM(N48,N55)))+(O55*(N55/SUM(N48,N55))))</f>
        <v>0</v>
      </c>
      <c r="P56" s="276" t="e">
        <f>P48+P55</f>
        <v>#N/A</v>
      </c>
    </row>
    <row r="57" spans="1:16">
      <c r="A57" s="34"/>
    </row>
    <row r="58" spans="1:16">
      <c r="A58" s="34"/>
      <c r="B58" s="14" t="s">
        <v>47</v>
      </c>
      <c r="C58" s="158" t="s">
        <v>205</v>
      </c>
      <c r="D58" s="158" t="s">
        <v>27</v>
      </c>
      <c r="H58" s="14" t="s">
        <v>641</v>
      </c>
      <c r="I58" s="158" t="s">
        <v>205</v>
      </c>
      <c r="J58" s="158" t="s">
        <v>27</v>
      </c>
      <c r="K58" s="158"/>
      <c r="L58" s="158"/>
      <c r="M58" s="14" t="s">
        <v>364</v>
      </c>
      <c r="N58" s="158" t="s">
        <v>205</v>
      </c>
      <c r="O58" s="158" t="s">
        <v>27</v>
      </c>
    </row>
    <row r="59" spans="1:16">
      <c r="A59" s="34"/>
      <c r="B59" s="23" t="s">
        <v>206</v>
      </c>
      <c r="C59" s="248" t="e">
        <f>J56</f>
        <v>#DIV/0!</v>
      </c>
      <c r="D59" s="248" t="e">
        <f>J56</f>
        <v>#DIV/0!</v>
      </c>
      <c r="H59" s="61" t="s">
        <v>323</v>
      </c>
      <c r="I59" s="245" t="e">
        <f>I$60*VLOOKUP($H59,DiversionWalkAccess,4,FALSE)</f>
        <v>#N/A</v>
      </c>
      <c r="J59" s="245" t="e">
        <f>J$60*VLOOKUP($H59,DiversionWalkAccess,4,FALSE)</f>
        <v>#N/A</v>
      </c>
      <c r="K59" s="244"/>
      <c r="L59" s="244"/>
      <c r="M59" s="61" t="s">
        <v>323</v>
      </c>
      <c r="N59" s="245" t="e">
        <f>N$60*VLOOKUP($H59,DiversionWalkEgress,2,FALSE)</f>
        <v>#N/A</v>
      </c>
      <c r="O59" s="245" t="e">
        <f>O$60*VLOOKUP($H59,DiversionWalkEgress,3,FALSE)</f>
        <v>#N/A</v>
      </c>
    </row>
    <row r="60" spans="1:16">
      <c r="A60" s="34"/>
      <c r="B60" s="165" t="s">
        <v>42</v>
      </c>
      <c r="C60" s="245" t="e">
        <f>C$59*VLOOKUP($B60,DiversionPTMainMode,2,FALSE)*AVERAGE(WalkDiversionFactor,CycleDiversionFactor)</f>
        <v>#DIV/0!</v>
      </c>
      <c r="D60" s="245" t="e">
        <f>D$59*VLOOKUP($B60,DiversionPTMainMode,3,FALSE)*AVERAGE(WalkDiversionFactor,CycleDiversionFactor)</f>
        <v>#DIV/0!</v>
      </c>
      <c r="H60" s="247" t="s">
        <v>42</v>
      </c>
      <c r="I60" s="248" t="e">
        <f>M56+J56</f>
        <v>#N/A</v>
      </c>
      <c r="J60" s="248" t="e">
        <f>M56+J56</f>
        <v>#N/A</v>
      </c>
      <c r="K60" s="244"/>
      <c r="L60" s="244"/>
      <c r="M60" s="247" t="s">
        <v>42</v>
      </c>
      <c r="N60" s="248" t="e">
        <f>P56</f>
        <v>#N/A</v>
      </c>
      <c r="O60" s="248" t="e">
        <f>P56</f>
        <v>#N/A</v>
      </c>
    </row>
    <row r="61" spans="1:16">
      <c r="A61" s="34"/>
      <c r="B61" s="165" t="s">
        <v>40</v>
      </c>
      <c r="C61" s="245" t="e">
        <f>C$59*VLOOKUP($B61,DiversionPTMainMode,2,FALSE)*AVERAGE(WalkDiversionFactor,CycleDiversionFactor)</f>
        <v>#DIV/0!</v>
      </c>
      <c r="D61" s="245" t="e">
        <f>D$59*VLOOKUP($B61,DiversionPTMainMode,3,FALSE)*AVERAGE(WalkDiversionFactor,CycleDiversionFactor)</f>
        <v>#DIV/0!</v>
      </c>
      <c r="H61" s="249" t="s">
        <v>40</v>
      </c>
      <c r="I61" s="245" t="e">
        <f t="shared" ref="I61:J63" si="31">I$60*VLOOKUP($H61,DiversionWalkAccess,4,FALSE)</f>
        <v>#N/A</v>
      </c>
      <c r="J61" s="245" t="e">
        <f t="shared" si="31"/>
        <v>#N/A</v>
      </c>
      <c r="K61" s="244"/>
      <c r="L61" s="244"/>
      <c r="M61" s="249" t="s">
        <v>40</v>
      </c>
      <c r="N61" s="245" t="e">
        <f>N$60*VLOOKUP($H61,DiversionWalkEgress,2,FALSE)</f>
        <v>#N/A</v>
      </c>
      <c r="O61" s="245" t="e">
        <f>O$60*VLOOKUP($H61,DiversionWalkEgress,3,FALSE)</f>
        <v>#N/A</v>
      </c>
    </row>
    <row r="62" spans="1:16">
      <c r="A62" s="34"/>
      <c r="B62" s="165" t="s">
        <v>157</v>
      </c>
      <c r="C62" s="245" t="e">
        <f>C$59*VLOOKUP($B62,DiversionPTMainMode,2,FALSE)*AVERAGE(WalkDiversionFactor,CycleDiversionFactor)</f>
        <v>#DIV/0!</v>
      </c>
      <c r="D62" s="245" t="e">
        <f>D$59*VLOOKUP($B62,DiversionPTMainMode,3,FALSE)*AVERAGE(WalkDiversionFactor,CycleDiversionFactor)</f>
        <v>#DIV/0!</v>
      </c>
      <c r="H62" s="249" t="s">
        <v>157</v>
      </c>
      <c r="I62" s="245" t="e">
        <f t="shared" si="31"/>
        <v>#N/A</v>
      </c>
      <c r="J62" s="245" t="e">
        <f t="shared" si="31"/>
        <v>#N/A</v>
      </c>
      <c r="K62" s="244"/>
      <c r="L62" s="244"/>
      <c r="M62" s="249" t="s">
        <v>157</v>
      </c>
      <c r="N62" s="245" t="e">
        <f>N$60*VLOOKUP($H62,DiversionWalkEgress,2,FALSE)</f>
        <v>#N/A</v>
      </c>
      <c r="O62" s="245" t="e">
        <f>O$60*VLOOKUP($H62,DiversionWalkEgress,3,FALSE)</f>
        <v>#N/A</v>
      </c>
    </row>
    <row r="63" spans="1:16">
      <c r="A63" s="34"/>
      <c r="B63" s="165" t="s">
        <v>158</v>
      </c>
      <c r="C63" s="245" t="e">
        <f>C$59*VLOOKUP($B63,DiversionPTMainMode,2,FALSE)*AVERAGE(WalkDiversionFactor,CycleDiversionFactor)</f>
        <v>#DIV/0!</v>
      </c>
      <c r="D63" s="245" t="e">
        <f>D$59*VLOOKUP($B63,DiversionPTMainMode,3,FALSE)*AVERAGE(WalkDiversionFactor,CycleDiversionFactor)</f>
        <v>#DIV/0!</v>
      </c>
      <c r="H63" s="249" t="s">
        <v>158</v>
      </c>
      <c r="I63" s="245" t="e">
        <f t="shared" si="31"/>
        <v>#N/A</v>
      </c>
      <c r="J63" s="245" t="e">
        <f t="shared" si="31"/>
        <v>#N/A</v>
      </c>
      <c r="K63" s="244"/>
      <c r="L63" s="244"/>
      <c r="M63" s="249" t="s">
        <v>158</v>
      </c>
      <c r="N63" s="245" t="e">
        <f>N$60*VLOOKUP($H63,DiversionWalkEgress,2,FALSE)</f>
        <v>#N/A</v>
      </c>
      <c r="O63" s="245" t="e">
        <f>O$60*VLOOKUP($H63,DiversionWalkEgress,3,FALSE)</f>
        <v>#N/A</v>
      </c>
    </row>
    <row r="64" spans="1:16">
      <c r="A64" s="34"/>
      <c r="B64" s="144" t="s">
        <v>25</v>
      </c>
      <c r="C64" s="245" t="e">
        <f>C$59*VLOOKUP($B64,DiversionPTMainMode,2,FALSE)*AVERAGE(WalkDiversionFactor,CycleDiversionFactor)</f>
        <v>#DIV/0!</v>
      </c>
      <c r="D64" s="245" t="e">
        <f>D$59*VLOOKUP($B64,DiversionPTMainMode,3,FALSE)*AVERAGE(WalkDiversionFactor,CycleDiversionFactor)</f>
        <v>#DIV/0!</v>
      </c>
      <c r="F64" s="163"/>
      <c r="J64" s="163"/>
    </row>
    <row r="65" spans="1:16">
      <c r="A65" s="34"/>
    </row>
    <row r="66" spans="1:16">
      <c r="A66" s="34"/>
      <c r="B66" s="86" t="s">
        <v>165</v>
      </c>
      <c r="C66" s="118"/>
      <c r="D66" s="240" t="s">
        <v>167</v>
      </c>
      <c r="E66" s="394" t="e">
        <f>E15</f>
        <v>#N/A</v>
      </c>
      <c r="F66" s="127" t="s">
        <v>168</v>
      </c>
      <c r="G66" s="241" t="s">
        <v>169</v>
      </c>
      <c r="H66" s="394">
        <f>H15</f>
        <v>0</v>
      </c>
      <c r="J66" s="241" t="s">
        <v>170</v>
      </c>
      <c r="K66" s="394">
        <f>K15</f>
        <v>0</v>
      </c>
    </row>
    <row r="67" spans="1:16">
      <c r="A67" s="34"/>
      <c r="B67" s="108"/>
      <c r="C67" s="118"/>
      <c r="D67" s="119"/>
      <c r="E67" s="119"/>
      <c r="F67" s="118"/>
      <c r="G67" s="120"/>
      <c r="H67" s="119"/>
    </row>
    <row r="68" spans="1:16">
      <c r="A68" s="34"/>
      <c r="B68" s="395"/>
      <c r="C68" s="596" t="s">
        <v>47</v>
      </c>
      <c r="D68" s="597"/>
      <c r="E68" s="597"/>
      <c r="F68" s="598"/>
      <c r="H68" s="596" t="s">
        <v>639</v>
      </c>
      <c r="I68" s="597"/>
      <c r="J68" s="597"/>
      <c r="K68" s="598"/>
      <c r="M68" s="596" t="s">
        <v>153</v>
      </c>
      <c r="N68" s="597"/>
      <c r="O68" s="597"/>
      <c r="P68" s="598"/>
    </row>
    <row r="69" spans="1:16" ht="30">
      <c r="A69" s="34"/>
      <c r="B69" s="258" t="s">
        <v>47</v>
      </c>
      <c r="C69" s="258" t="s">
        <v>159</v>
      </c>
      <c r="D69" s="258" t="s">
        <v>200</v>
      </c>
      <c r="E69" s="258" t="s">
        <v>363</v>
      </c>
      <c r="F69" s="258" t="s">
        <v>201</v>
      </c>
      <c r="G69" s="258" t="s">
        <v>93</v>
      </c>
      <c r="H69" s="258" t="s">
        <v>159</v>
      </c>
      <c r="I69" s="258" t="s">
        <v>200</v>
      </c>
      <c r="J69" s="258" t="s">
        <v>363</v>
      </c>
      <c r="K69" s="258" t="s">
        <v>202</v>
      </c>
      <c r="L69" s="258" t="s">
        <v>93</v>
      </c>
      <c r="M69" s="258" t="s">
        <v>152</v>
      </c>
      <c r="N69" s="258" t="s">
        <v>200</v>
      </c>
      <c r="O69" s="258" t="s">
        <v>363</v>
      </c>
      <c r="P69" s="258" t="s">
        <v>203</v>
      </c>
    </row>
    <row r="70" spans="1:16">
      <c r="A70" s="34"/>
      <c r="B70" s="259" t="s">
        <v>206</v>
      </c>
      <c r="C70" s="264" t="e">
        <f>D70/$H$66</f>
        <v>#DIV/0!</v>
      </c>
      <c r="D70" s="250" t="e">
        <f>IF(C19=0,0,D19+C59)</f>
        <v>#DIV/0!</v>
      </c>
      <c r="E70" s="264" t="e">
        <f>E19</f>
        <v>#N/A</v>
      </c>
      <c r="F70" s="166" t="e">
        <f>D70*E70</f>
        <v>#DIV/0!</v>
      </c>
      <c r="G70" s="268" t="s">
        <v>323</v>
      </c>
      <c r="H70" s="264" t="e">
        <f>I70/$H$66</f>
        <v>#DIV/0!</v>
      </c>
      <c r="I70" s="265" t="e">
        <f>IF(H19=0,0,I19+I59)</f>
        <v>#DIV/0!</v>
      </c>
      <c r="J70" s="260"/>
      <c r="K70" s="263"/>
      <c r="L70" s="268" t="s">
        <v>323</v>
      </c>
      <c r="M70" s="264" t="e">
        <f>N70/$K$66</f>
        <v>#DIV/0!</v>
      </c>
      <c r="N70" s="265" t="e">
        <f>IF(M19=0,0,N19+N59)</f>
        <v>#DIV/0!</v>
      </c>
      <c r="O70" s="104"/>
      <c r="P70" s="104"/>
    </row>
    <row r="71" spans="1:16">
      <c r="A71" s="34"/>
      <c r="B71" s="259" t="s">
        <v>42</v>
      </c>
      <c r="C71" s="264" t="e">
        <f>D71/$H$66</f>
        <v>#N/A</v>
      </c>
      <c r="D71" s="250" t="e">
        <f t="shared" ref="D71:D75" si="32">IF(C20=0,0,D20+C60)</f>
        <v>#N/A</v>
      </c>
      <c r="E71" s="264" t="e">
        <f t="shared" ref="E71:E75" si="33">IF(C71=0,0,F71/D71)</f>
        <v>#N/A</v>
      </c>
      <c r="F71" s="250" t="e">
        <f t="shared" ref="F71:F75" si="34">IF(C71=0,0,F20+D60)</f>
        <v>#N/A</v>
      </c>
      <c r="G71" s="259" t="s">
        <v>42</v>
      </c>
      <c r="H71" s="264" t="e">
        <f>I71/$H$66</f>
        <v>#DIV/0!</v>
      </c>
      <c r="I71" s="265" t="e">
        <f t="shared" ref="I71:I75" si="35">IF(H20=0,0,I20+I60)</f>
        <v>#DIV/0!</v>
      </c>
      <c r="J71" s="264" t="e">
        <f>J20</f>
        <v>#N/A</v>
      </c>
      <c r="K71" s="166" t="e">
        <f>I71*J71</f>
        <v>#DIV/0!</v>
      </c>
      <c r="L71" s="259" t="s">
        <v>42</v>
      </c>
      <c r="M71" s="264" t="e">
        <f t="shared" ref="M71:M75" si="36">N71/$K$66</f>
        <v>#DIV/0!</v>
      </c>
      <c r="N71" s="265" t="e">
        <f>IF(M20=0,0,N20+N60)</f>
        <v>#DIV/0!</v>
      </c>
      <c r="O71" s="264" t="e">
        <f>O20</f>
        <v>#N/A</v>
      </c>
      <c r="P71" s="166" t="e">
        <f>N71*O71</f>
        <v>#DIV/0!</v>
      </c>
    </row>
    <row r="72" spans="1:16">
      <c r="A72" s="34"/>
      <c r="B72" s="259" t="s">
        <v>40</v>
      </c>
      <c r="C72" s="264" t="e">
        <f t="shared" ref="C72:C75" si="37">D72/$H$66</f>
        <v>#N/A</v>
      </c>
      <c r="D72" s="250" t="e">
        <f t="shared" si="32"/>
        <v>#N/A</v>
      </c>
      <c r="E72" s="264" t="e">
        <f t="shared" si="33"/>
        <v>#N/A</v>
      </c>
      <c r="F72" s="250" t="e">
        <f t="shared" si="34"/>
        <v>#N/A</v>
      </c>
      <c r="G72" s="259" t="s">
        <v>40</v>
      </c>
      <c r="H72" s="264" t="e">
        <f t="shared" ref="H72:H75" si="38">I72/$H$66</f>
        <v>#DIV/0!</v>
      </c>
      <c r="I72" s="265" t="e">
        <f t="shared" si="35"/>
        <v>#DIV/0!</v>
      </c>
      <c r="J72" s="264" t="e">
        <f t="shared" ref="J72:J75" si="39">J21</f>
        <v>#N/A</v>
      </c>
      <c r="K72" s="166" t="e">
        <f t="shared" ref="K72:K75" si="40">I72*J72</f>
        <v>#DIV/0!</v>
      </c>
      <c r="L72" s="259" t="s">
        <v>40</v>
      </c>
      <c r="M72" s="264" t="e">
        <f t="shared" si="36"/>
        <v>#DIV/0!</v>
      </c>
      <c r="N72" s="265" t="e">
        <f t="shared" ref="N72:N75" si="41">IF(M21=0,0,N21+N61)</f>
        <v>#DIV/0!</v>
      </c>
      <c r="O72" s="264" t="e">
        <f t="shared" ref="O72:O75" si="42">O21</f>
        <v>#N/A</v>
      </c>
      <c r="P72" s="166" t="e">
        <f t="shared" ref="P72:P75" si="43">N72*O72</f>
        <v>#DIV/0!</v>
      </c>
    </row>
    <row r="73" spans="1:16">
      <c r="A73" s="34"/>
      <c r="B73" s="259" t="s">
        <v>157</v>
      </c>
      <c r="C73" s="264" t="e">
        <f t="shared" si="37"/>
        <v>#N/A</v>
      </c>
      <c r="D73" s="250" t="e">
        <f t="shared" si="32"/>
        <v>#N/A</v>
      </c>
      <c r="E73" s="264" t="e">
        <f t="shared" si="33"/>
        <v>#N/A</v>
      </c>
      <c r="F73" s="250" t="e">
        <f>IF(C73=0,0,F22+D62)</f>
        <v>#N/A</v>
      </c>
      <c r="G73" s="259" t="s">
        <v>157</v>
      </c>
      <c r="H73" s="264" t="e">
        <f t="shared" si="38"/>
        <v>#DIV/0!</v>
      </c>
      <c r="I73" s="265" t="e">
        <f t="shared" si="35"/>
        <v>#DIV/0!</v>
      </c>
      <c r="J73" s="264" t="e">
        <f t="shared" si="39"/>
        <v>#N/A</v>
      </c>
      <c r="K73" s="166" t="e">
        <f t="shared" si="40"/>
        <v>#DIV/0!</v>
      </c>
      <c r="L73" s="259" t="s">
        <v>157</v>
      </c>
      <c r="M73" s="264" t="e">
        <f t="shared" si="36"/>
        <v>#DIV/0!</v>
      </c>
      <c r="N73" s="265" t="e">
        <f t="shared" si="41"/>
        <v>#DIV/0!</v>
      </c>
      <c r="O73" s="264" t="e">
        <f t="shared" si="42"/>
        <v>#N/A</v>
      </c>
      <c r="P73" s="166" t="e">
        <f t="shared" si="43"/>
        <v>#DIV/0!</v>
      </c>
    </row>
    <row r="74" spans="1:16">
      <c r="A74" s="34"/>
      <c r="B74" s="259" t="s">
        <v>158</v>
      </c>
      <c r="C74" s="264" t="e">
        <f t="shared" si="37"/>
        <v>#N/A</v>
      </c>
      <c r="D74" s="250" t="e">
        <f t="shared" si="32"/>
        <v>#N/A</v>
      </c>
      <c r="E74" s="264" t="e">
        <f t="shared" si="33"/>
        <v>#N/A</v>
      </c>
      <c r="F74" s="250" t="e">
        <f t="shared" si="34"/>
        <v>#N/A</v>
      </c>
      <c r="G74" s="259" t="s">
        <v>158</v>
      </c>
      <c r="H74" s="264" t="e">
        <f t="shared" si="38"/>
        <v>#DIV/0!</v>
      </c>
      <c r="I74" s="265" t="e">
        <f t="shared" si="35"/>
        <v>#DIV/0!</v>
      </c>
      <c r="J74" s="264" t="e">
        <f t="shared" si="39"/>
        <v>#N/A</v>
      </c>
      <c r="K74" s="166" t="e">
        <f t="shared" si="40"/>
        <v>#DIV/0!</v>
      </c>
      <c r="L74" s="259" t="s">
        <v>158</v>
      </c>
      <c r="M74" s="264" t="e">
        <f t="shared" si="36"/>
        <v>#DIV/0!</v>
      </c>
      <c r="N74" s="265" t="e">
        <f t="shared" si="41"/>
        <v>#DIV/0!</v>
      </c>
      <c r="O74" s="264" t="e">
        <f t="shared" si="42"/>
        <v>#N/A</v>
      </c>
      <c r="P74" s="166" t="e">
        <f t="shared" si="43"/>
        <v>#DIV/0!</v>
      </c>
    </row>
    <row r="75" spans="1:16">
      <c r="A75" s="34"/>
      <c r="B75" s="259" t="s">
        <v>25</v>
      </c>
      <c r="C75" s="264" t="e">
        <f t="shared" si="37"/>
        <v>#N/A</v>
      </c>
      <c r="D75" s="250" t="e">
        <f t="shared" si="32"/>
        <v>#N/A</v>
      </c>
      <c r="E75" s="264" t="e">
        <f t="shared" si="33"/>
        <v>#N/A</v>
      </c>
      <c r="F75" s="250" t="e">
        <f t="shared" si="34"/>
        <v>#N/A</v>
      </c>
      <c r="G75" s="259" t="s">
        <v>25</v>
      </c>
      <c r="H75" s="264" t="e">
        <f t="shared" si="38"/>
        <v>#DIV/0!</v>
      </c>
      <c r="I75" s="265" t="e">
        <f t="shared" si="35"/>
        <v>#DIV/0!</v>
      </c>
      <c r="J75" s="264" t="e">
        <f t="shared" si="39"/>
        <v>#N/A</v>
      </c>
      <c r="K75" s="166" t="e">
        <f t="shared" si="40"/>
        <v>#DIV/0!</v>
      </c>
      <c r="L75" s="259" t="s">
        <v>25</v>
      </c>
      <c r="M75" s="264" t="e">
        <f t="shared" si="36"/>
        <v>#DIV/0!</v>
      </c>
      <c r="N75" s="265" t="e">
        <f t="shared" si="41"/>
        <v>#DIV/0!</v>
      </c>
      <c r="O75" s="264" t="e">
        <f t="shared" si="42"/>
        <v>#N/A</v>
      </c>
      <c r="P75" s="166" t="e">
        <f t="shared" si="43"/>
        <v>#DIV/0!</v>
      </c>
    </row>
    <row r="76" spans="1:16">
      <c r="A76" s="34"/>
      <c r="B76" s="108"/>
      <c r="C76" s="118"/>
      <c r="D76" s="119"/>
      <c r="E76" s="119"/>
      <c r="F76" s="118"/>
      <c r="G76" s="120"/>
      <c r="H76" s="119"/>
    </row>
    <row r="77" spans="1:16">
      <c r="A77" s="34"/>
      <c r="B77" s="86" t="s">
        <v>166</v>
      </c>
      <c r="C77" s="118"/>
      <c r="D77" s="240" t="s">
        <v>167</v>
      </c>
      <c r="E77" s="394" t="e">
        <f>E26</f>
        <v>#N/A</v>
      </c>
      <c r="F77" s="127" t="s">
        <v>168</v>
      </c>
      <c r="G77" s="241" t="s">
        <v>169</v>
      </c>
      <c r="H77" s="394">
        <f>H26</f>
        <v>0</v>
      </c>
      <c r="J77" s="241" t="s">
        <v>170</v>
      </c>
      <c r="K77" s="166">
        <f>K26</f>
        <v>0</v>
      </c>
    </row>
    <row r="78" spans="1:16">
      <c r="A78" s="34"/>
      <c r="B78" s="108"/>
      <c r="C78" s="118"/>
      <c r="D78" s="119"/>
      <c r="E78" s="119"/>
      <c r="F78" s="118"/>
      <c r="G78" s="120"/>
      <c r="H78" s="119"/>
    </row>
    <row r="79" spans="1:16">
      <c r="A79" s="34"/>
      <c r="B79" s="395"/>
      <c r="C79" s="596" t="s">
        <v>47</v>
      </c>
      <c r="D79" s="597"/>
      <c r="E79" s="597"/>
      <c r="F79" s="598"/>
      <c r="H79" s="596" t="s">
        <v>639</v>
      </c>
      <c r="I79" s="597"/>
      <c r="J79" s="597"/>
      <c r="K79" s="598"/>
      <c r="M79" s="596" t="s">
        <v>153</v>
      </c>
      <c r="N79" s="597"/>
      <c r="O79" s="597"/>
      <c r="P79" s="598"/>
    </row>
    <row r="80" spans="1:16" ht="30">
      <c r="A80" s="34"/>
      <c r="B80" s="258" t="s">
        <v>47</v>
      </c>
      <c r="C80" s="258" t="s">
        <v>159</v>
      </c>
      <c r="D80" s="258" t="s">
        <v>200</v>
      </c>
      <c r="E80" s="258" t="s">
        <v>363</v>
      </c>
      <c r="F80" s="258" t="s">
        <v>201</v>
      </c>
      <c r="G80" s="258" t="s">
        <v>93</v>
      </c>
      <c r="H80" s="258" t="s">
        <v>159</v>
      </c>
      <c r="I80" s="258" t="s">
        <v>200</v>
      </c>
      <c r="J80" s="258" t="s">
        <v>363</v>
      </c>
      <c r="K80" s="258" t="s">
        <v>202</v>
      </c>
      <c r="L80" s="258" t="s">
        <v>93</v>
      </c>
      <c r="M80" s="258" t="s">
        <v>152</v>
      </c>
      <c r="N80" s="258" t="s">
        <v>200</v>
      </c>
      <c r="O80" s="258" t="s">
        <v>363</v>
      </c>
      <c r="P80" s="258" t="s">
        <v>203</v>
      </c>
    </row>
    <row r="81" spans="1:16">
      <c r="A81" s="34"/>
      <c r="B81" s="259" t="s">
        <v>206</v>
      </c>
      <c r="C81" s="264" t="e">
        <f t="shared" ref="C81:C86" si="44">D81/$H$77</f>
        <v>#DIV/0!</v>
      </c>
      <c r="D81" s="250" t="e">
        <f>IF(C30=0,0,D30+C59)</f>
        <v>#DIV/0!</v>
      </c>
      <c r="E81" s="264" t="e">
        <f>E30</f>
        <v>#N/A</v>
      </c>
      <c r="F81" s="166" t="e">
        <f>D81*E81</f>
        <v>#DIV/0!</v>
      </c>
      <c r="G81" s="268" t="s">
        <v>323</v>
      </c>
      <c r="H81" s="264" t="e">
        <f>I81/$H$77</f>
        <v>#DIV/0!</v>
      </c>
      <c r="I81" s="265" t="e">
        <f>IF(H30=0,0,I30+I59)</f>
        <v>#DIV/0!</v>
      </c>
      <c r="J81" s="260"/>
      <c r="K81" s="263"/>
      <c r="L81" s="268" t="s">
        <v>323</v>
      </c>
      <c r="M81" s="264" t="e">
        <f>N81/$K$77</f>
        <v>#DIV/0!</v>
      </c>
      <c r="N81" s="265" t="e">
        <f>IF(M30=0,0,N30+N59)</f>
        <v>#DIV/0!</v>
      </c>
      <c r="O81" s="104"/>
      <c r="P81" s="104"/>
    </row>
    <row r="82" spans="1:16">
      <c r="A82" s="34"/>
      <c r="B82" s="259" t="s">
        <v>42</v>
      </c>
      <c r="C82" s="264" t="e">
        <f t="shared" si="44"/>
        <v>#N/A</v>
      </c>
      <c r="D82" s="250" t="e">
        <f t="shared" ref="D82:D86" si="45">IF(C31=0,0,D31+C60)</f>
        <v>#N/A</v>
      </c>
      <c r="E82" s="264" t="e">
        <f t="shared" ref="E82:E86" si="46">IF(C82=0,0,F82/D82)</f>
        <v>#N/A</v>
      </c>
      <c r="F82" s="250" t="e">
        <f>IF(C82=0,0,F31+D60)</f>
        <v>#N/A</v>
      </c>
      <c r="G82" s="259" t="s">
        <v>42</v>
      </c>
      <c r="H82" s="264" t="e">
        <f t="shared" ref="H82:H86" si="47">I82/$H$77</f>
        <v>#DIV/0!</v>
      </c>
      <c r="I82" s="265" t="e">
        <f t="shared" ref="I82:I86" si="48">IF(H31=0,0,I31+I60)</f>
        <v>#DIV/0!</v>
      </c>
      <c r="J82" s="264" t="e">
        <f>J31</f>
        <v>#N/A</v>
      </c>
      <c r="K82" s="166" t="e">
        <f>I82*J82</f>
        <v>#DIV/0!</v>
      </c>
      <c r="L82" s="259" t="s">
        <v>42</v>
      </c>
      <c r="M82" s="264" t="e">
        <f>N82/$K$77</f>
        <v>#DIV/0!</v>
      </c>
      <c r="N82" s="265" t="e">
        <f t="shared" ref="N82:N86" si="49">IF(M31=0,0,N31+N60)</f>
        <v>#DIV/0!</v>
      </c>
      <c r="O82" s="264" t="e">
        <f>O31</f>
        <v>#N/A</v>
      </c>
      <c r="P82" s="166" t="e">
        <f>N82*O82</f>
        <v>#DIV/0!</v>
      </c>
    </row>
    <row r="83" spans="1:16">
      <c r="A83" s="34"/>
      <c r="B83" s="259" t="s">
        <v>40</v>
      </c>
      <c r="C83" s="264" t="e">
        <f t="shared" si="44"/>
        <v>#N/A</v>
      </c>
      <c r="D83" s="250" t="e">
        <f t="shared" si="45"/>
        <v>#N/A</v>
      </c>
      <c r="E83" s="264" t="e">
        <f t="shared" si="46"/>
        <v>#N/A</v>
      </c>
      <c r="F83" s="250" t="e">
        <f t="shared" ref="F83:F86" si="50">IF(C83=0,0,F32+D61)</f>
        <v>#N/A</v>
      </c>
      <c r="G83" s="259" t="s">
        <v>40</v>
      </c>
      <c r="H83" s="264" t="e">
        <f t="shared" si="47"/>
        <v>#DIV/0!</v>
      </c>
      <c r="I83" s="265" t="e">
        <f t="shared" si="48"/>
        <v>#DIV/0!</v>
      </c>
      <c r="J83" s="264" t="e">
        <f t="shared" ref="J83:J86" si="51">J32</f>
        <v>#N/A</v>
      </c>
      <c r="K83" s="166" t="e">
        <f t="shared" ref="K83:K86" si="52">I83*J83</f>
        <v>#DIV/0!</v>
      </c>
      <c r="L83" s="259" t="s">
        <v>40</v>
      </c>
      <c r="M83" s="264" t="e">
        <f t="shared" ref="M83:M86" si="53">N83/$K$77</f>
        <v>#DIV/0!</v>
      </c>
      <c r="N83" s="265" t="e">
        <f t="shared" si="49"/>
        <v>#DIV/0!</v>
      </c>
      <c r="O83" s="264" t="e">
        <f t="shared" ref="O83:O86" si="54">O32</f>
        <v>#N/A</v>
      </c>
      <c r="P83" s="166" t="e">
        <f t="shared" ref="P83:P86" si="55">N83*O83</f>
        <v>#DIV/0!</v>
      </c>
    </row>
    <row r="84" spans="1:16">
      <c r="A84" s="34"/>
      <c r="B84" s="259" t="s">
        <v>157</v>
      </c>
      <c r="C84" s="264" t="e">
        <f t="shared" si="44"/>
        <v>#N/A</v>
      </c>
      <c r="D84" s="250" t="e">
        <f t="shared" si="45"/>
        <v>#N/A</v>
      </c>
      <c r="E84" s="264" t="e">
        <f t="shared" si="46"/>
        <v>#N/A</v>
      </c>
      <c r="F84" s="250" t="e">
        <f t="shared" si="50"/>
        <v>#N/A</v>
      </c>
      <c r="G84" s="259" t="s">
        <v>157</v>
      </c>
      <c r="H84" s="264" t="e">
        <f t="shared" si="47"/>
        <v>#DIV/0!</v>
      </c>
      <c r="I84" s="265" t="e">
        <f t="shared" si="48"/>
        <v>#DIV/0!</v>
      </c>
      <c r="J84" s="264" t="e">
        <f t="shared" si="51"/>
        <v>#N/A</v>
      </c>
      <c r="K84" s="166" t="e">
        <f t="shared" si="52"/>
        <v>#DIV/0!</v>
      </c>
      <c r="L84" s="259" t="s">
        <v>157</v>
      </c>
      <c r="M84" s="264" t="e">
        <f t="shared" si="53"/>
        <v>#DIV/0!</v>
      </c>
      <c r="N84" s="265" t="e">
        <f t="shared" si="49"/>
        <v>#DIV/0!</v>
      </c>
      <c r="O84" s="264" t="e">
        <f t="shared" si="54"/>
        <v>#N/A</v>
      </c>
      <c r="P84" s="166" t="e">
        <f t="shared" si="55"/>
        <v>#DIV/0!</v>
      </c>
    </row>
    <row r="85" spans="1:16">
      <c r="A85" s="34"/>
      <c r="B85" s="259" t="s">
        <v>158</v>
      </c>
      <c r="C85" s="264" t="e">
        <f t="shared" si="44"/>
        <v>#N/A</v>
      </c>
      <c r="D85" s="250" t="e">
        <f t="shared" si="45"/>
        <v>#N/A</v>
      </c>
      <c r="E85" s="264" t="e">
        <f t="shared" si="46"/>
        <v>#N/A</v>
      </c>
      <c r="F85" s="250" t="e">
        <f t="shared" si="50"/>
        <v>#N/A</v>
      </c>
      <c r="G85" s="259" t="s">
        <v>158</v>
      </c>
      <c r="H85" s="264" t="e">
        <f t="shared" si="47"/>
        <v>#DIV/0!</v>
      </c>
      <c r="I85" s="265" t="e">
        <f t="shared" si="48"/>
        <v>#DIV/0!</v>
      </c>
      <c r="J85" s="264" t="e">
        <f t="shared" si="51"/>
        <v>#N/A</v>
      </c>
      <c r="K85" s="166" t="e">
        <f t="shared" si="52"/>
        <v>#DIV/0!</v>
      </c>
      <c r="L85" s="259" t="s">
        <v>158</v>
      </c>
      <c r="M85" s="264" t="e">
        <f t="shared" si="53"/>
        <v>#DIV/0!</v>
      </c>
      <c r="N85" s="265" t="e">
        <f t="shared" si="49"/>
        <v>#DIV/0!</v>
      </c>
      <c r="O85" s="264" t="e">
        <f t="shared" si="54"/>
        <v>#N/A</v>
      </c>
      <c r="P85" s="166" t="e">
        <f t="shared" si="55"/>
        <v>#DIV/0!</v>
      </c>
    </row>
    <row r="86" spans="1:16">
      <c r="A86" s="34"/>
      <c r="B86" s="259" t="s">
        <v>25</v>
      </c>
      <c r="C86" s="264" t="e">
        <f t="shared" si="44"/>
        <v>#N/A</v>
      </c>
      <c r="D86" s="250" t="e">
        <f t="shared" si="45"/>
        <v>#N/A</v>
      </c>
      <c r="E86" s="264" t="e">
        <f t="shared" si="46"/>
        <v>#N/A</v>
      </c>
      <c r="F86" s="250" t="e">
        <f t="shared" si="50"/>
        <v>#N/A</v>
      </c>
      <c r="G86" s="259" t="s">
        <v>25</v>
      </c>
      <c r="H86" s="264" t="e">
        <f t="shared" si="47"/>
        <v>#DIV/0!</v>
      </c>
      <c r="I86" s="265" t="e">
        <f t="shared" si="48"/>
        <v>#DIV/0!</v>
      </c>
      <c r="J86" s="264" t="e">
        <f t="shared" si="51"/>
        <v>#N/A</v>
      </c>
      <c r="K86" s="166" t="e">
        <f t="shared" si="52"/>
        <v>#DIV/0!</v>
      </c>
      <c r="L86" s="259" t="s">
        <v>25</v>
      </c>
      <c r="M86" s="264" t="e">
        <f t="shared" si="53"/>
        <v>#DIV/0!</v>
      </c>
      <c r="N86" s="265" t="e">
        <f t="shared" si="49"/>
        <v>#DIV/0!</v>
      </c>
      <c r="O86" s="264" t="e">
        <f t="shared" si="54"/>
        <v>#N/A</v>
      </c>
      <c r="P86" s="166" t="e">
        <f t="shared" si="55"/>
        <v>#DIV/0!</v>
      </c>
    </row>
    <row r="87" spans="1:16">
      <c r="A87" s="34"/>
    </row>
    <row r="88" spans="1:16">
      <c r="A88" s="34"/>
      <c r="B88" s="101" t="s">
        <v>172</v>
      </c>
      <c r="C88" s="99"/>
      <c r="D88" s="99"/>
      <c r="E88" s="99"/>
      <c r="F88" s="99"/>
      <c r="G88" s="99"/>
      <c r="H88" s="99"/>
      <c r="I88" s="99"/>
      <c r="J88" s="99"/>
      <c r="K88" s="99"/>
      <c r="L88" s="99"/>
      <c r="M88" s="99"/>
      <c r="N88" s="99"/>
      <c r="O88" s="99"/>
      <c r="P88" s="99"/>
    </row>
    <row r="89" spans="1:16">
      <c r="A89" s="34"/>
    </row>
    <row r="90" spans="1:16" ht="15.75">
      <c r="A90" s="34"/>
      <c r="C90" s="269" t="s">
        <v>365</v>
      </c>
      <c r="D90" s="593" t="s">
        <v>142</v>
      </c>
      <c r="E90" s="594"/>
      <c r="F90" s="593" t="s">
        <v>124</v>
      </c>
      <c r="G90" s="594"/>
      <c r="H90" s="269" t="s">
        <v>366</v>
      </c>
    </row>
    <row r="91" spans="1:16" ht="15.75">
      <c r="A91" s="34"/>
      <c r="B91" s="269" t="s">
        <v>173</v>
      </c>
      <c r="C91" s="270" t="e">
        <f>'Route capacity parameters'!$C$9</f>
        <v>#DIV/0!</v>
      </c>
      <c r="D91" s="363">
        <f>'Project details'!$C34</f>
        <v>0</v>
      </c>
      <c r="E91" s="380">
        <f>IF(F91=0,0,(HLOOKUP($D91,Elasticities!$C$98:$E$102,2,FALSE)))</f>
        <v>0</v>
      </c>
      <c r="F91" s="363">
        <f>'Project details'!I34</f>
        <v>0</v>
      </c>
      <c r="G91" s="380">
        <f>IF(F91=0,0,(HLOOKUP($F91,Elasticities!$C$98:$E$102,2,FALSE)))</f>
        <v>0</v>
      </c>
      <c r="H91" s="272">
        <f>IF(F91=0,0,G91-E91)</f>
        <v>0</v>
      </c>
      <c r="I91" s="112"/>
      <c r="J91" s="112"/>
    </row>
    <row r="92" spans="1:16" ht="15.75">
      <c r="A92" s="34"/>
      <c r="B92" s="269" t="s">
        <v>94</v>
      </c>
      <c r="C92" s="270" t="e">
        <f>'Route capacity parameters'!$C$10</f>
        <v>#DIV/0!</v>
      </c>
      <c r="D92" s="363">
        <f>'Project details'!$C35</f>
        <v>0</v>
      </c>
      <c r="E92" s="380">
        <f>IF(F92=0,0,(HLOOKUP($D92,Elasticities!$C$98:$E$102,2,FALSE)))</f>
        <v>0</v>
      </c>
      <c r="F92" s="363">
        <f>'Project details'!I35</f>
        <v>0</v>
      </c>
      <c r="G92" s="380">
        <f>IF(F92=0,0,(HLOOKUP($F92,Elasticities!$C$98:$E$102,2,FALSE)))</f>
        <v>0</v>
      </c>
      <c r="H92" s="272">
        <f t="shared" ref="H92:H94" si="56">IF(F92=0,0,G92-E92)</f>
        <v>0</v>
      </c>
      <c r="I92" s="15"/>
      <c r="J92" s="15"/>
      <c r="K92" s="15"/>
      <c r="L92" s="15"/>
      <c r="M92" s="15"/>
      <c r="N92" s="15"/>
    </row>
    <row r="93" spans="1:16" ht="15.75">
      <c r="A93" s="34"/>
      <c r="B93" s="269" t="s">
        <v>225</v>
      </c>
      <c r="C93" s="270" t="e">
        <f>'Route capacity parameters'!$C$11</f>
        <v>#DIV/0!</v>
      </c>
      <c r="D93" s="363">
        <f>'Project details'!$C36</f>
        <v>0</v>
      </c>
      <c r="E93" s="380">
        <f>IF(F93=0,0,(HLOOKUP($D93,Elasticities!$C$98:$E$102,2,FALSE)))</f>
        <v>0</v>
      </c>
      <c r="F93" s="363">
        <f>'Project details'!I36</f>
        <v>0</v>
      </c>
      <c r="G93" s="380">
        <f>IF(F93=0,0,(HLOOKUP($F93,Elasticities!$C$98:$E$102,2,FALSE)))</f>
        <v>0</v>
      </c>
      <c r="H93" s="272">
        <f t="shared" si="56"/>
        <v>0</v>
      </c>
      <c r="I93" s="15"/>
      <c r="J93" s="15"/>
      <c r="K93" s="15"/>
      <c r="L93" s="15"/>
      <c r="M93" s="15"/>
      <c r="N93" s="15"/>
    </row>
    <row r="94" spans="1:16" ht="15.75">
      <c r="A94" s="34"/>
      <c r="B94" s="269" t="s">
        <v>53</v>
      </c>
      <c r="C94" s="270" t="e">
        <f>'Route capacity parameters'!$C$12</f>
        <v>#DIV/0!</v>
      </c>
      <c r="D94" s="363">
        <f>'Project details'!$C37</f>
        <v>0</v>
      </c>
      <c r="E94" s="380">
        <f>IF(F94=0,0,(HLOOKUP($D94,Elasticities!$C$98:$E$102,2,FALSE)))</f>
        <v>0</v>
      </c>
      <c r="F94" s="363">
        <f>'Project details'!I37</f>
        <v>0</v>
      </c>
      <c r="G94" s="380">
        <f>IF(F94=0,0,(HLOOKUP($F94,Elasticities!$C$98:$E$102,2,FALSE)))</f>
        <v>0</v>
      </c>
      <c r="H94" s="272">
        <f t="shared" si="56"/>
        <v>0</v>
      </c>
      <c r="J94" s="15"/>
      <c r="K94" s="15"/>
      <c r="L94" s="15"/>
      <c r="M94" s="251"/>
      <c r="N94" s="15"/>
    </row>
    <row r="95" spans="1:16" ht="15.75">
      <c r="A95" s="34"/>
      <c r="B95" s="269" t="s">
        <v>367</v>
      </c>
      <c r="E95" s="271" t="e">
        <f>SUMPRODUCT(C91:C94,E91:E94)</f>
        <v>#DIV/0!</v>
      </c>
      <c r="G95" s="271" t="e">
        <f>SUMPRODUCT(C91:C94,G91:G94)</f>
        <v>#DIV/0!</v>
      </c>
      <c r="H95" s="271" t="e">
        <f>SUMPRODUCT(C91:C94,H91:H94)</f>
        <v>#DIV/0!</v>
      </c>
      <c r="I95" s="15"/>
      <c r="J95" s="15"/>
      <c r="K95" s="15"/>
      <c r="L95" s="15"/>
      <c r="M95" s="15"/>
    </row>
    <row r="96" spans="1:16">
      <c r="A96" s="34"/>
      <c r="G96" s="15"/>
      <c r="H96" s="15"/>
      <c r="I96" s="15"/>
      <c r="J96" s="15"/>
      <c r="K96" s="15"/>
    </row>
    <row r="97" spans="1:16">
      <c r="A97" s="34"/>
      <c r="B97" s="101" t="s">
        <v>174</v>
      </c>
      <c r="C97" s="99"/>
      <c r="D97" s="99"/>
      <c r="E97" s="99"/>
      <c r="F97" s="99"/>
      <c r="G97" s="131"/>
      <c r="H97" s="99"/>
      <c r="I97" s="99"/>
      <c r="J97" s="99"/>
      <c r="K97" s="99"/>
      <c r="L97" s="99"/>
      <c r="M97" s="99"/>
      <c r="N97" s="99"/>
      <c r="O97" s="99"/>
      <c r="P97" s="99"/>
    </row>
    <row r="98" spans="1:16">
      <c r="A98" s="34"/>
      <c r="G98" s="15"/>
    </row>
    <row r="99" spans="1:16" ht="15.75">
      <c r="A99" s="34"/>
      <c r="C99" s="593" t="s">
        <v>142</v>
      </c>
      <c r="D99" s="594"/>
      <c r="E99" s="593" t="s">
        <v>124</v>
      </c>
      <c r="F99" s="594"/>
      <c r="G99" s="269" t="s">
        <v>366</v>
      </c>
      <c r="I99" s="15"/>
    </row>
    <row r="100" spans="1:16" ht="15.75">
      <c r="A100" s="34"/>
      <c r="B100" s="269" t="s">
        <v>149</v>
      </c>
      <c r="C100" s="363">
        <f>'Project details'!$C$25</f>
        <v>0</v>
      </c>
      <c r="D100" s="380">
        <f>IF(C100=0,0,(HLOOKUP($C100,Elasticities!$C$106:$D$107,2,FALSE)))</f>
        <v>0</v>
      </c>
      <c r="E100" s="363">
        <f>'Project details'!$F$25</f>
        <v>0</v>
      </c>
      <c r="F100" s="380">
        <f>IF(E100=0,0,(HLOOKUP($E100,Elasticities!$C$106:$D$107,2,FALSE)))</f>
        <v>0</v>
      </c>
      <c r="G100" s="272">
        <f>IF(E100=0,0,F100-D100)</f>
        <v>0</v>
      </c>
      <c r="I100" s="15"/>
    </row>
    <row r="101" spans="1:16">
      <c r="A101" s="34"/>
      <c r="G101" s="15"/>
    </row>
    <row r="102" spans="1:16">
      <c r="A102" s="34"/>
      <c r="E102" s="15"/>
      <c r="F102" s="15"/>
      <c r="G102" s="15"/>
    </row>
    <row r="103" spans="1:16">
      <c r="A103" s="34"/>
      <c r="B103" s="101" t="s">
        <v>150</v>
      </c>
      <c r="C103" s="99"/>
      <c r="D103" s="99"/>
      <c r="E103" s="131"/>
      <c r="F103" s="131"/>
      <c r="G103" s="131"/>
      <c r="H103" s="99"/>
      <c r="I103" s="99"/>
      <c r="J103" s="99"/>
      <c r="K103" s="99"/>
      <c r="L103" s="99"/>
      <c r="M103" s="99"/>
      <c r="N103" s="99"/>
      <c r="O103" s="99"/>
      <c r="P103" s="99"/>
    </row>
    <row r="104" spans="1:16">
      <c r="A104" s="34"/>
      <c r="E104" s="15"/>
      <c r="F104" s="15"/>
      <c r="G104" s="15"/>
    </row>
    <row r="105" spans="1:16" ht="15.75">
      <c r="A105" s="34"/>
      <c r="C105" s="593" t="s">
        <v>142</v>
      </c>
      <c r="D105" s="594"/>
      <c r="E105" s="593" t="s">
        <v>124</v>
      </c>
      <c r="F105" s="594"/>
      <c r="G105" s="269" t="s">
        <v>366</v>
      </c>
      <c r="H105" s="15"/>
      <c r="I105" s="15"/>
    </row>
    <row r="106" spans="1:16" ht="15.75">
      <c r="A106" s="34"/>
      <c r="B106" s="269" t="s">
        <v>642</v>
      </c>
      <c r="C106" s="363">
        <f>'Project details'!$C$17</f>
        <v>0</v>
      </c>
      <c r="D106" s="273">
        <f>IF(C106=0,0,IF('Station parameters'!$C$15="Yes",VLOOKUP($C$106,Elasticities!$B$112:$F$114,2,FALSE),IF('Station parameters'!$C$16="Yes",VLOOKUP($C$106,Elasticities!$B$112:$F$114,3,FALSE),IF('Station parameters'!$C$17="Yes",VLOOKUP($C$106,Elasticities!$B$112:$F$114,4,FALSE),VLOOKUP($C$106,Elasticities!$B$112:$F$114,5,FALSE)))))</f>
        <v>0</v>
      </c>
      <c r="E106" s="363">
        <f>'Project details'!$F$17</f>
        <v>0</v>
      </c>
      <c r="F106" s="273">
        <f>IF(E106=0,0,IF('Station parameters'!$C$15="Yes",VLOOKUP($E$106,Elasticities!$B$112:$F$114,2,FALSE),IF('Station parameters'!$C$16="Yes",VLOOKUP($E$106,Elasticities!$B$112:$F$114,3,FALSE),IF('Station parameters'!$C$17="Yes",VLOOKUP($E$106,Elasticities!$B$112:$F$114,4,FALSE),VLOOKUP($E$106,Elasticities!$B$112:$F$114,5,FALSE)))))</f>
        <v>0</v>
      </c>
      <c r="G106" s="272">
        <f>IF(E106=0,0,$F106-$D106)</f>
        <v>0</v>
      </c>
      <c r="H106" s="15"/>
      <c r="I106" s="15"/>
    </row>
    <row r="107" spans="1:16">
      <c r="A107" s="34"/>
      <c r="E107" s="15"/>
      <c r="F107" s="15"/>
      <c r="G107" s="15"/>
    </row>
    <row r="108" spans="1:16">
      <c r="A108" s="34"/>
      <c r="B108" s="101" t="s">
        <v>371</v>
      </c>
      <c r="C108" s="99"/>
      <c r="D108" s="99"/>
      <c r="E108" s="131"/>
      <c r="F108" s="131"/>
      <c r="G108" s="131"/>
      <c r="H108" s="99"/>
      <c r="I108" s="99"/>
      <c r="J108" s="99"/>
      <c r="K108" s="99"/>
      <c r="L108" s="99"/>
      <c r="M108" s="99"/>
      <c r="N108" s="99"/>
      <c r="O108" s="99"/>
      <c r="P108" s="99"/>
    </row>
    <row r="109" spans="1:16">
      <c r="A109" s="34"/>
      <c r="E109" s="15"/>
      <c r="F109" s="15"/>
      <c r="G109" s="15"/>
    </row>
    <row r="110" spans="1:16">
      <c r="A110" s="34"/>
      <c r="B110" s="86" t="s">
        <v>370</v>
      </c>
    </row>
    <row r="111" spans="1:16" ht="15.75">
      <c r="A111" s="34"/>
      <c r="B111" s="86"/>
      <c r="C111" s="269" t="s">
        <v>155</v>
      </c>
      <c r="D111" s="269" t="s">
        <v>156</v>
      </c>
    </row>
    <row r="112" spans="1:16" ht="15.75">
      <c r="A112" s="34"/>
      <c r="B112" s="269" t="s">
        <v>59</v>
      </c>
      <c r="C112" s="273" t="e">
        <f>$H$95</f>
        <v>#DIV/0!</v>
      </c>
      <c r="D112" s="273" t="e">
        <f>$H$95</f>
        <v>#DIV/0!</v>
      </c>
    </row>
    <row r="113" spans="1:16" ht="15.75">
      <c r="A113" s="34"/>
      <c r="B113" s="269" t="s">
        <v>372</v>
      </c>
      <c r="C113" s="274" t="s">
        <v>175</v>
      </c>
      <c r="D113" s="273">
        <f>G100</f>
        <v>0</v>
      </c>
    </row>
    <row r="114" spans="1:16" ht="15.75">
      <c r="A114" s="34"/>
      <c r="B114" s="269" t="s">
        <v>140</v>
      </c>
      <c r="C114" s="273">
        <f>G106</f>
        <v>0</v>
      </c>
      <c r="D114" s="274" t="s">
        <v>175</v>
      </c>
    </row>
    <row r="115" spans="1:16" ht="15.75">
      <c r="A115" s="34"/>
      <c r="B115" s="269" t="s">
        <v>373</v>
      </c>
      <c r="C115" s="317" t="e">
        <f>IF(Option3="No",0,IF($E$106="No dedicated cycle parking", SUM(C112:C114), C114+(0.5*C112)))</f>
        <v>#DIV/0!</v>
      </c>
      <c r="D115" s="317" t="e">
        <f>IF(Option1="No",0,IF($E$100="No", SUM(D112:D114), D113+(0.25*D112)))</f>
        <v>#DIV/0!</v>
      </c>
    </row>
    <row r="116" spans="1:16">
      <c r="A116" s="34"/>
    </row>
    <row r="117" spans="1:16">
      <c r="A117" s="34"/>
      <c r="B117" s="86" t="s">
        <v>379</v>
      </c>
    </row>
    <row r="118" spans="1:16">
      <c r="A118" s="34"/>
      <c r="B118" s="14" t="s">
        <v>47</v>
      </c>
      <c r="C118" s="158" t="s">
        <v>205</v>
      </c>
      <c r="D118" s="158" t="s">
        <v>27</v>
      </c>
      <c r="H118" s="14" t="s">
        <v>641</v>
      </c>
      <c r="I118" s="158" t="s">
        <v>205</v>
      </c>
      <c r="J118" s="158" t="s">
        <v>27</v>
      </c>
      <c r="K118" s="158"/>
      <c r="M118" s="14" t="s">
        <v>364</v>
      </c>
      <c r="N118" s="158" t="s">
        <v>205</v>
      </c>
      <c r="O118" s="158" t="s">
        <v>27</v>
      </c>
    </row>
    <row r="119" spans="1:16">
      <c r="A119" s="34"/>
      <c r="B119" s="23" t="s">
        <v>206</v>
      </c>
      <c r="C119" s="245"/>
      <c r="D119" s="245"/>
      <c r="H119" s="61" t="s">
        <v>323</v>
      </c>
      <c r="I119" s="245" t="e">
        <f>$I$121*VLOOKUP($H119,DiversionCycleAccess,4,FALSE)</f>
        <v>#DIV/0!</v>
      </c>
      <c r="J119" s="245"/>
      <c r="K119" s="244"/>
      <c r="M119" s="61" t="s">
        <v>323</v>
      </c>
      <c r="N119" s="245" t="e">
        <f>$N$121*VLOOKUP($M119,DiversionCycleEgress,2,FALSE)</f>
        <v>#DIV/0!</v>
      </c>
      <c r="O119" s="245"/>
    </row>
    <row r="120" spans="1:16">
      <c r="A120" s="34"/>
      <c r="B120" s="165" t="s">
        <v>42</v>
      </c>
      <c r="C120" s="245"/>
      <c r="D120" s="245"/>
      <c r="H120" s="249" t="s">
        <v>42</v>
      </c>
      <c r="I120" s="245" t="e">
        <f>$I$121*VLOOKUP($H120,DiversionCycleAccess,4,FALSE)</f>
        <v>#DIV/0!</v>
      </c>
      <c r="J120" s="245"/>
      <c r="K120" s="244"/>
      <c r="M120" s="249" t="s">
        <v>42</v>
      </c>
      <c r="N120" s="245" t="e">
        <f>$N$121*VLOOKUP($M120,DiversionCycleEgress,2,FALSE)</f>
        <v>#DIV/0!</v>
      </c>
      <c r="O120" s="245"/>
    </row>
    <row r="121" spans="1:16">
      <c r="A121" s="34"/>
      <c r="B121" s="165" t="s">
        <v>40</v>
      </c>
      <c r="C121" s="245"/>
      <c r="D121" s="245"/>
      <c r="H121" s="249" t="s">
        <v>40</v>
      </c>
      <c r="I121" s="248" t="e">
        <f>C115*D13</f>
        <v>#DIV/0!</v>
      </c>
      <c r="J121" s="248"/>
      <c r="K121" s="244"/>
      <c r="M121" s="247" t="s">
        <v>40</v>
      </c>
      <c r="N121" s="248" t="e">
        <f>D115*G13</f>
        <v>#DIV/0!</v>
      </c>
      <c r="O121" s="248"/>
    </row>
    <row r="122" spans="1:16">
      <c r="A122" s="34"/>
      <c r="B122" s="165" t="s">
        <v>157</v>
      </c>
      <c r="C122" s="245"/>
      <c r="D122" s="245"/>
      <c r="H122" s="249" t="s">
        <v>157</v>
      </c>
      <c r="I122" s="245" t="e">
        <f>$I$121*VLOOKUP($H122,DiversionCycleAccess,4,FALSE)</f>
        <v>#DIV/0!</v>
      </c>
      <c r="J122" s="245"/>
      <c r="K122" s="244"/>
      <c r="M122" s="249" t="s">
        <v>157</v>
      </c>
      <c r="N122" s="245" t="e">
        <f>$N$121*VLOOKUP($M122,DiversionCycleEgress,2,FALSE)</f>
        <v>#DIV/0!</v>
      </c>
      <c r="O122" s="245"/>
    </row>
    <row r="123" spans="1:16">
      <c r="A123" s="34"/>
      <c r="B123" s="165" t="s">
        <v>158</v>
      </c>
      <c r="C123" s="245"/>
      <c r="D123" s="245"/>
      <c r="H123" s="249" t="s">
        <v>158</v>
      </c>
      <c r="I123" s="245" t="e">
        <f>$I$121*VLOOKUP($H123,DiversionCycleAccess,4,FALSE)</f>
        <v>#DIV/0!</v>
      </c>
      <c r="J123" s="245"/>
      <c r="K123" s="244"/>
      <c r="M123" s="249" t="s">
        <v>158</v>
      </c>
      <c r="N123" s="245" t="e">
        <f>$N$121*VLOOKUP($M123,DiversionCycleEgress,2,FALSE)</f>
        <v>#DIV/0!</v>
      </c>
      <c r="O123" s="245"/>
    </row>
    <row r="124" spans="1:16">
      <c r="A124" s="34"/>
      <c r="B124" s="144" t="s">
        <v>25</v>
      </c>
      <c r="C124" s="245"/>
      <c r="D124" s="245"/>
      <c r="F124" s="163"/>
    </row>
    <row r="125" spans="1:16">
      <c r="A125" s="34"/>
    </row>
    <row r="126" spans="1:16">
      <c r="A126" s="34"/>
      <c r="B126" s="86" t="s">
        <v>166</v>
      </c>
      <c r="C126" s="118"/>
      <c r="D126" s="240" t="s">
        <v>167</v>
      </c>
      <c r="E126" s="239" t="e">
        <f>E77</f>
        <v>#N/A</v>
      </c>
      <c r="F126" s="127" t="s">
        <v>168</v>
      </c>
      <c r="G126" s="241" t="s">
        <v>169</v>
      </c>
      <c r="H126" s="239">
        <f>H77</f>
        <v>0</v>
      </c>
      <c r="J126" s="241" t="s">
        <v>170</v>
      </c>
      <c r="K126" s="239">
        <f>K77</f>
        <v>0</v>
      </c>
    </row>
    <row r="127" spans="1:16">
      <c r="A127" s="34"/>
      <c r="B127" s="108"/>
      <c r="C127" s="118"/>
      <c r="D127" s="119"/>
      <c r="E127" s="119"/>
      <c r="F127" s="118"/>
      <c r="G127" s="120"/>
      <c r="H127" s="119"/>
    </row>
    <row r="128" spans="1:16">
      <c r="A128" s="34"/>
      <c r="B128" s="395"/>
      <c r="C128" s="596" t="s">
        <v>47</v>
      </c>
      <c r="D128" s="597"/>
      <c r="E128" s="597"/>
      <c r="F128" s="598"/>
      <c r="H128" s="596" t="s">
        <v>639</v>
      </c>
      <c r="I128" s="597"/>
      <c r="J128" s="597"/>
      <c r="K128" s="598"/>
      <c r="M128" s="596" t="s">
        <v>153</v>
      </c>
      <c r="N128" s="597"/>
      <c r="O128" s="597"/>
      <c r="P128" s="598"/>
    </row>
    <row r="129" spans="1:16" ht="30">
      <c r="A129" s="34"/>
      <c r="B129" s="258" t="s">
        <v>47</v>
      </c>
      <c r="C129" s="258" t="s">
        <v>159</v>
      </c>
      <c r="D129" s="258" t="s">
        <v>200</v>
      </c>
      <c r="E129" s="258" t="s">
        <v>363</v>
      </c>
      <c r="F129" s="258" t="s">
        <v>201</v>
      </c>
      <c r="G129" s="258" t="s">
        <v>93</v>
      </c>
      <c r="H129" s="258" t="s">
        <v>159</v>
      </c>
      <c r="I129" s="258" t="s">
        <v>200</v>
      </c>
      <c r="J129" s="258" t="s">
        <v>363</v>
      </c>
      <c r="K129" s="258" t="s">
        <v>202</v>
      </c>
      <c r="L129" s="258" t="s">
        <v>93</v>
      </c>
      <c r="M129" s="258" t="s">
        <v>152</v>
      </c>
      <c r="N129" s="258" t="s">
        <v>200</v>
      </c>
      <c r="O129" s="258" t="s">
        <v>363</v>
      </c>
      <c r="P129" s="258" t="s">
        <v>203</v>
      </c>
    </row>
    <row r="130" spans="1:16">
      <c r="A130" s="34"/>
      <c r="B130" s="259" t="s">
        <v>206</v>
      </c>
      <c r="C130" s="264" t="e">
        <f>D130/$H$126</f>
        <v>#DIV/0!</v>
      </c>
      <c r="D130" s="250" t="e">
        <f>IF(C81=0,0,D81+C119)</f>
        <v>#DIV/0!</v>
      </c>
      <c r="E130" s="264" t="e">
        <f>IF(C130=0,0,F130/D130)</f>
        <v>#DIV/0!</v>
      </c>
      <c r="F130" s="250" t="e">
        <f>IF(C130=0,0,F81+D119)</f>
        <v>#DIV/0!</v>
      </c>
      <c r="G130" s="268" t="s">
        <v>323</v>
      </c>
      <c r="H130" s="264" t="e">
        <f>I130/$H$126</f>
        <v>#DIV/0!</v>
      </c>
      <c r="I130" s="265" t="e">
        <f>I81+I119</f>
        <v>#DIV/0!</v>
      </c>
      <c r="J130" s="260"/>
      <c r="K130" s="263"/>
      <c r="L130" s="268" t="s">
        <v>323</v>
      </c>
      <c r="M130" s="264" t="e">
        <f>N130/$K$126</f>
        <v>#DIV/0!</v>
      </c>
      <c r="N130" s="265" t="e">
        <f>N81+N119</f>
        <v>#DIV/0!</v>
      </c>
      <c r="O130" s="104"/>
      <c r="P130" s="104"/>
    </row>
    <row r="131" spans="1:16">
      <c r="A131" s="34"/>
      <c r="B131" s="259" t="s">
        <v>42</v>
      </c>
      <c r="C131" s="264" t="e">
        <f t="shared" ref="C131:C135" si="57">D131/$H$126</f>
        <v>#N/A</v>
      </c>
      <c r="D131" s="250" t="e">
        <f t="shared" ref="D131:D135" si="58">IF(C82=0,0,D82+C120)</f>
        <v>#N/A</v>
      </c>
      <c r="E131" s="264" t="e">
        <f t="shared" ref="E131:E135" si="59">IF(C131=0,0,F131/D131)</f>
        <v>#N/A</v>
      </c>
      <c r="F131" s="250" t="e">
        <f t="shared" ref="F131:F135" si="60">IF(C131=0,0,F82+D120)</f>
        <v>#N/A</v>
      </c>
      <c r="G131" s="259" t="s">
        <v>42</v>
      </c>
      <c r="H131" s="264" t="e">
        <f t="shared" ref="H131:H135" si="61">I131/$H$126</f>
        <v>#DIV/0!</v>
      </c>
      <c r="I131" s="265" t="e">
        <f t="shared" ref="I131:I135" si="62">I82+I120</f>
        <v>#DIV/0!</v>
      </c>
      <c r="J131" s="264" t="e">
        <f>J82</f>
        <v>#N/A</v>
      </c>
      <c r="K131" s="166" t="e">
        <f>I131*J131</f>
        <v>#DIV/0!</v>
      </c>
      <c r="L131" s="259" t="s">
        <v>42</v>
      </c>
      <c r="M131" s="264" t="e">
        <f t="shared" ref="M131:M135" si="63">N131/$K$126</f>
        <v>#DIV/0!</v>
      </c>
      <c r="N131" s="265" t="e">
        <f t="shared" ref="N131:N135" si="64">N82+N120</f>
        <v>#DIV/0!</v>
      </c>
      <c r="O131" s="264" t="e">
        <f>O82</f>
        <v>#N/A</v>
      </c>
      <c r="P131" s="166" t="e">
        <f>N131*O131</f>
        <v>#DIV/0!</v>
      </c>
    </row>
    <row r="132" spans="1:16">
      <c r="A132" s="34"/>
      <c r="B132" s="259" t="s">
        <v>40</v>
      </c>
      <c r="C132" s="264" t="e">
        <f t="shared" si="57"/>
        <v>#N/A</v>
      </c>
      <c r="D132" s="250" t="e">
        <f t="shared" si="58"/>
        <v>#N/A</v>
      </c>
      <c r="E132" s="264" t="e">
        <f t="shared" si="59"/>
        <v>#N/A</v>
      </c>
      <c r="F132" s="250" t="e">
        <f t="shared" si="60"/>
        <v>#N/A</v>
      </c>
      <c r="G132" s="259" t="s">
        <v>40</v>
      </c>
      <c r="H132" s="264" t="e">
        <f t="shared" si="61"/>
        <v>#DIV/0!</v>
      </c>
      <c r="I132" s="265" t="e">
        <f t="shared" si="62"/>
        <v>#DIV/0!</v>
      </c>
      <c r="J132" s="264" t="e">
        <f t="shared" ref="J132:J135" si="65">J83</f>
        <v>#N/A</v>
      </c>
      <c r="K132" s="166" t="e">
        <f t="shared" ref="K132:K135" si="66">I132*J132</f>
        <v>#DIV/0!</v>
      </c>
      <c r="L132" s="259" t="s">
        <v>40</v>
      </c>
      <c r="M132" s="264" t="e">
        <f t="shared" si="63"/>
        <v>#DIV/0!</v>
      </c>
      <c r="N132" s="265" t="e">
        <f t="shared" si="64"/>
        <v>#DIV/0!</v>
      </c>
      <c r="O132" s="264" t="e">
        <f t="shared" ref="O132:O135" si="67">O83</f>
        <v>#N/A</v>
      </c>
      <c r="P132" s="166" t="e">
        <f t="shared" ref="P132:P135" si="68">N132*O132</f>
        <v>#DIV/0!</v>
      </c>
    </row>
    <row r="133" spans="1:16">
      <c r="A133" s="34"/>
      <c r="B133" s="259" t="s">
        <v>157</v>
      </c>
      <c r="C133" s="264" t="e">
        <f t="shared" si="57"/>
        <v>#N/A</v>
      </c>
      <c r="D133" s="250" t="e">
        <f t="shared" si="58"/>
        <v>#N/A</v>
      </c>
      <c r="E133" s="264" t="e">
        <f t="shared" si="59"/>
        <v>#N/A</v>
      </c>
      <c r="F133" s="250" t="e">
        <f t="shared" si="60"/>
        <v>#N/A</v>
      </c>
      <c r="G133" s="259" t="s">
        <v>157</v>
      </c>
      <c r="H133" s="264" t="e">
        <f t="shared" si="61"/>
        <v>#DIV/0!</v>
      </c>
      <c r="I133" s="265" t="e">
        <f t="shared" si="62"/>
        <v>#DIV/0!</v>
      </c>
      <c r="J133" s="264" t="e">
        <f t="shared" si="65"/>
        <v>#N/A</v>
      </c>
      <c r="K133" s="166" t="e">
        <f t="shared" si="66"/>
        <v>#DIV/0!</v>
      </c>
      <c r="L133" s="259" t="s">
        <v>157</v>
      </c>
      <c r="M133" s="264" t="e">
        <f t="shared" si="63"/>
        <v>#DIV/0!</v>
      </c>
      <c r="N133" s="265" t="e">
        <f t="shared" si="64"/>
        <v>#DIV/0!</v>
      </c>
      <c r="O133" s="264" t="e">
        <f t="shared" si="67"/>
        <v>#N/A</v>
      </c>
      <c r="P133" s="166" t="e">
        <f t="shared" si="68"/>
        <v>#DIV/0!</v>
      </c>
    </row>
    <row r="134" spans="1:16">
      <c r="A134" s="34"/>
      <c r="B134" s="259" t="s">
        <v>158</v>
      </c>
      <c r="C134" s="264" t="e">
        <f t="shared" si="57"/>
        <v>#N/A</v>
      </c>
      <c r="D134" s="250" t="e">
        <f t="shared" si="58"/>
        <v>#N/A</v>
      </c>
      <c r="E134" s="264" t="e">
        <f t="shared" si="59"/>
        <v>#N/A</v>
      </c>
      <c r="F134" s="250" t="e">
        <f t="shared" si="60"/>
        <v>#N/A</v>
      </c>
      <c r="G134" s="259" t="s">
        <v>158</v>
      </c>
      <c r="H134" s="264" t="e">
        <f t="shared" si="61"/>
        <v>#DIV/0!</v>
      </c>
      <c r="I134" s="265" t="e">
        <f t="shared" si="62"/>
        <v>#DIV/0!</v>
      </c>
      <c r="J134" s="264" t="e">
        <f t="shared" si="65"/>
        <v>#N/A</v>
      </c>
      <c r="K134" s="166" t="e">
        <f t="shared" si="66"/>
        <v>#DIV/0!</v>
      </c>
      <c r="L134" s="259" t="s">
        <v>158</v>
      </c>
      <c r="M134" s="264" t="e">
        <f t="shared" si="63"/>
        <v>#DIV/0!</v>
      </c>
      <c r="N134" s="265" t="e">
        <f t="shared" si="64"/>
        <v>#DIV/0!</v>
      </c>
      <c r="O134" s="264" t="e">
        <f t="shared" si="67"/>
        <v>#N/A</v>
      </c>
      <c r="P134" s="166" t="e">
        <f t="shared" si="68"/>
        <v>#DIV/0!</v>
      </c>
    </row>
    <row r="135" spans="1:16">
      <c r="A135" s="34"/>
      <c r="B135" s="259" t="s">
        <v>25</v>
      </c>
      <c r="C135" s="264" t="e">
        <f t="shared" si="57"/>
        <v>#N/A</v>
      </c>
      <c r="D135" s="250" t="e">
        <f t="shared" si="58"/>
        <v>#N/A</v>
      </c>
      <c r="E135" s="264" t="e">
        <f t="shared" si="59"/>
        <v>#N/A</v>
      </c>
      <c r="F135" s="250" t="e">
        <f t="shared" si="60"/>
        <v>#N/A</v>
      </c>
      <c r="G135" s="259" t="s">
        <v>25</v>
      </c>
      <c r="H135" s="264" t="e">
        <f t="shared" si="61"/>
        <v>#DIV/0!</v>
      </c>
      <c r="I135" s="265" t="e">
        <f t="shared" si="62"/>
        <v>#DIV/0!</v>
      </c>
      <c r="J135" s="264" t="e">
        <f t="shared" si="65"/>
        <v>#N/A</v>
      </c>
      <c r="K135" s="166" t="e">
        <f t="shared" si="66"/>
        <v>#DIV/0!</v>
      </c>
      <c r="L135" s="259" t="s">
        <v>25</v>
      </c>
      <c r="M135" s="264" t="e">
        <f t="shared" si="63"/>
        <v>#DIV/0!</v>
      </c>
      <c r="N135" s="265" t="e">
        <f t="shared" si="64"/>
        <v>#DIV/0!</v>
      </c>
      <c r="O135" s="264" t="e">
        <f t="shared" si="67"/>
        <v>#N/A</v>
      </c>
      <c r="P135" s="166" t="e">
        <f t="shared" si="68"/>
        <v>#DIV/0!</v>
      </c>
    </row>
    <row r="136" spans="1:16">
      <c r="A136" s="34"/>
    </row>
    <row r="137" spans="1:16">
      <c r="A137" s="34"/>
      <c r="B137" s="101" t="s">
        <v>333</v>
      </c>
      <c r="C137" s="99"/>
      <c r="D137" s="99"/>
      <c r="E137" s="99"/>
      <c r="F137" s="99"/>
      <c r="G137" s="99"/>
      <c r="H137" s="99"/>
      <c r="I137" s="99"/>
      <c r="J137" s="99"/>
      <c r="K137" s="99"/>
      <c r="L137" s="99"/>
      <c r="M137" s="99"/>
      <c r="N137" s="99"/>
      <c r="O137" s="99"/>
      <c r="P137" s="99"/>
    </row>
    <row r="138" spans="1:16">
      <c r="A138" s="34"/>
    </row>
    <row r="139" spans="1:16">
      <c r="A139" s="34"/>
      <c r="B139" s="86" t="s">
        <v>339</v>
      </c>
    </row>
    <row r="140" spans="1:16">
      <c r="A140" s="34"/>
      <c r="B140" s="86"/>
      <c r="H140" s="155" t="s">
        <v>358</v>
      </c>
      <c r="I140" s="214"/>
      <c r="J140" s="156"/>
      <c r="K140" s="155" t="s">
        <v>640</v>
      </c>
      <c r="L140" s="214"/>
      <c r="M140" s="156"/>
      <c r="N140" s="155" t="s">
        <v>387</v>
      </c>
      <c r="O140" s="214"/>
      <c r="P140" s="156"/>
    </row>
    <row r="141" spans="1:16">
      <c r="A141" s="34"/>
      <c r="B141" s="238" t="s">
        <v>374</v>
      </c>
      <c r="C141" s="238" t="s">
        <v>304</v>
      </c>
      <c r="D141" s="238" t="s">
        <v>356</v>
      </c>
      <c r="E141" s="238" t="s">
        <v>357</v>
      </c>
      <c r="F141" s="238" t="s">
        <v>355</v>
      </c>
      <c r="G141" s="238" t="s">
        <v>359</v>
      </c>
      <c r="H141" s="238" t="s">
        <v>360</v>
      </c>
      <c r="I141" s="238" t="s">
        <v>329</v>
      </c>
      <c r="J141" s="238" t="s">
        <v>361</v>
      </c>
      <c r="K141" s="238" t="s">
        <v>360</v>
      </c>
      <c r="L141" s="238" t="s">
        <v>329</v>
      </c>
      <c r="M141" s="238" t="s">
        <v>361</v>
      </c>
      <c r="N141" s="238" t="s">
        <v>360</v>
      </c>
      <c r="O141" s="238" t="s">
        <v>329</v>
      </c>
      <c r="P141" s="238" t="s">
        <v>361</v>
      </c>
    </row>
    <row r="142" spans="1:16">
      <c r="A142" s="34"/>
      <c r="B142" s="595" t="s">
        <v>30</v>
      </c>
      <c r="C142" s="238" t="s">
        <v>334</v>
      </c>
      <c r="D142" s="242">
        <f>'Project details'!$K99</f>
        <v>0</v>
      </c>
      <c r="E142" s="242">
        <f>'Project details'!N99</f>
        <v>0</v>
      </c>
      <c r="F142" s="242">
        <f>IF(Option3="No",0,(E142-D142)/60)</f>
        <v>0</v>
      </c>
      <c r="G142" s="243">
        <f>'Project details'!$K$70</f>
        <v>0</v>
      </c>
      <c r="H142" s="242" t="e">
        <f>$H$148*$G142</f>
        <v>#DIV/0!</v>
      </c>
      <c r="I142" s="277" t="e">
        <f>$F142/VLOOKUP('Station parameters'!$O$3,HomeCycleGJT,8,FALSE)*Elasticities!$C$119</f>
        <v>#N/A</v>
      </c>
      <c r="J142" s="242" t="e">
        <f>H142*I142</f>
        <v>#DIV/0!</v>
      </c>
      <c r="K142" s="242" t="e">
        <f>$K$148*$G142</f>
        <v>#DIV/0!</v>
      </c>
      <c r="L142" s="277" t="e">
        <f>$F142/VLOOKUP('Station parameters'!$O$3,HomeCycleGJT,7,FALSE)*Elasticities!$C$119</f>
        <v>#N/A</v>
      </c>
      <c r="M142" s="242" t="e">
        <f>K142*L142</f>
        <v>#DIV/0!</v>
      </c>
      <c r="N142" s="242" t="e">
        <f>$N$148*$G142</f>
        <v>#DIV/0!</v>
      </c>
      <c r="O142" s="277" t="e">
        <f>$F142/VLOOKUP('Station parameters'!$O$3,DestinationCycleGJT,7,FALSE)*Elasticities!$C$119</f>
        <v>#N/A</v>
      </c>
      <c r="P142" s="242" t="e">
        <f>N142*O142</f>
        <v>#DIV/0!</v>
      </c>
    </row>
    <row r="143" spans="1:16">
      <c r="A143" s="34"/>
      <c r="B143" s="595"/>
      <c r="C143" s="238" t="s">
        <v>335</v>
      </c>
      <c r="D143" s="242">
        <f>'Project details'!$K140</f>
        <v>0</v>
      </c>
      <c r="E143" s="242">
        <f>'Project details'!N140</f>
        <v>0</v>
      </c>
      <c r="F143" s="242">
        <f>IF(Option3="No",0,(E143-D143)/60)</f>
        <v>0</v>
      </c>
      <c r="G143" s="243">
        <f>'Project details'!$K$111</f>
        <v>0</v>
      </c>
      <c r="H143" s="242" t="e">
        <f t="shared" ref="H143:H146" si="69">$H$148*$G143</f>
        <v>#DIV/0!</v>
      </c>
      <c r="I143" s="277" t="e">
        <f>$F143/VLOOKUP('Station parameters'!$O$3,HomeCycleGJT,8,FALSE)*Elasticities!$C$119</f>
        <v>#N/A</v>
      </c>
      <c r="J143" s="242" t="e">
        <f t="shared" ref="J143:J146" si="70">H143*I143</f>
        <v>#DIV/0!</v>
      </c>
      <c r="K143" s="242" t="e">
        <f t="shared" ref="K143:K146" si="71">$K$148*$G143</f>
        <v>#DIV/0!</v>
      </c>
      <c r="L143" s="277" t="e">
        <f>$F143/VLOOKUP('Station parameters'!$O$3,HomeCycleGJT,7,FALSE)*Elasticities!$C$119</f>
        <v>#N/A</v>
      </c>
      <c r="M143" s="242" t="e">
        <f t="shared" ref="M143:M146" si="72">K143*L143</f>
        <v>#DIV/0!</v>
      </c>
      <c r="N143" s="242" t="e">
        <f t="shared" ref="N143:N146" si="73">$N$148*$G143</f>
        <v>#DIV/0!</v>
      </c>
      <c r="O143" s="277" t="e">
        <f>$F143/VLOOKUP('Station parameters'!$O$3,DestinationCycleGJT,7,FALSE)*Elasticities!$C$119</f>
        <v>#N/A</v>
      </c>
      <c r="P143" s="242" t="e">
        <f t="shared" ref="P143:P146" si="74">N143*O143</f>
        <v>#DIV/0!</v>
      </c>
    </row>
    <row r="144" spans="1:16">
      <c r="A144" s="34"/>
      <c r="B144" s="595"/>
      <c r="C144" s="238" t="s">
        <v>336</v>
      </c>
      <c r="D144" s="242">
        <f>'Project details'!$K181</f>
        <v>0</v>
      </c>
      <c r="E144" s="242">
        <f>'Project details'!N181</f>
        <v>0</v>
      </c>
      <c r="F144" s="242">
        <f>IF(Option3="No",0,(E144-D144)/60)</f>
        <v>0</v>
      </c>
      <c r="G144" s="243">
        <f>'Project details'!$K$152</f>
        <v>0</v>
      </c>
      <c r="H144" s="242" t="e">
        <f t="shared" si="69"/>
        <v>#DIV/0!</v>
      </c>
      <c r="I144" s="277" t="e">
        <f>$F144/VLOOKUP('Station parameters'!$O$3,HomeCycleGJT,8,FALSE)*Elasticities!$C$119</f>
        <v>#N/A</v>
      </c>
      <c r="J144" s="242" t="e">
        <f t="shared" si="70"/>
        <v>#DIV/0!</v>
      </c>
      <c r="K144" s="242" t="e">
        <f t="shared" si="71"/>
        <v>#DIV/0!</v>
      </c>
      <c r="L144" s="277" t="e">
        <f>$F144/VLOOKUP('Station parameters'!$O$3,HomeCycleGJT,7,FALSE)*Elasticities!$C$119</f>
        <v>#N/A</v>
      </c>
      <c r="M144" s="242" t="e">
        <f t="shared" si="72"/>
        <v>#DIV/0!</v>
      </c>
      <c r="N144" s="242" t="e">
        <f t="shared" si="73"/>
        <v>#DIV/0!</v>
      </c>
      <c r="O144" s="277" t="e">
        <f>$F144/VLOOKUP('Station parameters'!$O$3,DestinationCycleGJT,7,FALSE)*Elasticities!$C$119</f>
        <v>#N/A</v>
      </c>
      <c r="P144" s="242" t="e">
        <f t="shared" si="74"/>
        <v>#DIV/0!</v>
      </c>
    </row>
    <row r="145" spans="1:16">
      <c r="A145" s="34"/>
      <c r="B145" s="595"/>
      <c r="C145" s="238" t="s">
        <v>337</v>
      </c>
      <c r="D145" s="242">
        <f>'Project details'!$K222</f>
        <v>0</v>
      </c>
      <c r="E145" s="242">
        <f>'Project details'!N222</f>
        <v>0</v>
      </c>
      <c r="F145" s="242">
        <f>IF(Option3="No",0,(E145-D145)/60)</f>
        <v>0</v>
      </c>
      <c r="G145" s="243">
        <f>'Project details'!$K$193</f>
        <v>0</v>
      </c>
      <c r="H145" s="242" t="e">
        <f t="shared" si="69"/>
        <v>#DIV/0!</v>
      </c>
      <c r="I145" s="277" t="e">
        <f>$F145/VLOOKUP('Station parameters'!$O$3,HomeCycleGJT,8,FALSE)*Elasticities!$C$119</f>
        <v>#N/A</v>
      </c>
      <c r="J145" s="242" t="e">
        <f t="shared" si="70"/>
        <v>#DIV/0!</v>
      </c>
      <c r="K145" s="242" t="e">
        <f t="shared" si="71"/>
        <v>#DIV/0!</v>
      </c>
      <c r="L145" s="277" t="e">
        <f>$F145/VLOOKUP('Station parameters'!$O$3,HomeCycleGJT,7,FALSE)*Elasticities!$C$119</f>
        <v>#N/A</v>
      </c>
      <c r="M145" s="242" t="e">
        <f t="shared" si="72"/>
        <v>#DIV/0!</v>
      </c>
      <c r="N145" s="242" t="e">
        <f t="shared" si="73"/>
        <v>#DIV/0!</v>
      </c>
      <c r="O145" s="277" t="e">
        <f>$F145/VLOOKUP('Station parameters'!$O$3,DestinationCycleGJT,7,FALSE)*Elasticities!$C$119</f>
        <v>#N/A</v>
      </c>
      <c r="P145" s="242" t="e">
        <f t="shared" si="74"/>
        <v>#DIV/0!</v>
      </c>
    </row>
    <row r="146" spans="1:16">
      <c r="A146" s="34"/>
      <c r="B146" s="595"/>
      <c r="C146" s="238" t="s">
        <v>338</v>
      </c>
      <c r="D146" s="242">
        <f>'Project details'!$K263</f>
        <v>0</v>
      </c>
      <c r="E146" s="242">
        <f>'Project details'!N263</f>
        <v>0</v>
      </c>
      <c r="F146" s="242">
        <f>IF(Option3="No",0,(E146-D146)/60)</f>
        <v>0</v>
      </c>
      <c r="G146" s="243">
        <f>'Project details'!$K$234</f>
        <v>0</v>
      </c>
      <c r="H146" s="242" t="e">
        <f t="shared" si="69"/>
        <v>#DIV/0!</v>
      </c>
      <c r="I146" s="277" t="e">
        <f>$F146/VLOOKUP('Station parameters'!$O$3,HomeCycleGJT,8,FALSE)*Elasticities!$C$119</f>
        <v>#N/A</v>
      </c>
      <c r="J146" s="242" t="e">
        <f t="shared" si="70"/>
        <v>#DIV/0!</v>
      </c>
      <c r="K146" s="242" t="e">
        <f t="shared" si="71"/>
        <v>#DIV/0!</v>
      </c>
      <c r="L146" s="277" t="e">
        <f>$F146/VLOOKUP('Station parameters'!$O$3,HomeCycleGJT,7,FALSE)*Elasticities!$C$119</f>
        <v>#N/A</v>
      </c>
      <c r="M146" s="242" t="e">
        <f t="shared" si="72"/>
        <v>#DIV/0!</v>
      </c>
      <c r="N146" s="242" t="e">
        <f t="shared" si="73"/>
        <v>#DIV/0!</v>
      </c>
      <c r="O146" s="277" t="e">
        <f>$F146/VLOOKUP('Station parameters'!$O$3,DestinationCycleGJT,7,FALSE)*Elasticities!$C$119</f>
        <v>#N/A</v>
      </c>
      <c r="P146" s="242" t="e">
        <f t="shared" si="74"/>
        <v>#DIV/0!</v>
      </c>
    </row>
    <row r="147" spans="1:16">
      <c r="A147" s="34"/>
      <c r="B147" s="595"/>
      <c r="C147" s="61" t="s">
        <v>331</v>
      </c>
      <c r="D147" s="236" t="s">
        <v>175</v>
      </c>
      <c r="E147" s="236" t="s">
        <v>175</v>
      </c>
      <c r="F147" s="236" t="s">
        <v>175</v>
      </c>
      <c r="G147" s="243">
        <f>1-SUM(G142:G146)</f>
        <v>1</v>
      </c>
      <c r="H147" s="236" t="s">
        <v>175</v>
      </c>
      <c r="I147" s="281">
        <v>0</v>
      </c>
      <c r="J147" s="236" t="s">
        <v>175</v>
      </c>
      <c r="K147" s="236" t="s">
        <v>175</v>
      </c>
      <c r="L147" s="281">
        <v>0</v>
      </c>
      <c r="M147" s="236" t="s">
        <v>175</v>
      </c>
      <c r="N147" s="236" t="s">
        <v>175</v>
      </c>
      <c r="O147" s="281">
        <v>0</v>
      </c>
      <c r="P147" s="236" t="s">
        <v>175</v>
      </c>
    </row>
    <row r="148" spans="1:16">
      <c r="A148" s="34"/>
      <c r="B148" s="238" t="s">
        <v>377</v>
      </c>
      <c r="D148" s="267"/>
      <c r="E148" s="267"/>
      <c r="F148" s="267"/>
      <c r="G148" s="275"/>
      <c r="H148" s="239" t="e">
        <f>('Station parameters'!$E$39-(SUM('Station parameters'!$C$53:$C$55)*('Station parameters'!$E$39/'Station parameters'!$E$49)))*0.75</f>
        <v>#DIV/0!</v>
      </c>
      <c r="I148" s="167" t="e">
        <f>SUMPRODUCT(G142:G147,I142:I147)/SUM(G142:G147)</f>
        <v>#N/A</v>
      </c>
      <c r="J148" s="276" t="e">
        <f>SUM(J142:J146)</f>
        <v>#DIV/0!</v>
      </c>
      <c r="K148" s="239" t="e">
        <f>I132*(H148/SUM(H148,H155))</f>
        <v>#DIV/0!</v>
      </c>
      <c r="L148" s="167" t="e">
        <f>SUMPRODUCT(G142:G147,L142:L147)/SUM(G142:G147)</f>
        <v>#N/A</v>
      </c>
      <c r="M148" s="276" t="e">
        <f>SUM(M142:M146)</f>
        <v>#DIV/0!</v>
      </c>
      <c r="N148" s="239" t="e">
        <f>N132*(H148/SUM(H148,H155))</f>
        <v>#DIV/0!</v>
      </c>
      <c r="O148" s="167" t="e">
        <f>SUMPRODUCT(G142:G147,O142:O147)/SUM(G142:G147)</f>
        <v>#N/A</v>
      </c>
      <c r="P148" s="276" t="e">
        <f>SUM(P142:P146)</f>
        <v>#DIV/0!</v>
      </c>
    </row>
    <row r="149" spans="1:16">
      <c r="A149" s="34"/>
      <c r="B149" s="595" t="s">
        <v>37</v>
      </c>
      <c r="C149" s="238" t="s">
        <v>334</v>
      </c>
      <c r="D149" s="427">
        <f>'Project details'!$K100</f>
        <v>0</v>
      </c>
      <c r="E149" s="427">
        <f>'Project details'!N100</f>
        <v>0</v>
      </c>
      <c r="F149" s="242">
        <f>IF(Option3="No",0,(E149-D149)/60)</f>
        <v>0</v>
      </c>
      <c r="G149" s="243">
        <f>'Project details'!$K$70</f>
        <v>0</v>
      </c>
      <c r="H149" s="242" t="e">
        <f>$H$155*$G149</f>
        <v>#DIV/0!</v>
      </c>
      <c r="I149" s="277" t="e">
        <f>$F149/VLOOKUP('Station parameters'!$O$3,HomeCycleGJT,8,FALSE)*Elasticities!$C$120</f>
        <v>#N/A</v>
      </c>
      <c r="J149" s="242" t="e">
        <f>H149*I149</f>
        <v>#DIV/0!</v>
      </c>
      <c r="K149" s="242" t="e">
        <f>$K$155*$G149</f>
        <v>#DIV/0!</v>
      </c>
      <c r="L149" s="277" t="e">
        <f>$F149/VLOOKUP('Station parameters'!$O$3,HomeCycleGJT,7,FALSE)*Elasticities!$C$120</f>
        <v>#N/A</v>
      </c>
      <c r="M149" s="242" t="e">
        <f>K149*L149</f>
        <v>#DIV/0!</v>
      </c>
      <c r="N149" s="242" t="e">
        <f>$N$155*$G149</f>
        <v>#DIV/0!</v>
      </c>
      <c r="O149" s="277" t="e">
        <f>$F149/VLOOKUP('Station parameters'!$O$3,DestinationCycleGJT,7,FALSE)*Elasticities!$C$120</f>
        <v>#N/A</v>
      </c>
      <c r="P149" s="242" t="e">
        <f>N149*O149</f>
        <v>#DIV/0!</v>
      </c>
    </row>
    <row r="150" spans="1:16">
      <c r="A150" s="34"/>
      <c r="B150" s="595"/>
      <c r="C150" s="238" t="s">
        <v>335</v>
      </c>
      <c r="D150" s="242">
        <f>'Project details'!$K141</f>
        <v>0</v>
      </c>
      <c r="E150" s="242">
        <f>'Project details'!N141</f>
        <v>0</v>
      </c>
      <c r="F150" s="242">
        <f>IF(Option3="No",0,(E150-D150)/60)</f>
        <v>0</v>
      </c>
      <c r="G150" s="243">
        <f>'Project details'!$K$111</f>
        <v>0</v>
      </c>
      <c r="H150" s="242" t="e">
        <f t="shared" ref="H150:H153" si="75">$H$155*$G150</f>
        <v>#DIV/0!</v>
      </c>
      <c r="I150" s="277" t="e">
        <f>$F150/VLOOKUP('Station parameters'!$O$3,HomeCycleGJT,8,FALSE)*Elasticities!$C$120</f>
        <v>#N/A</v>
      </c>
      <c r="J150" s="242" t="e">
        <f t="shared" ref="J150:J153" si="76">H150*I150</f>
        <v>#DIV/0!</v>
      </c>
      <c r="K150" s="242" t="e">
        <f t="shared" ref="K150:K153" si="77">$K$155*$G150</f>
        <v>#DIV/0!</v>
      </c>
      <c r="L150" s="277" t="e">
        <f>$F150/VLOOKUP('Station parameters'!$O$3,HomeCycleGJT,7,FALSE)*Elasticities!$C$120</f>
        <v>#N/A</v>
      </c>
      <c r="M150" s="242" t="e">
        <f t="shared" ref="M150:M153" si="78">K150*L150</f>
        <v>#DIV/0!</v>
      </c>
      <c r="N150" s="242" t="e">
        <f t="shared" ref="N150:N153" si="79">$N$155*$G150</f>
        <v>#DIV/0!</v>
      </c>
      <c r="O150" s="277" t="e">
        <f>$F150/VLOOKUP('Station parameters'!$O$3,DestinationCycleGJT,7,FALSE)*Elasticities!$C$120</f>
        <v>#N/A</v>
      </c>
      <c r="P150" s="242" t="e">
        <f t="shared" ref="P150:P153" si="80">N150*O150</f>
        <v>#DIV/0!</v>
      </c>
    </row>
    <row r="151" spans="1:16">
      <c r="A151" s="34"/>
      <c r="B151" s="595"/>
      <c r="C151" s="238" t="s">
        <v>336</v>
      </c>
      <c r="D151" s="242">
        <f>'Project details'!$K182</f>
        <v>0</v>
      </c>
      <c r="E151" s="242">
        <f>'Project details'!N182</f>
        <v>0</v>
      </c>
      <c r="F151" s="242">
        <f>IF(Option3="No",0,(E151-D151)/60)</f>
        <v>0</v>
      </c>
      <c r="G151" s="243">
        <f>'Project details'!$K$152</f>
        <v>0</v>
      </c>
      <c r="H151" s="242" t="e">
        <f t="shared" si="75"/>
        <v>#DIV/0!</v>
      </c>
      <c r="I151" s="277" t="e">
        <f>$F151/VLOOKUP('Station parameters'!$O$3,HomeCycleGJT,8,FALSE)*Elasticities!$C$120</f>
        <v>#N/A</v>
      </c>
      <c r="J151" s="242" t="e">
        <f t="shared" si="76"/>
        <v>#DIV/0!</v>
      </c>
      <c r="K151" s="242" t="e">
        <f t="shared" si="77"/>
        <v>#DIV/0!</v>
      </c>
      <c r="L151" s="277" t="e">
        <f>$F151/VLOOKUP('Station parameters'!$O$3,HomeCycleGJT,7,FALSE)*Elasticities!$C$120</f>
        <v>#N/A</v>
      </c>
      <c r="M151" s="242" t="e">
        <f t="shared" si="78"/>
        <v>#DIV/0!</v>
      </c>
      <c r="N151" s="242" t="e">
        <f t="shared" si="79"/>
        <v>#DIV/0!</v>
      </c>
      <c r="O151" s="277" t="e">
        <f>$F151/VLOOKUP('Station parameters'!$O$3,DestinationCycleGJT,7,FALSE)*Elasticities!$C$120</f>
        <v>#N/A</v>
      </c>
      <c r="P151" s="242" t="e">
        <f t="shared" si="80"/>
        <v>#DIV/0!</v>
      </c>
    </row>
    <row r="152" spans="1:16">
      <c r="A152" s="34"/>
      <c r="B152" s="595"/>
      <c r="C152" s="238" t="s">
        <v>337</v>
      </c>
      <c r="D152" s="242">
        <f>'Project details'!$K222</f>
        <v>0</v>
      </c>
      <c r="E152" s="242">
        <f>'Project details'!N222</f>
        <v>0</v>
      </c>
      <c r="F152" s="242">
        <f>IF(Option3="No",0,(E152-D152)/60)</f>
        <v>0</v>
      </c>
      <c r="G152" s="243">
        <f>'Project details'!$K$193</f>
        <v>0</v>
      </c>
      <c r="H152" s="242" t="e">
        <f t="shared" si="75"/>
        <v>#DIV/0!</v>
      </c>
      <c r="I152" s="277" t="e">
        <f>$F152/VLOOKUP('Station parameters'!$O$3,HomeCycleGJT,8,FALSE)*Elasticities!$C$120</f>
        <v>#N/A</v>
      </c>
      <c r="J152" s="242" t="e">
        <f t="shared" si="76"/>
        <v>#DIV/0!</v>
      </c>
      <c r="K152" s="242" t="e">
        <f t="shared" si="77"/>
        <v>#DIV/0!</v>
      </c>
      <c r="L152" s="277" t="e">
        <f>$F152/VLOOKUP('Station parameters'!$O$3,HomeCycleGJT,7,FALSE)*Elasticities!$C$120</f>
        <v>#N/A</v>
      </c>
      <c r="M152" s="242" t="e">
        <f t="shared" si="78"/>
        <v>#DIV/0!</v>
      </c>
      <c r="N152" s="242" t="e">
        <f t="shared" si="79"/>
        <v>#DIV/0!</v>
      </c>
      <c r="O152" s="277" t="e">
        <f>$F152/VLOOKUP('Station parameters'!$O$3,DestinationCycleGJT,7,FALSE)*Elasticities!$C$120</f>
        <v>#N/A</v>
      </c>
      <c r="P152" s="242" t="e">
        <f t="shared" si="80"/>
        <v>#DIV/0!</v>
      </c>
    </row>
    <row r="153" spans="1:16">
      <c r="A153" s="34"/>
      <c r="B153" s="595"/>
      <c r="C153" s="238" t="s">
        <v>338</v>
      </c>
      <c r="D153" s="242">
        <f>'Project details'!$K264</f>
        <v>0</v>
      </c>
      <c r="E153" s="242">
        <f>'Project details'!N264</f>
        <v>0</v>
      </c>
      <c r="F153" s="242">
        <f>IF(Option3="No",0,(E153-D153)/60)</f>
        <v>0</v>
      </c>
      <c r="G153" s="243">
        <f>'Project details'!$K$234</f>
        <v>0</v>
      </c>
      <c r="H153" s="242" t="e">
        <f t="shared" si="75"/>
        <v>#DIV/0!</v>
      </c>
      <c r="I153" s="277" t="e">
        <f>$F153/VLOOKUP('Station parameters'!$O$3,HomeCycleGJT,8,FALSE)*Elasticities!$C$120</f>
        <v>#N/A</v>
      </c>
      <c r="J153" s="242" t="e">
        <f t="shared" si="76"/>
        <v>#DIV/0!</v>
      </c>
      <c r="K153" s="242" t="e">
        <f t="shared" si="77"/>
        <v>#DIV/0!</v>
      </c>
      <c r="L153" s="277" t="e">
        <f>$F153/VLOOKUP('Station parameters'!$O$3,HomeCycleGJT,7,FALSE)*Elasticities!$C$120</f>
        <v>#N/A</v>
      </c>
      <c r="M153" s="242" t="e">
        <f t="shared" si="78"/>
        <v>#DIV/0!</v>
      </c>
      <c r="N153" s="242" t="e">
        <f t="shared" si="79"/>
        <v>#DIV/0!</v>
      </c>
      <c r="O153" s="277" t="e">
        <f>$F153/VLOOKUP('Station parameters'!$O$3,DestinationCycleGJT,7,FALSE)*Elasticities!$C$120</f>
        <v>#N/A</v>
      </c>
      <c r="P153" s="242" t="e">
        <f t="shared" si="80"/>
        <v>#DIV/0!</v>
      </c>
    </row>
    <row r="154" spans="1:16">
      <c r="A154" s="34"/>
      <c r="B154" s="595"/>
      <c r="C154" s="61" t="s">
        <v>331</v>
      </c>
      <c r="D154" s="236" t="s">
        <v>175</v>
      </c>
      <c r="E154" s="236" t="s">
        <v>175</v>
      </c>
      <c r="F154" s="236" t="s">
        <v>175</v>
      </c>
      <c r="G154" s="243">
        <f>1-SUM(G149:G153)</f>
        <v>1</v>
      </c>
      <c r="H154" s="236" t="s">
        <v>175</v>
      </c>
      <c r="I154" s="281">
        <v>0</v>
      </c>
      <c r="J154" s="236" t="s">
        <v>175</v>
      </c>
      <c r="K154" s="236" t="s">
        <v>175</v>
      </c>
      <c r="L154" s="281">
        <v>0</v>
      </c>
      <c r="M154" s="236" t="s">
        <v>175</v>
      </c>
      <c r="N154" s="236" t="s">
        <v>175</v>
      </c>
      <c r="O154" s="281">
        <v>0</v>
      </c>
      <c r="P154" s="236" t="s">
        <v>175</v>
      </c>
    </row>
    <row r="155" spans="1:16">
      <c r="A155" s="34"/>
      <c r="B155" s="238" t="s">
        <v>378</v>
      </c>
      <c r="D155" s="267"/>
      <c r="E155" s="267"/>
      <c r="F155" s="267"/>
      <c r="G155" s="275"/>
      <c r="H155" s="239" t="e">
        <f>'Station parameters'!$E$44-(SUM('Station parameters'!$C$53:$C$55)*('Station parameters'!$E$44/'Station parameters'!$E$49))*0.75</f>
        <v>#DIV/0!</v>
      </c>
      <c r="I155" s="167" t="e">
        <f>SUMPRODUCT(G149:G154,I149:I154)/SUM(G149:G154)</f>
        <v>#N/A</v>
      </c>
      <c r="J155" s="276" t="e">
        <f>SUM(J149:J153)</f>
        <v>#DIV/0!</v>
      </c>
      <c r="K155" s="239" t="e">
        <f>I132*(H155/SUM(H148,H155))</f>
        <v>#DIV/0!</v>
      </c>
      <c r="L155" s="167" t="e">
        <f>SUMPRODUCT(G149:G154,L149:L154)/SUM(G149:G154)</f>
        <v>#N/A</v>
      </c>
      <c r="M155" s="276" t="e">
        <f>SUM(M149:M153)</f>
        <v>#DIV/0!</v>
      </c>
      <c r="N155" s="239" t="e">
        <f>N132*(H155/SUM(H148,H155))</f>
        <v>#DIV/0!</v>
      </c>
      <c r="O155" s="167" t="e">
        <f>SUMPRODUCT(G149:G154,O149:O154)/SUM(G149:G154)</f>
        <v>#N/A</v>
      </c>
      <c r="P155" s="276" t="e">
        <f>SUM(P149:P153)</f>
        <v>#DIV/0!</v>
      </c>
    </row>
    <row r="156" spans="1:16">
      <c r="A156" s="34"/>
      <c r="B156" s="238" t="s">
        <v>376</v>
      </c>
      <c r="D156" s="120"/>
      <c r="E156" s="120"/>
      <c r="F156" s="120"/>
      <c r="G156" s="120"/>
      <c r="H156" s="119"/>
      <c r="I156" s="167" t="e">
        <f>(I148*(H148/SUM(H148,H155)))+(I155*(H155/SUM(H148,H155)))</f>
        <v>#N/A</v>
      </c>
      <c r="J156" s="276" t="e">
        <f>J148+J155</f>
        <v>#DIV/0!</v>
      </c>
      <c r="K156" s="119"/>
      <c r="L156" s="167" t="e">
        <f>IF(SUM(K148,K155)=0,0,(L148*(K148/SUM(K148,K155)))+(L155*(K155/SUM(K148,K155))))</f>
        <v>#DIV/0!</v>
      </c>
      <c r="M156" s="276" t="e">
        <f>M148+M155</f>
        <v>#DIV/0!</v>
      </c>
      <c r="N156" s="119"/>
      <c r="O156" s="167" t="e">
        <f>IF(SUM(N148,N155)=0,0,(O148*(N148/SUM(N148,N155)))+(O155*(N155/SUM(N148,N155))))</f>
        <v>#DIV/0!</v>
      </c>
      <c r="P156" s="276" t="e">
        <f>P148+P155</f>
        <v>#DIV/0!</v>
      </c>
    </row>
    <row r="158" spans="1:16">
      <c r="B158" s="86" t="s">
        <v>332</v>
      </c>
    </row>
    <row r="159" spans="1:16">
      <c r="B159" s="14" t="s">
        <v>47</v>
      </c>
      <c r="C159" s="158" t="s">
        <v>205</v>
      </c>
      <c r="D159" s="158" t="s">
        <v>27</v>
      </c>
      <c r="H159" s="14" t="s">
        <v>641</v>
      </c>
      <c r="I159" s="158" t="s">
        <v>205</v>
      </c>
      <c r="J159" s="158" t="s">
        <v>27</v>
      </c>
      <c r="K159" s="158"/>
      <c r="L159" s="158"/>
      <c r="M159" s="14" t="s">
        <v>364</v>
      </c>
      <c r="N159" s="158" t="s">
        <v>205</v>
      </c>
      <c r="O159" s="158" t="s">
        <v>27</v>
      </c>
    </row>
    <row r="160" spans="1:16">
      <c r="B160" s="23" t="s">
        <v>206</v>
      </c>
      <c r="C160" s="248" t="e">
        <f>J156</f>
        <v>#DIV/0!</v>
      </c>
      <c r="D160" s="248" t="e">
        <f>J156</f>
        <v>#DIV/0!</v>
      </c>
      <c r="H160" s="61" t="s">
        <v>323</v>
      </c>
      <c r="I160" s="245" t="e">
        <f>$I$162*VLOOKUP($H160,DiversionCycleAccess,4,FALSE)</f>
        <v>#DIV/0!</v>
      </c>
      <c r="J160" s="245" t="e">
        <f>$J$162*VLOOKUP($H160,DiversionCycleAccess,4,FALSE)</f>
        <v>#DIV/0!</v>
      </c>
      <c r="K160" s="244"/>
      <c r="L160" s="244"/>
      <c r="M160" s="61" t="s">
        <v>323</v>
      </c>
      <c r="N160" s="245" t="e">
        <f>$N$162*VLOOKUP($M160,DiversionCycleAccess,4,FALSE)</f>
        <v>#DIV/0!</v>
      </c>
      <c r="O160" s="245" t="e">
        <f>$O$162*VLOOKUP($M160,DiversionCycleAccess,4,FALSE)</f>
        <v>#DIV/0!</v>
      </c>
    </row>
    <row r="161" spans="2:16">
      <c r="B161" s="165" t="s">
        <v>42</v>
      </c>
      <c r="C161" s="245" t="e">
        <f>$C$160*VLOOKUP($B161,DiversionPTMainMode,2,FALSE)*AVERAGE(WalkDiversionFactor,CycleDiversionFactor)</f>
        <v>#DIV/0!</v>
      </c>
      <c r="D161" s="245" t="e">
        <f>$D$160*VLOOKUP($B161,DiversionPTMainMode,3,FALSE)*AVERAGE(WalkDiversionFactor,CycleDiversionFactor)</f>
        <v>#DIV/0!</v>
      </c>
      <c r="H161" s="249" t="s">
        <v>42</v>
      </c>
      <c r="I161" s="245" t="e">
        <f>$I$162*VLOOKUP($H161,DiversionCycleAccess,4,FALSE)</f>
        <v>#DIV/0!</v>
      </c>
      <c r="J161" s="245" t="e">
        <f>$J$162*VLOOKUP($H161,DiversionCycleAccess,4,FALSE)</f>
        <v>#DIV/0!</v>
      </c>
      <c r="K161" s="244"/>
      <c r="L161" s="244"/>
      <c r="M161" s="249" t="s">
        <v>42</v>
      </c>
      <c r="N161" s="245" t="e">
        <f>$N$162*VLOOKUP($M161,DiversionCycleAccess,4,FALSE)</f>
        <v>#DIV/0!</v>
      </c>
      <c r="O161" s="245" t="e">
        <f>$O$162*VLOOKUP($M161,DiversionCycleAccess,4,FALSE)</f>
        <v>#DIV/0!</v>
      </c>
    </row>
    <row r="162" spans="2:16">
      <c r="B162" s="165" t="s">
        <v>40</v>
      </c>
      <c r="C162" s="245" t="e">
        <f>$C$160*VLOOKUP($B162,DiversionPTMainMode,2,FALSE)*AVERAGE(WalkDiversionFactor,CycleDiversionFactor)</f>
        <v>#DIV/0!</v>
      </c>
      <c r="D162" s="245" t="e">
        <f>$D$160*VLOOKUP($B162,DiversionPTMainMode,3,FALSE)*AVERAGE(WalkDiversionFactor,CycleDiversionFactor)</f>
        <v>#DIV/0!</v>
      </c>
      <c r="H162" s="247" t="s">
        <v>40</v>
      </c>
      <c r="I162" s="248" t="e">
        <f>M156+J156</f>
        <v>#DIV/0!</v>
      </c>
      <c r="J162" s="248" t="e">
        <f>M156+J156</f>
        <v>#DIV/0!</v>
      </c>
      <c r="K162" s="244"/>
      <c r="L162" s="244"/>
      <c r="M162" s="247" t="s">
        <v>40</v>
      </c>
      <c r="N162" s="248" t="e">
        <f>P156</f>
        <v>#DIV/0!</v>
      </c>
      <c r="O162" s="248" t="e">
        <f>P156</f>
        <v>#DIV/0!</v>
      </c>
    </row>
    <row r="163" spans="2:16">
      <c r="B163" s="165" t="s">
        <v>157</v>
      </c>
      <c r="C163" s="245" t="e">
        <f>$C$160*VLOOKUP($B163,DiversionPTMainMode,2,FALSE)*AVERAGE(WalkDiversionFactor,CycleDiversionFactor)</f>
        <v>#DIV/0!</v>
      </c>
      <c r="D163" s="245" t="e">
        <f>$D$160*VLOOKUP($B163,DiversionPTMainMode,3,FALSE)*AVERAGE(WalkDiversionFactor,CycleDiversionFactor)</f>
        <v>#DIV/0!</v>
      </c>
      <c r="H163" s="249" t="s">
        <v>157</v>
      </c>
      <c r="I163" s="245" t="e">
        <f>$I$162*VLOOKUP($H163,DiversionCycleAccess,4,FALSE)</f>
        <v>#DIV/0!</v>
      </c>
      <c r="J163" s="245" t="e">
        <f>$J$162*VLOOKUP($H163,DiversionCycleAccess,4,FALSE)</f>
        <v>#DIV/0!</v>
      </c>
      <c r="K163" s="244"/>
      <c r="L163" s="244"/>
      <c r="M163" s="249" t="s">
        <v>157</v>
      </c>
      <c r="N163" s="245" t="e">
        <f>$N$162*VLOOKUP($M163,DiversionCycleAccess,4,FALSE)</f>
        <v>#DIV/0!</v>
      </c>
      <c r="O163" s="245" t="e">
        <f>$O$162*VLOOKUP($M163,DiversionCycleAccess,4,FALSE)</f>
        <v>#DIV/0!</v>
      </c>
    </row>
    <row r="164" spans="2:16">
      <c r="B164" s="165" t="s">
        <v>158</v>
      </c>
      <c r="C164" s="245" t="e">
        <f>$C$160*VLOOKUP($B164,DiversionPTMainMode,2,FALSE)*AVERAGE(WalkDiversionFactor,CycleDiversionFactor)</f>
        <v>#DIV/0!</v>
      </c>
      <c r="D164" s="245" t="e">
        <f>$D$160*VLOOKUP($B164,DiversionPTMainMode,3,FALSE)*AVERAGE(WalkDiversionFactor,CycleDiversionFactor)</f>
        <v>#DIV/0!</v>
      </c>
      <c r="H164" s="249" t="s">
        <v>158</v>
      </c>
      <c r="I164" s="245" t="e">
        <f>$I$162*VLOOKUP($H164,DiversionCycleAccess,4,FALSE)</f>
        <v>#DIV/0!</v>
      </c>
      <c r="J164" s="245" t="e">
        <f>$J$162*VLOOKUP($H164,DiversionCycleAccess,4,FALSE)</f>
        <v>#DIV/0!</v>
      </c>
      <c r="K164" s="244"/>
      <c r="L164" s="244"/>
      <c r="M164" s="249" t="s">
        <v>158</v>
      </c>
      <c r="N164" s="245" t="e">
        <f>$N$162*VLOOKUP($M164,DiversionCycleAccess,4,FALSE)</f>
        <v>#DIV/0!</v>
      </c>
      <c r="O164" s="245" t="e">
        <f>$O$162*VLOOKUP($M164,DiversionCycleAccess,4,FALSE)</f>
        <v>#DIV/0!</v>
      </c>
    </row>
    <row r="165" spans="2:16">
      <c r="B165" s="144" t="s">
        <v>25</v>
      </c>
      <c r="C165" s="245" t="e">
        <f>$C$160*VLOOKUP($B165,DiversionPTMainMode,2,FALSE)*AVERAGE(WalkDiversionFactor,CycleDiversionFactor)</f>
        <v>#DIV/0!</v>
      </c>
      <c r="D165" s="245" t="e">
        <f>$D$160*VLOOKUP($B165,DiversionPTMainMode,3,FALSE)*AVERAGE(WalkDiversionFactor,CycleDiversionFactor)</f>
        <v>#DIV/0!</v>
      </c>
      <c r="F165" s="163"/>
      <c r="J165" s="163"/>
    </row>
    <row r="167" spans="2:16">
      <c r="B167" s="86" t="s">
        <v>166</v>
      </c>
      <c r="C167" s="118"/>
      <c r="D167" s="240" t="s">
        <v>167</v>
      </c>
      <c r="E167" s="239" t="e">
        <f>E126</f>
        <v>#N/A</v>
      </c>
      <c r="F167" s="127" t="s">
        <v>168</v>
      </c>
      <c r="G167" s="241" t="s">
        <v>169</v>
      </c>
      <c r="H167" s="239">
        <f>H126</f>
        <v>0</v>
      </c>
      <c r="J167" s="241" t="s">
        <v>170</v>
      </c>
      <c r="K167" s="288">
        <f>K126</f>
        <v>0</v>
      </c>
    </row>
    <row r="168" spans="2:16">
      <c r="B168" s="108"/>
      <c r="C168" s="118"/>
      <c r="D168" s="119"/>
      <c r="E168" s="119"/>
      <c r="F168" s="118"/>
      <c r="G168" s="120"/>
      <c r="H168" s="119"/>
    </row>
    <row r="169" spans="2:16">
      <c r="B169" s="395"/>
      <c r="C169" s="596" t="s">
        <v>47</v>
      </c>
      <c r="D169" s="597"/>
      <c r="E169" s="597"/>
      <c r="F169" s="598"/>
      <c r="H169" s="596" t="s">
        <v>639</v>
      </c>
      <c r="I169" s="597"/>
      <c r="J169" s="597"/>
      <c r="K169" s="598"/>
      <c r="M169" s="596" t="s">
        <v>153</v>
      </c>
      <c r="N169" s="597"/>
      <c r="O169" s="597"/>
      <c r="P169" s="598"/>
    </row>
    <row r="170" spans="2:16" ht="30">
      <c r="B170" s="258" t="s">
        <v>47</v>
      </c>
      <c r="C170" s="258" t="s">
        <v>159</v>
      </c>
      <c r="D170" s="258" t="s">
        <v>200</v>
      </c>
      <c r="E170" s="258" t="s">
        <v>363</v>
      </c>
      <c r="F170" s="258" t="s">
        <v>201</v>
      </c>
      <c r="G170" s="258" t="s">
        <v>93</v>
      </c>
      <c r="H170" s="258" t="s">
        <v>159</v>
      </c>
      <c r="I170" s="258" t="s">
        <v>200</v>
      </c>
      <c r="J170" s="258" t="s">
        <v>363</v>
      </c>
      <c r="K170" s="258" t="s">
        <v>202</v>
      </c>
      <c r="L170" s="258" t="s">
        <v>93</v>
      </c>
      <c r="M170" s="258" t="s">
        <v>152</v>
      </c>
      <c r="N170" s="258" t="s">
        <v>200</v>
      </c>
      <c r="O170" s="258" t="s">
        <v>363</v>
      </c>
      <c r="P170" s="258" t="s">
        <v>203</v>
      </c>
    </row>
    <row r="171" spans="2:16">
      <c r="B171" s="259" t="s">
        <v>206</v>
      </c>
      <c r="C171" s="264" t="e">
        <f>D171/$H$167</f>
        <v>#DIV/0!</v>
      </c>
      <c r="D171" s="250" t="e">
        <f>IF(C130=0,0,D130+C160)</f>
        <v>#DIV/0!</v>
      </c>
      <c r="E171" s="264" t="e">
        <f>E130</f>
        <v>#DIV/0!</v>
      </c>
      <c r="F171" s="166" t="e">
        <f>D171*E171</f>
        <v>#DIV/0!</v>
      </c>
      <c r="G171" s="268" t="s">
        <v>323</v>
      </c>
      <c r="H171" s="264" t="e">
        <f>I171/$H$167</f>
        <v>#DIV/0!</v>
      </c>
      <c r="I171" s="265" t="e">
        <f>IF(H130=0,0,I130+I160)</f>
        <v>#DIV/0!</v>
      </c>
      <c r="J171" s="260"/>
      <c r="K171" s="263"/>
      <c r="L171" s="268" t="s">
        <v>323</v>
      </c>
      <c r="M171" s="264" t="e">
        <f>N171/$K$167</f>
        <v>#DIV/0!</v>
      </c>
      <c r="N171" s="265" t="e">
        <f>IF(M130=0,0,N130+N160)</f>
        <v>#DIV/0!</v>
      </c>
      <c r="O171" s="104"/>
      <c r="P171" s="104"/>
    </row>
    <row r="172" spans="2:16">
      <c r="B172" s="259" t="s">
        <v>42</v>
      </c>
      <c r="C172" s="264" t="e">
        <f t="shared" ref="C172:C176" si="81">D172/$H$167</f>
        <v>#N/A</v>
      </c>
      <c r="D172" s="250" t="e">
        <f t="shared" ref="D172:D176" si="82">IF(C131=0,0,D131+C161)</f>
        <v>#N/A</v>
      </c>
      <c r="E172" s="264" t="e">
        <f t="shared" ref="E172:E176" si="83">IF(C172=0,0,F172/D172)</f>
        <v>#N/A</v>
      </c>
      <c r="F172" s="250" t="e">
        <f>IF(C172=0,0,F131+D161)</f>
        <v>#N/A</v>
      </c>
      <c r="G172" s="259" t="s">
        <v>42</v>
      </c>
      <c r="H172" s="264" t="e">
        <f t="shared" ref="H172:H176" si="84">I172/$H$167</f>
        <v>#DIV/0!</v>
      </c>
      <c r="I172" s="265" t="e">
        <f>IF(H131=0,0,I131+I161)</f>
        <v>#DIV/0!</v>
      </c>
      <c r="J172" s="264" t="e">
        <f>J131</f>
        <v>#N/A</v>
      </c>
      <c r="K172" s="166" t="e">
        <f>I172*J172</f>
        <v>#DIV/0!</v>
      </c>
      <c r="L172" s="259" t="s">
        <v>42</v>
      </c>
      <c r="M172" s="264" t="e">
        <f t="shared" ref="M172:M176" si="85">N172/$K$167</f>
        <v>#DIV/0!</v>
      </c>
      <c r="N172" s="265" t="e">
        <f>IF(M131=0,0,N131+N161)</f>
        <v>#DIV/0!</v>
      </c>
      <c r="O172" s="264" t="e">
        <f>O131</f>
        <v>#N/A</v>
      </c>
      <c r="P172" s="166" t="e">
        <f>N172*O172</f>
        <v>#DIV/0!</v>
      </c>
    </row>
    <row r="173" spans="2:16">
      <c r="B173" s="259" t="s">
        <v>40</v>
      </c>
      <c r="C173" s="264" t="e">
        <f t="shared" si="81"/>
        <v>#N/A</v>
      </c>
      <c r="D173" s="250" t="e">
        <f t="shared" si="82"/>
        <v>#N/A</v>
      </c>
      <c r="E173" s="264" t="e">
        <f t="shared" si="83"/>
        <v>#N/A</v>
      </c>
      <c r="F173" s="250" t="e">
        <f t="shared" ref="F173:F176" si="86">IF(C173=0,0,F132+D162)</f>
        <v>#N/A</v>
      </c>
      <c r="G173" s="259" t="s">
        <v>40</v>
      </c>
      <c r="H173" s="264" t="e">
        <f t="shared" si="84"/>
        <v>#DIV/0!</v>
      </c>
      <c r="I173" s="265" t="e">
        <f t="shared" ref="I173:I176" si="87">IF(H132=0,0,I132+I162)</f>
        <v>#DIV/0!</v>
      </c>
      <c r="J173" s="264" t="e">
        <f t="shared" ref="J173:J176" si="88">J132</f>
        <v>#N/A</v>
      </c>
      <c r="K173" s="166" t="e">
        <f t="shared" ref="K173:K176" si="89">I173*J173</f>
        <v>#DIV/0!</v>
      </c>
      <c r="L173" s="259" t="s">
        <v>40</v>
      </c>
      <c r="M173" s="264" t="e">
        <f t="shared" si="85"/>
        <v>#DIV/0!</v>
      </c>
      <c r="N173" s="265" t="e">
        <f t="shared" ref="N173:N176" si="90">IF(M132=0,0,N132+N162)</f>
        <v>#DIV/0!</v>
      </c>
      <c r="O173" s="264" t="e">
        <f t="shared" ref="O173:O176" si="91">O132</f>
        <v>#N/A</v>
      </c>
      <c r="P173" s="166" t="e">
        <f t="shared" ref="P173:P176" si="92">N173*O173</f>
        <v>#DIV/0!</v>
      </c>
    </row>
    <row r="174" spans="2:16">
      <c r="B174" s="259" t="s">
        <v>157</v>
      </c>
      <c r="C174" s="264" t="e">
        <f t="shared" si="81"/>
        <v>#N/A</v>
      </c>
      <c r="D174" s="250" t="e">
        <f t="shared" si="82"/>
        <v>#N/A</v>
      </c>
      <c r="E174" s="264" t="e">
        <f>IF(C174=0,0,F174/D174)</f>
        <v>#N/A</v>
      </c>
      <c r="F174" s="250" t="e">
        <f t="shared" si="86"/>
        <v>#N/A</v>
      </c>
      <c r="G174" s="259" t="s">
        <v>157</v>
      </c>
      <c r="H174" s="264" t="e">
        <f t="shared" si="84"/>
        <v>#DIV/0!</v>
      </c>
      <c r="I174" s="265" t="e">
        <f t="shared" si="87"/>
        <v>#DIV/0!</v>
      </c>
      <c r="J174" s="264" t="e">
        <f t="shared" si="88"/>
        <v>#N/A</v>
      </c>
      <c r="K174" s="166" t="e">
        <f t="shared" si="89"/>
        <v>#DIV/0!</v>
      </c>
      <c r="L174" s="259" t="s">
        <v>157</v>
      </c>
      <c r="M174" s="264" t="e">
        <f t="shared" si="85"/>
        <v>#DIV/0!</v>
      </c>
      <c r="N174" s="265" t="e">
        <f t="shared" si="90"/>
        <v>#DIV/0!</v>
      </c>
      <c r="O174" s="264" t="e">
        <f t="shared" si="91"/>
        <v>#N/A</v>
      </c>
      <c r="P174" s="166" t="e">
        <f t="shared" si="92"/>
        <v>#DIV/0!</v>
      </c>
    </row>
    <row r="175" spans="2:16">
      <c r="B175" s="259" t="s">
        <v>158</v>
      </c>
      <c r="C175" s="264" t="e">
        <f t="shared" si="81"/>
        <v>#N/A</v>
      </c>
      <c r="D175" s="250" t="e">
        <f t="shared" si="82"/>
        <v>#N/A</v>
      </c>
      <c r="E175" s="264" t="e">
        <f t="shared" si="83"/>
        <v>#N/A</v>
      </c>
      <c r="F175" s="250" t="e">
        <f t="shared" si="86"/>
        <v>#N/A</v>
      </c>
      <c r="G175" s="259" t="s">
        <v>158</v>
      </c>
      <c r="H175" s="264" t="e">
        <f t="shared" si="84"/>
        <v>#DIV/0!</v>
      </c>
      <c r="I175" s="265" t="e">
        <f t="shared" si="87"/>
        <v>#DIV/0!</v>
      </c>
      <c r="J175" s="264" t="e">
        <f t="shared" si="88"/>
        <v>#N/A</v>
      </c>
      <c r="K175" s="166" t="e">
        <f t="shared" si="89"/>
        <v>#DIV/0!</v>
      </c>
      <c r="L175" s="259" t="s">
        <v>158</v>
      </c>
      <c r="M175" s="264" t="e">
        <f t="shared" si="85"/>
        <v>#DIV/0!</v>
      </c>
      <c r="N175" s="265" t="e">
        <f t="shared" si="90"/>
        <v>#DIV/0!</v>
      </c>
      <c r="O175" s="264" t="e">
        <f t="shared" si="91"/>
        <v>#N/A</v>
      </c>
      <c r="P175" s="166" t="e">
        <f t="shared" si="92"/>
        <v>#DIV/0!</v>
      </c>
    </row>
    <row r="176" spans="2:16">
      <c r="B176" s="259" t="s">
        <v>25</v>
      </c>
      <c r="C176" s="264" t="e">
        <f t="shared" si="81"/>
        <v>#N/A</v>
      </c>
      <c r="D176" s="250" t="e">
        <f t="shared" si="82"/>
        <v>#N/A</v>
      </c>
      <c r="E176" s="264" t="e">
        <f t="shared" si="83"/>
        <v>#N/A</v>
      </c>
      <c r="F176" s="250" t="e">
        <f t="shared" si="86"/>
        <v>#N/A</v>
      </c>
      <c r="G176" s="259" t="s">
        <v>25</v>
      </c>
      <c r="H176" s="264" t="e">
        <f t="shared" si="84"/>
        <v>#DIV/0!</v>
      </c>
      <c r="I176" s="265" t="e">
        <f t="shared" si="87"/>
        <v>#DIV/0!</v>
      </c>
      <c r="J176" s="264" t="e">
        <f t="shared" si="88"/>
        <v>#N/A</v>
      </c>
      <c r="K176" s="166" t="e">
        <f t="shared" si="89"/>
        <v>#DIV/0!</v>
      </c>
      <c r="L176" s="259" t="s">
        <v>25</v>
      </c>
      <c r="M176" s="264" t="e">
        <f t="shared" si="85"/>
        <v>#DIV/0!</v>
      </c>
      <c r="N176" s="265" t="e">
        <f t="shared" si="90"/>
        <v>#DIV/0!</v>
      </c>
      <c r="O176" s="264" t="e">
        <f t="shared" si="91"/>
        <v>#N/A</v>
      </c>
      <c r="P176" s="166" t="e">
        <f t="shared" si="92"/>
        <v>#DIV/0!</v>
      </c>
    </row>
  </sheetData>
  <sheetProtection password="EA07" sheet="1" objects="1" scenarios="1"/>
  <mergeCells count="30">
    <mergeCell ref="B42:B47"/>
    <mergeCell ref="C68:F68"/>
    <mergeCell ref="H68:K68"/>
    <mergeCell ref="M68:P68"/>
    <mergeCell ref="C5:E5"/>
    <mergeCell ref="F5:H5"/>
    <mergeCell ref="I5:I6"/>
    <mergeCell ref="C17:F17"/>
    <mergeCell ref="H17:K17"/>
    <mergeCell ref="M17:P17"/>
    <mergeCell ref="C99:D99"/>
    <mergeCell ref="E99:F99"/>
    <mergeCell ref="C28:F28"/>
    <mergeCell ref="H28:K28"/>
    <mergeCell ref="M28:P28"/>
    <mergeCell ref="C79:F79"/>
    <mergeCell ref="H79:K79"/>
    <mergeCell ref="M79:P79"/>
    <mergeCell ref="D90:E90"/>
    <mergeCell ref="F90:G90"/>
    <mergeCell ref="B149:B154"/>
    <mergeCell ref="C169:F169"/>
    <mergeCell ref="H169:K169"/>
    <mergeCell ref="M169:P169"/>
    <mergeCell ref="C105:D105"/>
    <mergeCell ref="E105:F105"/>
    <mergeCell ref="C128:F128"/>
    <mergeCell ref="H128:K128"/>
    <mergeCell ref="M128:P128"/>
    <mergeCell ref="B142:B147"/>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sheetPr>
    <tabColor theme="7"/>
  </sheetPr>
  <dimension ref="A2:AX85"/>
  <sheetViews>
    <sheetView zoomScale="85" zoomScaleNormal="85" workbookViewId="0">
      <selection activeCell="F3" sqref="F3"/>
    </sheetView>
  </sheetViews>
  <sheetFormatPr defaultColWidth="9.140625" defaultRowHeight="15"/>
  <cols>
    <col min="1" max="1" width="8" style="1" customWidth="1"/>
    <col min="2" max="2" width="26.7109375" style="1" customWidth="1"/>
    <col min="3" max="3" width="3.5703125" style="15" customWidth="1"/>
    <col min="4" max="6" width="17.140625" style="1" customWidth="1"/>
    <col min="7" max="7" width="15.7109375" style="1" customWidth="1"/>
    <col min="8" max="8" width="14.5703125" style="1" customWidth="1"/>
    <col min="9" max="9" width="15.140625" style="1" customWidth="1"/>
    <col min="10" max="18" width="13.42578125" style="1" customWidth="1"/>
    <col min="19" max="19" width="4.28515625" style="15" customWidth="1"/>
    <col min="20" max="34" width="15.85546875" style="1" customWidth="1"/>
    <col min="35" max="35" width="3.7109375" style="1" customWidth="1"/>
    <col min="36" max="50" width="15.85546875" style="1" customWidth="1"/>
    <col min="51" max="16384" width="9.140625" style="1"/>
  </cols>
  <sheetData>
    <row r="2" spans="1:50">
      <c r="B2" s="295" t="s">
        <v>99</v>
      </c>
    </row>
    <row r="3" spans="1:50">
      <c r="G3" s="96"/>
    </row>
    <row r="5" spans="1:50" ht="18.75">
      <c r="B5" s="9"/>
      <c r="C5" s="18"/>
      <c r="D5" s="2" t="s">
        <v>124</v>
      </c>
      <c r="E5" s="9"/>
      <c r="F5" s="9"/>
      <c r="G5" s="9"/>
      <c r="H5" s="9"/>
      <c r="I5" s="9"/>
      <c r="J5" s="9"/>
      <c r="K5" s="9"/>
      <c r="L5" s="9"/>
      <c r="M5" s="9"/>
      <c r="N5" s="9"/>
      <c r="O5" s="9"/>
      <c r="P5" s="9"/>
      <c r="Q5" s="9"/>
      <c r="R5" s="9"/>
      <c r="S5" s="18"/>
      <c r="T5" s="2" t="s">
        <v>125</v>
      </c>
      <c r="U5" s="9"/>
      <c r="V5" s="9"/>
      <c r="W5" s="9"/>
      <c r="X5" s="9"/>
      <c r="Y5" s="9"/>
      <c r="Z5" s="9"/>
      <c r="AA5" s="9"/>
      <c r="AB5" s="9"/>
      <c r="AC5" s="9"/>
      <c r="AD5" s="9"/>
      <c r="AE5" s="9"/>
      <c r="AF5" s="9"/>
      <c r="AG5" s="9"/>
      <c r="AH5" s="9"/>
      <c r="AJ5" s="2" t="s">
        <v>126</v>
      </c>
      <c r="AK5" s="9"/>
      <c r="AL5" s="9"/>
      <c r="AM5" s="9"/>
      <c r="AN5" s="9"/>
      <c r="AO5" s="9"/>
      <c r="AP5" s="9"/>
      <c r="AQ5" s="9"/>
      <c r="AR5" s="9"/>
      <c r="AS5" s="9"/>
      <c r="AT5" s="9"/>
      <c r="AU5" s="9"/>
      <c r="AV5" s="9"/>
      <c r="AW5" s="9"/>
      <c r="AX5" s="9"/>
    </row>
    <row r="6" spans="1:50" ht="15.75">
      <c r="A6" s="604" t="s">
        <v>81</v>
      </c>
      <c r="B6" s="507" t="s">
        <v>82</v>
      </c>
      <c r="C6" s="90"/>
      <c r="D6" s="91" t="s">
        <v>600</v>
      </c>
      <c r="E6" s="87"/>
      <c r="F6" s="87"/>
      <c r="G6" s="606" t="s">
        <v>88</v>
      </c>
      <c r="H6" s="607"/>
      <c r="I6" s="607"/>
      <c r="J6" s="607"/>
      <c r="K6" s="607"/>
      <c r="L6" s="607"/>
      <c r="M6" s="607"/>
      <c r="N6" s="607"/>
      <c r="O6" s="607"/>
      <c r="P6" s="607"/>
      <c r="Q6" s="607"/>
      <c r="R6" s="608"/>
      <c r="S6" s="93"/>
      <c r="T6" s="91" t="s">
        <v>84</v>
      </c>
      <c r="U6" s="87"/>
      <c r="V6" s="87"/>
      <c r="W6" s="606" t="s">
        <v>88</v>
      </c>
      <c r="X6" s="607"/>
      <c r="Y6" s="607"/>
      <c r="Z6" s="607"/>
      <c r="AA6" s="607"/>
      <c r="AB6" s="607"/>
      <c r="AC6" s="607"/>
      <c r="AD6" s="607"/>
      <c r="AE6" s="607"/>
      <c r="AF6" s="607"/>
      <c r="AG6" s="607"/>
      <c r="AH6" s="608"/>
      <c r="AJ6" s="91" t="s">
        <v>84</v>
      </c>
      <c r="AK6" s="87"/>
      <c r="AL6" s="87"/>
      <c r="AM6" s="606" t="s">
        <v>88</v>
      </c>
      <c r="AN6" s="607"/>
      <c r="AO6" s="607"/>
      <c r="AP6" s="607"/>
      <c r="AQ6" s="607"/>
      <c r="AR6" s="607"/>
      <c r="AS6" s="607"/>
      <c r="AT6" s="607"/>
      <c r="AU6" s="607"/>
      <c r="AV6" s="607"/>
      <c r="AW6" s="607"/>
      <c r="AX6" s="608"/>
    </row>
    <row r="7" spans="1:50" ht="45">
      <c r="A7" s="605"/>
      <c r="B7" s="40" t="s">
        <v>83</v>
      </c>
      <c r="C7" s="39"/>
      <c r="D7" s="40" t="s">
        <v>85</v>
      </c>
      <c r="E7" s="40" t="s">
        <v>86</v>
      </c>
      <c r="F7" s="40" t="s">
        <v>87</v>
      </c>
      <c r="G7" s="40" t="s">
        <v>137</v>
      </c>
      <c r="H7" s="41" t="s">
        <v>138</v>
      </c>
      <c r="I7" s="508" t="s">
        <v>230</v>
      </c>
      <c r="J7" s="508" t="s">
        <v>231</v>
      </c>
      <c r="K7" s="508" t="s">
        <v>242</v>
      </c>
      <c r="L7" s="508" t="s">
        <v>243</v>
      </c>
      <c r="M7" s="508" t="s">
        <v>691</v>
      </c>
      <c r="N7" s="508" t="s">
        <v>692</v>
      </c>
      <c r="O7" s="509" t="s">
        <v>6</v>
      </c>
      <c r="P7" s="508" t="s">
        <v>7</v>
      </c>
      <c r="Q7" s="508" t="s">
        <v>232</v>
      </c>
      <c r="R7" s="508" t="s">
        <v>233</v>
      </c>
      <c r="S7" s="510"/>
      <c r="T7" s="40" t="s">
        <v>85</v>
      </c>
      <c r="U7" s="40" t="s">
        <v>86</v>
      </c>
      <c r="V7" s="40" t="s">
        <v>87</v>
      </c>
      <c r="W7" s="40" t="s">
        <v>137</v>
      </c>
      <c r="X7" s="41" t="s">
        <v>138</v>
      </c>
      <c r="Y7" s="508" t="s">
        <v>230</v>
      </c>
      <c r="Z7" s="508" t="s">
        <v>231</v>
      </c>
      <c r="AA7" s="508" t="s">
        <v>242</v>
      </c>
      <c r="AB7" s="508" t="s">
        <v>243</v>
      </c>
      <c r="AC7" s="508" t="s">
        <v>691</v>
      </c>
      <c r="AD7" s="508" t="s">
        <v>692</v>
      </c>
      <c r="AE7" s="509" t="s">
        <v>6</v>
      </c>
      <c r="AF7" s="508" t="s">
        <v>7</v>
      </c>
      <c r="AG7" s="508" t="s">
        <v>232</v>
      </c>
      <c r="AH7" s="508" t="s">
        <v>233</v>
      </c>
      <c r="AI7" s="498"/>
      <c r="AJ7" s="40" t="s">
        <v>85</v>
      </c>
      <c r="AK7" s="40" t="s">
        <v>86</v>
      </c>
      <c r="AL7" s="40" t="s">
        <v>87</v>
      </c>
      <c r="AM7" s="40" t="s">
        <v>137</v>
      </c>
      <c r="AN7" s="41" t="s">
        <v>138</v>
      </c>
      <c r="AO7" s="508" t="s">
        <v>230</v>
      </c>
      <c r="AP7" s="508" t="s">
        <v>231</v>
      </c>
      <c r="AQ7" s="508" t="s">
        <v>242</v>
      </c>
      <c r="AR7" s="508" t="s">
        <v>243</v>
      </c>
      <c r="AS7" s="508" t="s">
        <v>691</v>
      </c>
      <c r="AT7" s="508" t="s">
        <v>692</v>
      </c>
      <c r="AU7" s="509" t="s">
        <v>6</v>
      </c>
      <c r="AV7" s="508" t="s">
        <v>7</v>
      </c>
      <c r="AW7" s="508" t="s">
        <v>232</v>
      </c>
      <c r="AX7" s="508" t="s">
        <v>233</v>
      </c>
    </row>
    <row r="8" spans="1:50">
      <c r="A8" s="335">
        <v>2003</v>
      </c>
      <c r="B8" s="62" t="str">
        <f>VLOOKUP($A8,'Time-series parameters'!$E$11:$H$89,2,FALSE)</f>
        <v/>
      </c>
      <c r="C8" s="89"/>
      <c r="D8" s="94">
        <f>IF(Option1="No",0,IF($A8=ImplementationYear,('Project details'!$H$10-'Project details'!$D$10)*VLOOKUP(Year_cost_estimate,'Time-series parameters'!$B$11:$C$89,2,FALSE)*$B8*(1+Contingency),0))</f>
        <v>0</v>
      </c>
      <c r="E8" s="94" t="e">
        <f>IF(Option1="No",0,IF($A8&lt;ImplementationYear,0,IF($A8&gt;(ImplementationYear+(Appraisal_Period-1)),0,('Project details'!$H$11-'Project details'!$D$11)*VLOOKUP(Year_cost_estimate,'Time-series parameters'!$B$11:$C$89,2,0))*$B8))</f>
        <v>#VALUE!</v>
      </c>
      <c r="F8" s="94">
        <f>IF(Option1="No",0,IF($A8=ImplementationYear,('Project details'!$H$12-'Project details'!$D$12)*VLOOKUP(Year_cost_estimate,'Time-series parameters'!$B$11:$C$89,2,FALSE)*$B8,0))</f>
        <v>0</v>
      </c>
      <c r="G8" s="97">
        <f>IF(Option1="No",0,IF($A8&lt;ImplementationYear,0,IF($A8&gt;(ImplementationYear+(Appraisal_Period-1)),0,Health!$D$21*$B8)))</f>
        <v>0</v>
      </c>
      <c r="H8" s="97">
        <f>IF(Option1="No",0,IF($A8&lt;ImplementationYear,0,IF($A8&gt;(ImplementationYear+(Appraisal_Period-1)),0,Health!$D$22*$B8)))</f>
        <v>0</v>
      </c>
      <c r="I8" s="97">
        <f>IF(Option1="No",0,IF($A8&lt;ImplementationYear,0,IF($A8&gt;(ImplementationYear+(Appraisal_Period-1)),0,SUM('Travel time'!$D$22:$D$23)*$B8)))</f>
        <v>0</v>
      </c>
      <c r="J8" s="97">
        <f>IF(Option1="No",0,IF($A8&lt;ImplementationYear,0,IF($A8&gt;(ImplementationYear+(Appraisal_Period-1)),0,SUM('Travel time'!$D$20:$D$21)*$B8)))</f>
        <v>0</v>
      </c>
      <c r="K8" s="97">
        <f>IF(Option1="No",0,IF($A8&lt;ImplementationYear,0,IF($A8&gt;(ImplementationYear+(Appraisal_Period-1)),0,SUM(Quality!$D$22:$D$23)*$B8)))</f>
        <v>0</v>
      </c>
      <c r="L8" s="97">
        <f>IF(Option1="No",0,IF($A8&lt;ImplementationYear,0,IF($A8&gt;(ImplementationYear+(Appraisal_Period-1)),0,SUM(Quality!$D$20:$D$21)*$B8)))</f>
        <v>0</v>
      </c>
      <c r="M8" s="97">
        <f>IF(Option1="No",0,IF($A8&lt;ImplementationYear,0,IF($A8&gt;(ImplementationYear+(Appraisal_Period-1)),0,'Mode change'!$D$36*$B8)))</f>
        <v>0</v>
      </c>
      <c r="N8" s="97">
        <f>IF(Option1="No",0,IF($A8&lt;ImplementationYear,0,IF($A8&gt;(ImplementationYear+(Appraisal_Period-1)),0,'Mode change'!$D$37*$B8)))</f>
        <v>0</v>
      </c>
      <c r="O8" s="97">
        <f>IF(Option1="No",0,IF($A8&lt;ImplementationYear,0,IF($A8&gt;(ImplementationYear+(Appraisal_Period-1)),0,'Road safety'!$D$22*$B8)))</f>
        <v>0</v>
      </c>
      <c r="P8" s="97">
        <f>IF(Option1="No",0,IF($A8&lt;ImplementationYear,0,IF($A8&gt;(ImplementationYear+(Appraisal_Period-1)),0,'Reduction in car usage'!$D$46*$B8)))</f>
        <v>0</v>
      </c>
      <c r="Q8" s="97">
        <f>IF(Option1="No",0,IF($A8&lt;ImplementationYear,0,IF($A8&gt;(ImplementationYear+(Appraisal_Period-1)),0,'Reduction in car usage'!$D$47*$B8)))</f>
        <v>0</v>
      </c>
      <c r="R8" s="97">
        <f>IF(Option1="No",0,IF($A8&lt;ImplementationYear,0,IF($A8&gt;(ImplementationYear+(Appraisal_Period-1)),0,'Reduction in car usage'!$D$48*$B8)))</f>
        <v>0</v>
      </c>
      <c r="S8" s="92"/>
      <c r="T8" s="94">
        <f>IF(Option2="No",0,IF($A8=ImplementationYear,('Project details'!$L$10-'Project details'!$D$10)*VLOOKUP(Year_cost_estimate,'Time-series parameters'!$B$11:$C$89,2,FALSE)*$B8*(1+Contingency),0))</f>
        <v>0</v>
      </c>
      <c r="U8" s="94" t="e">
        <f>IF(Option2="No",0,IF($A8&lt;ImplementationYear,0,IF($A8&gt;(ImplementationYear+(Appraisal_Period-1)),0,('Project details'!$L$11-'Project details'!$D$11)*VLOOKUP(Year_cost_estimate,'Time-series parameters'!$B$11:$C$89,2,0))*$B8))</f>
        <v>#VALUE!</v>
      </c>
      <c r="V8" s="94">
        <f>IF(Option2="No",0,IF($A8=ImplementationYear,('Project details'!$L$12-'Project details'!$D$12)*VLOOKUP(Year_cost_estimate,'Time-series parameters'!$B$11:$C$89,2,FALSE)*$B8,0))</f>
        <v>0</v>
      </c>
      <c r="W8" s="97">
        <f>IF(Option2="No",0,IF($A8&lt;ImplementationYear,0,IF($A8&gt;(ImplementationYear+(Appraisal_Period-1)),0,Health!$E$21*$B8)))</f>
        <v>0</v>
      </c>
      <c r="X8" s="97">
        <f>IF(Option2="No",0,IF($A8&lt;ImplementationYear,0,IF($A8&gt;(ImplementationYear+(Appraisal_Period-1)),0,Health!$E$22*$B8)))</f>
        <v>0</v>
      </c>
      <c r="Y8" s="97">
        <f>IF(Option2="No",0,IF($A8&lt;ImplementationYear,0,IF($A8&gt;(ImplementationYear+(Appraisal_Period-1)),0,SUM('Travel time'!$E$22:$E$23)*$B8)))</f>
        <v>0</v>
      </c>
      <c r="Z8" s="97">
        <f>IF(Option2="No",0,IF($A8&lt;ImplementationYear,0,IF($A8&gt;(ImplementationYear+(Appraisal_Period-1)),0,SUM('Travel time'!$E$20:$E$21)*$B8)))</f>
        <v>0</v>
      </c>
      <c r="AA8" s="97">
        <f>IF(Option2="No",0,IF($A8&lt;ImplementationYear,0,IF($A8&gt;(ImplementationYear+(Appraisal_Period-1)),0,SUM(Quality!$E$22:$E$23)*$B8)))</f>
        <v>0</v>
      </c>
      <c r="AB8" s="97">
        <f>IF(Option2="No",0,IF($A8&lt;ImplementationYear,0,IF($A8&gt;(ImplementationYear+(Appraisal_Period-1)),0,SUM(Quality!$E$20:$E$21)*$B8)))</f>
        <v>0</v>
      </c>
      <c r="AC8" s="97">
        <f>IF(Option2="No",0,IF($A8&lt;ImplementationYear,0,IF($A8&gt;(ImplementationYear+(Appraisal_Period-1)),0,'Mode change'!$E$36*$B8)))</f>
        <v>0</v>
      </c>
      <c r="AD8" s="97">
        <f>IF(Option2="No",0,IF($A8&lt;ImplementationYear,0,IF($A8&gt;(ImplementationYear+(Appraisal_Period-1)),0,'Mode change'!$E$37*$B8)))</f>
        <v>0</v>
      </c>
      <c r="AE8" s="97">
        <f>IF(Option2="No",0,IF($A8&lt;ImplementationYear,0,IF($A8&gt;(ImplementationYear+(Appraisal_Period-1)),0,'Road safety'!$E$22*$B8)))</f>
        <v>0</v>
      </c>
      <c r="AF8" s="97">
        <f>IF(Option2="No",0,IF($A8&lt;ImplementationYear,0,IF($A8&gt;(ImplementationYear+(Appraisal_Period-1)),0,'Reduction in car usage'!$E$46*$B8)))</f>
        <v>0</v>
      </c>
      <c r="AG8" s="97">
        <f>IF(Option2="No",0,IF($A8&lt;ImplementationYear,0,IF($A8&gt;(ImplementationYear+(Appraisal_Period-1)),0,'Reduction in car usage'!$E$47*$B8)))</f>
        <v>0</v>
      </c>
      <c r="AH8" s="97">
        <f>IF(Option2="No",0,IF($A8&lt;ImplementationYear,0,IF($A8&gt;(ImplementationYear+(Appraisal_Period-1)),0,'Reduction in car usage'!$E$48*$B8)))</f>
        <v>0</v>
      </c>
      <c r="AJ8" s="94">
        <f>IF(Option3="No",0,IF($A8=ImplementationYear,('Project details'!$P$10-'Project details'!$D$10)*VLOOKUP(Year_cost_estimate,'Time-series parameters'!$B$11:$C$89,2,FALSE)*$B8*(1+Contingency),0))</f>
        <v>0</v>
      </c>
      <c r="AK8" s="94" t="e">
        <f>IF(Option3="No",0,IF($A8&lt;ImplementationYear,0,IF($A8&gt;(ImplementationYear+(Appraisal_Period-1)),0,('Project details'!$P$11-'Project details'!$D$11)*VLOOKUP(Year_cost_estimate,'Time-series parameters'!$B$11:$C$89,2,0))*$B8))</f>
        <v>#VALUE!</v>
      </c>
      <c r="AL8" s="94">
        <f>IF(Option3="No",0,IF($A8=ImplementationYear,('Project details'!$P$12-'Project details'!$D$12)*VLOOKUP(Year_cost_estimate,'Time-series parameters'!$B$11:$C$89,2,FALSE)*$B8,0))</f>
        <v>0</v>
      </c>
      <c r="AM8" s="97">
        <f>IF(Option3="No",0,IF($A8&lt;ImplementationYear,0,IF($A8&gt;(ImplementationYear+(Appraisal_Period-1)),0,Health!$F$21*$B8)))</f>
        <v>0</v>
      </c>
      <c r="AN8" s="97">
        <f>IF(Option3="No",0,IF($A8&lt;ImplementationYear,0,IF($A8&gt;(ImplementationYear+(Appraisal_Period-1)),0,Health!$F$22*$B8)))</f>
        <v>0</v>
      </c>
      <c r="AO8" s="97">
        <f>IF(Option3="No",0,IF($A8&lt;ImplementationYear,0,IF($A8&gt;(ImplementationYear+(Appraisal_Period-1)),0,SUM('Travel time'!$F$22:$F$23)*$B8)))</f>
        <v>0</v>
      </c>
      <c r="AP8" s="97">
        <f>IF(Option3="No",0,IF($A8&lt;ImplementationYear,0,IF($A8&gt;(ImplementationYear+(Appraisal_Period-1)),0,SUM('Travel time'!$F$20:$F$21)*$B8)))</f>
        <v>0</v>
      </c>
      <c r="AQ8" s="97">
        <f>IF(Option3="No",0,IF($A8&lt;ImplementationYear,0,IF($A8&gt;(ImplementationYear+(Appraisal_Period-1)),0,SUM(Quality!$F$22:$F$23)*$B8)))</f>
        <v>0</v>
      </c>
      <c r="AR8" s="97">
        <f>IF(Option3="No",0,IF($A8&lt;ImplementationYear,0,IF($A8&gt;(ImplementationYear+(Appraisal_Period-1)),0,SUM(Quality!$F$20:$F$21)*$B8)))</f>
        <v>0</v>
      </c>
      <c r="AS8" s="97">
        <f>IF(Option3="No",0,IF($A8&lt;ImplementationYear,0,IF($A8&gt;(ImplementationYear+(Appraisal_Period-1)),0,'Mode change'!$F$36*$B8)))</f>
        <v>0</v>
      </c>
      <c r="AT8" s="97">
        <f>IF(Option3="No",0,IF($A8&lt;ImplementationYear,0,IF($A8&gt;(ImplementationYear+(Appraisal_Period-1)),0,'Mode change'!$F$37*$B8)))</f>
        <v>0</v>
      </c>
      <c r="AU8" s="97">
        <f>IF(Option3="No",0,IF($A8&lt;ImplementationYear,0,IF($A8&gt;(ImplementationYear+(Appraisal_Period-1)),0,'Road safety'!$F$22*$B8)))</f>
        <v>0</v>
      </c>
      <c r="AV8" s="97">
        <f>IF(Option3="No",0,IF($A8&lt;ImplementationYear,0,IF($A8&gt;(ImplementationYear+(Appraisal_Period-1)),0,'Reduction in car usage'!$F$46*$B8)))</f>
        <v>0</v>
      </c>
      <c r="AW8" s="97">
        <f>IF(Option3="No",0,IF($A8&lt;ImplementationYear,0,IF($A8&gt;(ImplementationYear+(Appraisal_Period-1)),0,'Reduction in car usage'!$F$47*$B8)))</f>
        <v>0</v>
      </c>
      <c r="AX8" s="97">
        <f>IF(Option3="No",0,IF($A8&lt;ImplementationYear,0,IF($A8&gt;(ImplementationYear+(Appraisal_Period-1)),0,'Reduction in car usage'!$F$48*$B8)))</f>
        <v>0</v>
      </c>
    </row>
    <row r="9" spans="1:50">
      <c r="A9" s="335">
        <v>2004</v>
      </c>
      <c r="B9" s="62" t="str">
        <f>VLOOKUP($A9,'Time-series parameters'!$E$11:$H$89,2,FALSE)</f>
        <v/>
      </c>
      <c r="C9" s="89"/>
      <c r="D9" s="94">
        <f>IF(Option1="No",0,IF($A9=ImplementationYear,('Project details'!$H$10-'Project details'!$D$10)*VLOOKUP(Year_cost_estimate,'Time-series parameters'!$B$11:$C$89,2,FALSE)*$B9*(1+Contingency),0))</f>
        <v>0</v>
      </c>
      <c r="E9" s="94" t="e">
        <f>IF(Option1="No",0,IF($A9&lt;ImplementationYear,0,IF($A9&gt;(ImplementationYear+(Appraisal_Period-1)),0,('Project details'!$H$11-'Project details'!$D$11)*VLOOKUP(Year_cost_estimate,'Time-series parameters'!$B$11:$C$89,2,0))*$B9))</f>
        <v>#VALUE!</v>
      </c>
      <c r="F9" s="94">
        <f>IF(Option1="No",0,IF($A9=ImplementationYear,('Project details'!$H$12-'Project details'!$D$12)*VLOOKUP(Year_cost_estimate,'Time-series parameters'!$B$11:$C$89,2,FALSE)*$B9,0))</f>
        <v>0</v>
      </c>
      <c r="G9" s="97">
        <f>IF(Option1="No",0,IF($A9&lt;ImplementationYear,0,IF($A9&gt;(ImplementationYear+(Appraisal_Period-1)),0,Health!$D$21*$B9)))</f>
        <v>0</v>
      </c>
      <c r="H9" s="97">
        <f>IF(Option1="No",0,IF($A9&lt;ImplementationYear,0,IF($A9&gt;(ImplementationYear+(Appraisal_Period-1)),0,Health!$D$22*$B9)))</f>
        <v>0</v>
      </c>
      <c r="I9" s="97">
        <f>IF(Option1="No",0,IF($A9&lt;ImplementationYear,0,IF($A9&gt;(ImplementationYear+(Appraisal_Period-1)),0,SUM('Travel time'!$D$22:$D$23)*$B9)))</f>
        <v>0</v>
      </c>
      <c r="J9" s="97">
        <f>IF(Option1="No",0,IF($A9&lt;ImplementationYear,0,IF($A9&gt;(ImplementationYear+(Appraisal_Period-1)),0,SUM('Travel time'!$D$20:$D$21)*$B9)))</f>
        <v>0</v>
      </c>
      <c r="K9" s="97">
        <f>IF(Option1="No",0,IF($A9&lt;ImplementationYear,0,IF($A9&gt;(ImplementationYear+(Appraisal_Period-1)),0,SUM(Quality!$D$22:$D$23)*$B9)))</f>
        <v>0</v>
      </c>
      <c r="L9" s="97">
        <f>IF(Option1="No",0,IF($A9&lt;ImplementationYear,0,IF($A9&gt;(ImplementationYear+(Appraisal_Period-1)),0,SUM(Quality!$D$20:$D$21)*$B9)))</f>
        <v>0</v>
      </c>
      <c r="M9" s="97">
        <f>IF(Option1="No",0,IF($A9&lt;ImplementationYear,0,IF($A9&gt;(ImplementationYear+(Appraisal_Period-1)),0,'Mode change'!$D$36*$B9)))</f>
        <v>0</v>
      </c>
      <c r="N9" s="97">
        <f>IF(Option1="No",0,IF($A9&lt;ImplementationYear,0,IF($A9&gt;(ImplementationYear+(Appraisal_Period-1)),0,'Mode change'!$D$37*$B9)))</f>
        <v>0</v>
      </c>
      <c r="O9" s="97">
        <f>IF(Option1="No",0,IF($A9&lt;ImplementationYear,0,IF($A9&gt;(ImplementationYear+(Appraisal_Period-1)),0,'Road safety'!$D$22*$B9)))</f>
        <v>0</v>
      </c>
      <c r="P9" s="97">
        <f>IF(Option1="No",0,IF($A9&lt;ImplementationYear,0,IF($A9&gt;(ImplementationYear+(Appraisal_Period-1)),0,'Reduction in car usage'!$D$46*$B9)))</f>
        <v>0</v>
      </c>
      <c r="Q9" s="97">
        <f>IF(Option1="No",0,IF($A9&lt;ImplementationYear,0,IF($A9&gt;(ImplementationYear+(Appraisal_Period-1)),0,'Reduction in car usage'!$D$47*$B9)))</f>
        <v>0</v>
      </c>
      <c r="R9" s="97">
        <f>IF(Option1="No",0,IF($A9&lt;ImplementationYear,0,IF($A9&gt;(ImplementationYear+(Appraisal_Period-1)),0,'Reduction in car usage'!$D$48*$B9)))</f>
        <v>0</v>
      </c>
      <c r="S9" s="92"/>
      <c r="T9" s="94">
        <f>IF(Option2="No",0,IF($A9=ImplementationYear,('Project details'!$L$10-'Project details'!$D$10)*VLOOKUP(Year_cost_estimate,'Time-series parameters'!$B$11:$C$89,2,FALSE)*$B9*(1+Contingency),0))</f>
        <v>0</v>
      </c>
      <c r="U9" s="94" t="e">
        <f>IF(Option2="No",0,IF($A9&lt;ImplementationYear,0,IF($A9&gt;(ImplementationYear+(Appraisal_Period-1)),0,('Project details'!$L$11-'Project details'!$D$11)*VLOOKUP(Year_cost_estimate,'Time-series parameters'!$B$11:$C$89,2,0))*$B9))</f>
        <v>#VALUE!</v>
      </c>
      <c r="V9" s="94">
        <f>IF(Option2="No",0,IF($A9=ImplementationYear,('Project details'!$L$12-'Project details'!$D$12)*VLOOKUP(Year_cost_estimate,'Time-series parameters'!$B$11:$C$89,2,FALSE)*$B9,0))</f>
        <v>0</v>
      </c>
      <c r="W9" s="97">
        <f>IF(Option2="No",0,IF($A9&lt;ImplementationYear,0,IF($A9&gt;(ImplementationYear+(Appraisal_Period-1)),0,Health!$E$21*$B9)))</f>
        <v>0</v>
      </c>
      <c r="X9" s="97">
        <f>IF(Option2="No",0,IF($A9&lt;ImplementationYear,0,IF($A9&gt;(ImplementationYear+(Appraisal_Period-1)),0,Health!$E$22*$B9)))</f>
        <v>0</v>
      </c>
      <c r="Y9" s="97">
        <f>IF(Option2="No",0,IF($A9&lt;ImplementationYear,0,IF($A9&gt;(ImplementationYear+(Appraisal_Period-1)),0,SUM('Travel time'!$E$22:$E$23)*$B9)))</f>
        <v>0</v>
      </c>
      <c r="Z9" s="97">
        <f>IF(Option2="No",0,IF($A9&lt;ImplementationYear,0,IF($A9&gt;(ImplementationYear+(Appraisal_Period-1)),0,SUM('Travel time'!$E$20:$E$21)*$B9)))</f>
        <v>0</v>
      </c>
      <c r="AA9" s="97">
        <f>IF(Option2="No",0,IF($A9&lt;ImplementationYear,0,IF($A9&gt;(ImplementationYear+(Appraisal_Period-1)),0,SUM(Quality!$E$22:$E$23)*$B9)))</f>
        <v>0</v>
      </c>
      <c r="AB9" s="97">
        <f>IF(Option2="No",0,IF($A9&lt;ImplementationYear,0,IF($A9&gt;(ImplementationYear+(Appraisal_Period-1)),0,SUM(Quality!$E$20:$E$21)*$B9)))</f>
        <v>0</v>
      </c>
      <c r="AC9" s="97">
        <f>IF(Option2="No",0,IF($A9&lt;ImplementationYear,0,IF($A9&gt;(ImplementationYear+(Appraisal_Period-1)),0,'Mode change'!$E$36*$B9)))</f>
        <v>0</v>
      </c>
      <c r="AD9" s="97">
        <f>IF(Option2="No",0,IF($A9&lt;ImplementationYear,0,IF($A9&gt;(ImplementationYear+(Appraisal_Period-1)),0,'Mode change'!$E$37*$B9)))</f>
        <v>0</v>
      </c>
      <c r="AE9" s="97">
        <f>IF(Option2="No",0,IF($A9&lt;ImplementationYear,0,IF($A9&gt;(ImplementationYear+(Appraisal_Period-1)),0,'Road safety'!$E$22*$B9)))</f>
        <v>0</v>
      </c>
      <c r="AF9" s="97">
        <f>IF(Option2="No",0,IF($A9&lt;ImplementationYear,0,IF($A9&gt;(ImplementationYear+(Appraisal_Period-1)),0,'Reduction in car usage'!$E$46*$B9)))</f>
        <v>0</v>
      </c>
      <c r="AG9" s="97">
        <f>IF(Option2="No",0,IF($A9&lt;ImplementationYear,0,IF($A9&gt;(ImplementationYear+(Appraisal_Period-1)),0,'Reduction in car usage'!$E$47*$B9)))</f>
        <v>0</v>
      </c>
      <c r="AH9" s="97">
        <f>IF(Option2="No",0,IF($A9&lt;ImplementationYear,0,IF($A9&gt;(ImplementationYear+(Appraisal_Period-1)),0,'Reduction in car usage'!$E$48*$B9)))</f>
        <v>0</v>
      </c>
      <c r="AJ9" s="94">
        <f>IF(Option3="No",0,IF($A9=ImplementationYear,('Project details'!$P$10-'Project details'!$D$10)*VLOOKUP(Year_cost_estimate,'Time-series parameters'!$B$11:$C$89,2,FALSE)*$B9*(1+Contingency),0))</f>
        <v>0</v>
      </c>
      <c r="AK9" s="94" t="e">
        <f>IF(Option3="No",0,IF($A9&lt;ImplementationYear,0,IF($A9&gt;(ImplementationYear+(Appraisal_Period-1)),0,('Project details'!$P$11-'Project details'!$D$11)*VLOOKUP(Year_cost_estimate,'Time-series parameters'!$B$11:$C$89,2,0))*$B9))</f>
        <v>#VALUE!</v>
      </c>
      <c r="AL9" s="94">
        <f>IF(Option3="No",0,IF($A9=ImplementationYear,('Project details'!$P$12-'Project details'!$D$12)*VLOOKUP(Year_cost_estimate,'Time-series parameters'!$B$11:$C$89,2,FALSE)*$B9,0))</f>
        <v>0</v>
      </c>
      <c r="AM9" s="97">
        <f>IF(Option3="No",0,IF($A9&lt;ImplementationYear,0,IF($A9&gt;(ImplementationYear+(Appraisal_Period-1)),0,Health!$F$21*$B9)))</f>
        <v>0</v>
      </c>
      <c r="AN9" s="97">
        <f>IF(Option3="No",0,IF($A9&lt;ImplementationYear,0,IF($A9&gt;(ImplementationYear+(Appraisal_Period-1)),0,Health!$F$22*$B9)))</f>
        <v>0</v>
      </c>
      <c r="AO9" s="97">
        <f>IF(Option3="No",0,IF($A9&lt;ImplementationYear,0,IF($A9&gt;(ImplementationYear+(Appraisal_Period-1)),0,SUM('Travel time'!$F$22:$F$23)*$B9)))</f>
        <v>0</v>
      </c>
      <c r="AP9" s="97">
        <f>IF(Option3="No",0,IF($A9&lt;ImplementationYear,0,IF($A9&gt;(ImplementationYear+(Appraisal_Period-1)),0,SUM('Travel time'!$F$20:$F$21)*$B9)))</f>
        <v>0</v>
      </c>
      <c r="AQ9" s="97">
        <f>IF(Option3="No",0,IF($A9&lt;ImplementationYear,0,IF($A9&gt;(ImplementationYear+(Appraisal_Period-1)),0,SUM(Quality!$F$22:$F$23)*$B9)))</f>
        <v>0</v>
      </c>
      <c r="AR9" s="97">
        <f>IF(Option3="No",0,IF($A9&lt;ImplementationYear,0,IF($A9&gt;(ImplementationYear+(Appraisal_Period-1)),0,SUM(Quality!$F$20:$F$21)*$B9)))</f>
        <v>0</v>
      </c>
      <c r="AS9" s="97">
        <f>IF(Option3="No",0,IF($A9&lt;ImplementationYear,0,IF($A9&gt;(ImplementationYear+(Appraisal_Period-1)),0,'Mode change'!$F$36*$B9)))</f>
        <v>0</v>
      </c>
      <c r="AT9" s="97">
        <f>IF(Option3="No",0,IF($A9&lt;ImplementationYear,0,IF($A9&gt;(ImplementationYear+(Appraisal_Period-1)),0,'Mode change'!$F$37*$B9)))</f>
        <v>0</v>
      </c>
      <c r="AU9" s="97">
        <f>IF(Option3="No",0,IF($A9&lt;ImplementationYear,0,IF($A9&gt;(ImplementationYear+(Appraisal_Period-1)),0,'Road safety'!$F$22*$B9)))</f>
        <v>0</v>
      </c>
      <c r="AV9" s="97">
        <f>IF(Option3="No",0,IF($A9&lt;ImplementationYear,0,IF($A9&gt;(ImplementationYear+(Appraisal_Period-1)),0,'Reduction in car usage'!$F$46*$B9)))</f>
        <v>0</v>
      </c>
      <c r="AW9" s="97">
        <f>IF(Option3="No",0,IF($A9&lt;ImplementationYear,0,IF($A9&gt;(ImplementationYear+(Appraisal_Period-1)),0,'Reduction in car usage'!$F$47*$B9)))</f>
        <v>0</v>
      </c>
      <c r="AX9" s="97">
        <f>IF(Option3="No",0,IF($A9&lt;ImplementationYear,0,IF($A9&gt;(ImplementationYear+(Appraisal_Period-1)),0,'Reduction in car usage'!$F$48*$B9)))</f>
        <v>0</v>
      </c>
    </row>
    <row r="10" spans="1:50">
      <c r="A10" s="335">
        <v>2005</v>
      </c>
      <c r="B10" s="62" t="str">
        <f>VLOOKUP($A10,'Time-series parameters'!$E$11:$H$89,2,FALSE)</f>
        <v/>
      </c>
      <c r="C10" s="89"/>
      <c r="D10" s="94">
        <f>IF(Option1="No",0,IF($A10=ImplementationYear,('Project details'!$H$10-'Project details'!$D$10)*VLOOKUP(Year_cost_estimate,'Time-series parameters'!$B$11:$C$89,2,FALSE)*$B10*(1+Contingency),0))</f>
        <v>0</v>
      </c>
      <c r="E10" s="94" t="e">
        <f>IF(Option1="No",0,IF($A10&lt;ImplementationYear,0,IF($A10&gt;(ImplementationYear+(Appraisal_Period-1)),0,('Project details'!$H$11-'Project details'!$D$11)*VLOOKUP(Year_cost_estimate,'Time-series parameters'!$B$11:$C$89,2,0))*$B10))</f>
        <v>#VALUE!</v>
      </c>
      <c r="F10" s="94">
        <f>IF(Option1="No",0,IF($A10=ImplementationYear,('Project details'!$H$12-'Project details'!$D$12)*VLOOKUP(Year_cost_estimate,'Time-series parameters'!$B$11:$C$89,2,FALSE)*$B10,0))</f>
        <v>0</v>
      </c>
      <c r="G10" s="97">
        <f>IF(Option1="No",0,IF($A10&lt;ImplementationYear,0,IF($A10&gt;(ImplementationYear+(Appraisal_Period-1)),0,Health!$D$21*$B10)))</f>
        <v>0</v>
      </c>
      <c r="H10" s="97">
        <f>IF(Option1="No",0,IF($A10&lt;ImplementationYear,0,IF($A10&gt;(ImplementationYear+(Appraisal_Period-1)),0,Health!$D$22*$B10)))</f>
        <v>0</v>
      </c>
      <c r="I10" s="97">
        <f>IF(Option1="No",0,IF($A10&lt;ImplementationYear,0,IF($A10&gt;(ImplementationYear+(Appraisal_Period-1)),0,SUM('Travel time'!$D$22:$D$23)*$B10)))</f>
        <v>0</v>
      </c>
      <c r="J10" s="97">
        <f>IF(Option1="No",0,IF($A10&lt;ImplementationYear,0,IF($A10&gt;(ImplementationYear+(Appraisal_Period-1)),0,SUM('Travel time'!$D$20:$D$21)*$B10)))</f>
        <v>0</v>
      </c>
      <c r="K10" s="97">
        <f>IF(Option1="No",0,IF($A10&lt;ImplementationYear,0,IF($A10&gt;(ImplementationYear+(Appraisal_Period-1)),0,SUM(Quality!$D$22:$D$23)*$B10)))</f>
        <v>0</v>
      </c>
      <c r="L10" s="97">
        <f>IF(Option1="No",0,IF($A10&lt;ImplementationYear,0,IF($A10&gt;(ImplementationYear+(Appraisal_Period-1)),0,SUM(Quality!$D$20:$D$21)*$B10)))</f>
        <v>0</v>
      </c>
      <c r="M10" s="97">
        <f>IF(Option1="No",0,IF($A10&lt;ImplementationYear,0,IF($A10&gt;(ImplementationYear+(Appraisal_Period-1)),0,'Mode change'!$D$36*$B10)))</f>
        <v>0</v>
      </c>
      <c r="N10" s="97">
        <f>IF(Option1="No",0,IF($A10&lt;ImplementationYear,0,IF($A10&gt;(ImplementationYear+(Appraisal_Period-1)),0,'Mode change'!$D$37*$B10)))</f>
        <v>0</v>
      </c>
      <c r="O10" s="97">
        <f>IF(Option1="No",0,IF($A10&lt;ImplementationYear,0,IF($A10&gt;(ImplementationYear+(Appraisal_Period-1)),0,'Road safety'!$D$22*$B10)))</f>
        <v>0</v>
      </c>
      <c r="P10" s="97">
        <f>IF(Option1="No",0,IF($A10&lt;ImplementationYear,0,IF($A10&gt;(ImplementationYear+(Appraisal_Period-1)),0,'Reduction in car usage'!$D$46*$B10)))</f>
        <v>0</v>
      </c>
      <c r="Q10" s="97">
        <f>IF(Option1="No",0,IF($A10&lt;ImplementationYear,0,IF($A10&gt;(ImplementationYear+(Appraisal_Period-1)),0,'Reduction in car usage'!$D$47*$B10)))</f>
        <v>0</v>
      </c>
      <c r="R10" s="97">
        <f>IF(Option1="No",0,IF($A10&lt;ImplementationYear,0,IF($A10&gt;(ImplementationYear+(Appraisal_Period-1)),0,'Reduction in car usage'!$D$48*$B10)))</f>
        <v>0</v>
      </c>
      <c r="S10" s="92"/>
      <c r="T10" s="94">
        <f>IF(Option2="No",0,IF($A10=ImplementationYear,('Project details'!$L$10-'Project details'!$D$10)*VLOOKUP(Year_cost_estimate,'Time-series parameters'!$B$11:$C$89,2,FALSE)*$B10*(1+Contingency),0))</f>
        <v>0</v>
      </c>
      <c r="U10" s="94" t="e">
        <f>IF(Option2="No",0,IF($A10&lt;ImplementationYear,0,IF($A10&gt;(ImplementationYear+(Appraisal_Period-1)),0,('Project details'!$L$11-'Project details'!$D$11)*VLOOKUP(Year_cost_estimate,'Time-series parameters'!$B$11:$C$89,2,0))*$B10))</f>
        <v>#VALUE!</v>
      </c>
      <c r="V10" s="94">
        <f>IF(Option2="No",0,IF($A10=ImplementationYear,('Project details'!$L$12-'Project details'!$D$12)*VLOOKUP(Year_cost_estimate,'Time-series parameters'!$B$11:$C$89,2,FALSE)*$B10,0))</f>
        <v>0</v>
      </c>
      <c r="W10" s="97">
        <f>IF(Option2="No",0,IF($A10&lt;ImplementationYear,0,IF($A10&gt;(ImplementationYear+(Appraisal_Period-1)),0,Health!$E$21*$B10)))</f>
        <v>0</v>
      </c>
      <c r="X10" s="97">
        <f>IF(Option2="No",0,IF($A10&lt;ImplementationYear,0,IF($A10&gt;(ImplementationYear+(Appraisal_Period-1)),0,Health!$E$22*$B10)))</f>
        <v>0</v>
      </c>
      <c r="Y10" s="97">
        <f>IF(Option2="No",0,IF($A10&lt;ImplementationYear,0,IF($A10&gt;(ImplementationYear+(Appraisal_Period-1)),0,SUM('Travel time'!$E$22:$E$23)*$B10)))</f>
        <v>0</v>
      </c>
      <c r="Z10" s="97">
        <f>IF(Option2="No",0,IF($A10&lt;ImplementationYear,0,IF($A10&gt;(ImplementationYear+(Appraisal_Period-1)),0,SUM('Travel time'!$E$20:$E$21)*$B10)))</f>
        <v>0</v>
      </c>
      <c r="AA10" s="97">
        <f>IF(Option2="No",0,IF($A10&lt;ImplementationYear,0,IF($A10&gt;(ImplementationYear+(Appraisal_Period-1)),0,SUM(Quality!$E$22:$E$23)*$B10)))</f>
        <v>0</v>
      </c>
      <c r="AB10" s="97">
        <f>IF(Option2="No",0,IF($A10&lt;ImplementationYear,0,IF($A10&gt;(ImplementationYear+(Appraisal_Period-1)),0,SUM(Quality!$E$20:$E$21)*$B10)))</f>
        <v>0</v>
      </c>
      <c r="AC10" s="97">
        <f>IF(Option2="No",0,IF($A10&lt;ImplementationYear,0,IF($A10&gt;(ImplementationYear+(Appraisal_Period-1)),0,'Mode change'!$E$36*$B10)))</f>
        <v>0</v>
      </c>
      <c r="AD10" s="97">
        <f>IF(Option2="No",0,IF($A10&lt;ImplementationYear,0,IF($A10&gt;(ImplementationYear+(Appraisal_Period-1)),0,'Mode change'!$E$37*$B10)))</f>
        <v>0</v>
      </c>
      <c r="AE10" s="97">
        <f>IF(Option2="No",0,IF($A10&lt;ImplementationYear,0,IF($A10&gt;(ImplementationYear+(Appraisal_Period-1)),0,'Road safety'!$E$22*$B10)))</f>
        <v>0</v>
      </c>
      <c r="AF10" s="97">
        <f>IF(Option2="No",0,IF($A10&lt;ImplementationYear,0,IF($A10&gt;(ImplementationYear+(Appraisal_Period-1)),0,'Reduction in car usage'!$E$46*$B10)))</f>
        <v>0</v>
      </c>
      <c r="AG10" s="97">
        <f>IF(Option2="No",0,IF($A10&lt;ImplementationYear,0,IF($A10&gt;(ImplementationYear+(Appraisal_Period-1)),0,'Reduction in car usage'!$E$47*$B10)))</f>
        <v>0</v>
      </c>
      <c r="AH10" s="97">
        <f>IF(Option2="No",0,IF($A10&lt;ImplementationYear,0,IF($A10&gt;(ImplementationYear+(Appraisal_Period-1)),0,'Reduction in car usage'!$E$48*$B10)))</f>
        <v>0</v>
      </c>
      <c r="AJ10" s="94">
        <f>IF(Option3="No",0,IF($A10=ImplementationYear,('Project details'!$P$10-'Project details'!$D$10)*VLOOKUP(Year_cost_estimate,'Time-series parameters'!$B$11:$C$89,2,FALSE)*$B10*(1+Contingency),0))</f>
        <v>0</v>
      </c>
      <c r="AK10" s="94" t="e">
        <f>IF(Option3="No",0,IF($A10&lt;ImplementationYear,0,IF($A10&gt;(ImplementationYear+(Appraisal_Period-1)),0,('Project details'!$P$11-'Project details'!$D$11)*VLOOKUP(Year_cost_estimate,'Time-series parameters'!$B$11:$C$89,2,0))*$B10))</f>
        <v>#VALUE!</v>
      </c>
      <c r="AL10" s="94">
        <f>IF(Option3="No",0,IF($A10=ImplementationYear,('Project details'!$P$12-'Project details'!$D$12)*VLOOKUP(Year_cost_estimate,'Time-series parameters'!$B$11:$C$89,2,FALSE)*$B10,0))</f>
        <v>0</v>
      </c>
      <c r="AM10" s="97">
        <f>IF(Option3="No",0,IF($A10&lt;ImplementationYear,0,IF($A10&gt;(ImplementationYear+(Appraisal_Period-1)),0,Health!$F$21*$B10)))</f>
        <v>0</v>
      </c>
      <c r="AN10" s="97">
        <f>IF(Option3="No",0,IF($A10&lt;ImplementationYear,0,IF($A10&gt;(ImplementationYear+(Appraisal_Period-1)),0,Health!$F$22*$B10)))</f>
        <v>0</v>
      </c>
      <c r="AO10" s="97">
        <f>IF(Option3="No",0,IF($A10&lt;ImplementationYear,0,IF($A10&gt;(ImplementationYear+(Appraisal_Period-1)),0,SUM('Travel time'!$F$22:$F$23)*$B10)))</f>
        <v>0</v>
      </c>
      <c r="AP10" s="97">
        <f>IF(Option3="No",0,IF($A10&lt;ImplementationYear,0,IF($A10&gt;(ImplementationYear+(Appraisal_Period-1)),0,SUM('Travel time'!$F$20:$F$21)*$B10)))</f>
        <v>0</v>
      </c>
      <c r="AQ10" s="97">
        <f>IF(Option3="No",0,IF($A10&lt;ImplementationYear,0,IF($A10&gt;(ImplementationYear+(Appraisal_Period-1)),0,SUM(Quality!$F$22:$F$23)*$B10)))</f>
        <v>0</v>
      </c>
      <c r="AR10" s="97">
        <f>IF(Option3="No",0,IF($A10&lt;ImplementationYear,0,IF($A10&gt;(ImplementationYear+(Appraisal_Period-1)),0,SUM(Quality!$F$20:$F$21)*$B10)))</f>
        <v>0</v>
      </c>
      <c r="AS10" s="97">
        <f>IF(Option3="No",0,IF($A10&lt;ImplementationYear,0,IF($A10&gt;(ImplementationYear+(Appraisal_Period-1)),0,'Mode change'!$F$36*$B10)))</f>
        <v>0</v>
      </c>
      <c r="AT10" s="97">
        <f>IF(Option3="No",0,IF($A10&lt;ImplementationYear,0,IF($A10&gt;(ImplementationYear+(Appraisal_Period-1)),0,'Mode change'!$F$37*$B10)))</f>
        <v>0</v>
      </c>
      <c r="AU10" s="97">
        <f>IF(Option3="No",0,IF($A10&lt;ImplementationYear,0,IF($A10&gt;(ImplementationYear+(Appraisal_Period-1)),0,'Road safety'!$F$22*$B10)))</f>
        <v>0</v>
      </c>
      <c r="AV10" s="97">
        <f>IF(Option3="No",0,IF($A10&lt;ImplementationYear,0,IF($A10&gt;(ImplementationYear+(Appraisal_Period-1)),0,'Reduction in car usage'!$F$46*$B10)))</f>
        <v>0</v>
      </c>
      <c r="AW10" s="97">
        <f>IF(Option3="No",0,IF($A10&lt;ImplementationYear,0,IF($A10&gt;(ImplementationYear+(Appraisal_Period-1)),0,'Reduction in car usage'!$F$47*$B10)))</f>
        <v>0</v>
      </c>
      <c r="AX10" s="97">
        <f>IF(Option3="No",0,IF($A10&lt;ImplementationYear,0,IF($A10&gt;(ImplementationYear+(Appraisal_Period-1)),0,'Reduction in car usage'!$F$48*$B10)))</f>
        <v>0</v>
      </c>
    </row>
    <row r="11" spans="1:50">
      <c r="A11" s="335">
        <v>2006</v>
      </c>
      <c r="B11" s="62" t="str">
        <f>VLOOKUP($A11,'Time-series parameters'!$E$11:$H$89,2,FALSE)</f>
        <v/>
      </c>
      <c r="C11" s="89"/>
      <c r="D11" s="94">
        <f>IF(Option1="No",0,IF($A11=ImplementationYear,('Project details'!$H$10-'Project details'!$D$10)*VLOOKUP(Year_cost_estimate,'Time-series parameters'!$B$11:$C$89,2,FALSE)*$B11*(1+Contingency),0))</f>
        <v>0</v>
      </c>
      <c r="E11" s="94" t="e">
        <f>IF(Option1="No",0,IF($A11&lt;ImplementationYear,0,IF($A11&gt;(ImplementationYear+(Appraisal_Period-1)),0,('Project details'!$H$11-'Project details'!$D$11)*VLOOKUP(Year_cost_estimate,'Time-series parameters'!$B$11:$C$89,2,0))*$B11))</f>
        <v>#VALUE!</v>
      </c>
      <c r="F11" s="94">
        <f>IF(Option1="No",0,IF($A11=ImplementationYear,('Project details'!$H$12-'Project details'!$D$12)*VLOOKUP(Year_cost_estimate,'Time-series parameters'!$B$11:$C$89,2,FALSE)*$B11,0))</f>
        <v>0</v>
      </c>
      <c r="G11" s="97">
        <f>IF(Option1="No",0,IF($A11&lt;ImplementationYear,0,IF($A11&gt;(ImplementationYear+(Appraisal_Period-1)),0,Health!$D$21*$B11)))</f>
        <v>0</v>
      </c>
      <c r="H11" s="97">
        <f>IF(Option1="No",0,IF($A11&lt;ImplementationYear,0,IF($A11&gt;(ImplementationYear+(Appraisal_Period-1)),0,Health!$D$22*$B11)))</f>
        <v>0</v>
      </c>
      <c r="I11" s="97">
        <f>IF(Option1="No",0,IF($A11&lt;ImplementationYear,0,IF($A11&gt;(ImplementationYear+(Appraisal_Period-1)),0,SUM('Travel time'!$D$22:$D$23)*$B11)))</f>
        <v>0</v>
      </c>
      <c r="J11" s="97">
        <f>IF(Option1="No",0,IF($A11&lt;ImplementationYear,0,IF($A11&gt;(ImplementationYear+(Appraisal_Period-1)),0,SUM('Travel time'!$D$20:$D$21)*$B11)))</f>
        <v>0</v>
      </c>
      <c r="K11" s="97">
        <f>IF(Option1="No",0,IF($A11&lt;ImplementationYear,0,IF($A11&gt;(ImplementationYear+(Appraisal_Period-1)),0,SUM(Quality!$D$22:$D$23)*$B11)))</f>
        <v>0</v>
      </c>
      <c r="L11" s="97">
        <f>IF(Option1="No",0,IF($A11&lt;ImplementationYear,0,IF($A11&gt;(ImplementationYear+(Appraisal_Period-1)),0,SUM(Quality!$D$20:$D$21)*$B11)))</f>
        <v>0</v>
      </c>
      <c r="M11" s="97">
        <f>IF(Option1="No",0,IF($A11&lt;ImplementationYear,0,IF($A11&gt;(ImplementationYear+(Appraisal_Period-1)),0,'Mode change'!$D$36*$B11)))</f>
        <v>0</v>
      </c>
      <c r="N11" s="97">
        <f>IF(Option1="No",0,IF($A11&lt;ImplementationYear,0,IF($A11&gt;(ImplementationYear+(Appraisal_Period-1)),0,'Mode change'!$D$37*$B11)))</f>
        <v>0</v>
      </c>
      <c r="O11" s="97">
        <f>IF(Option1="No",0,IF($A11&lt;ImplementationYear,0,IF($A11&gt;(ImplementationYear+(Appraisal_Period-1)),0,'Road safety'!$D$22*$B11)))</f>
        <v>0</v>
      </c>
      <c r="P11" s="97">
        <f>IF(Option1="No",0,IF($A11&lt;ImplementationYear,0,IF($A11&gt;(ImplementationYear+(Appraisal_Period-1)),0,'Reduction in car usage'!$D$46*$B11)))</f>
        <v>0</v>
      </c>
      <c r="Q11" s="97">
        <f>IF(Option1="No",0,IF($A11&lt;ImplementationYear,0,IF($A11&gt;(ImplementationYear+(Appraisal_Period-1)),0,'Reduction in car usage'!$D$47*$B11)))</f>
        <v>0</v>
      </c>
      <c r="R11" s="97">
        <f>IF(Option1="No",0,IF($A11&lt;ImplementationYear,0,IF($A11&gt;(ImplementationYear+(Appraisal_Period-1)),0,'Reduction in car usage'!$D$48*$B11)))</f>
        <v>0</v>
      </c>
      <c r="S11" s="92"/>
      <c r="T11" s="94">
        <f>IF(Option2="No",0,IF($A11=ImplementationYear,('Project details'!$L$10-'Project details'!$D$10)*VLOOKUP(Year_cost_estimate,'Time-series parameters'!$B$11:$C$89,2,FALSE)*$B11*(1+Contingency),0))</f>
        <v>0</v>
      </c>
      <c r="U11" s="94" t="e">
        <f>IF(Option2="No",0,IF($A11&lt;ImplementationYear,0,IF($A11&gt;(ImplementationYear+(Appraisal_Period-1)),0,('Project details'!$L$11-'Project details'!$D$11)*VLOOKUP(Year_cost_estimate,'Time-series parameters'!$B$11:$C$89,2,0))*$B11))</f>
        <v>#VALUE!</v>
      </c>
      <c r="V11" s="94">
        <f>IF(Option2="No",0,IF($A11=ImplementationYear,('Project details'!$L$12-'Project details'!$D$12)*VLOOKUP(Year_cost_estimate,'Time-series parameters'!$B$11:$C$89,2,FALSE)*$B11,0))</f>
        <v>0</v>
      </c>
      <c r="W11" s="97">
        <f>IF(Option2="No",0,IF($A11&lt;ImplementationYear,0,IF($A11&gt;(ImplementationYear+(Appraisal_Period-1)),0,Health!$E$21*$B11)))</f>
        <v>0</v>
      </c>
      <c r="X11" s="97">
        <f>IF(Option2="No",0,IF($A11&lt;ImplementationYear,0,IF($A11&gt;(ImplementationYear+(Appraisal_Period-1)),0,Health!$E$22*$B11)))</f>
        <v>0</v>
      </c>
      <c r="Y11" s="97">
        <f>IF(Option2="No",0,IF($A11&lt;ImplementationYear,0,IF($A11&gt;(ImplementationYear+(Appraisal_Period-1)),0,SUM('Travel time'!$E$22:$E$23)*$B11)))</f>
        <v>0</v>
      </c>
      <c r="Z11" s="97">
        <f>IF(Option2="No",0,IF($A11&lt;ImplementationYear,0,IF($A11&gt;(ImplementationYear+(Appraisal_Period-1)),0,SUM('Travel time'!$E$20:$E$21)*$B11)))</f>
        <v>0</v>
      </c>
      <c r="AA11" s="97">
        <f>IF(Option2="No",0,IF($A11&lt;ImplementationYear,0,IF($A11&gt;(ImplementationYear+(Appraisal_Period-1)),0,SUM(Quality!$E$22:$E$23)*$B11)))</f>
        <v>0</v>
      </c>
      <c r="AB11" s="97">
        <f>IF(Option2="No",0,IF($A11&lt;ImplementationYear,0,IF($A11&gt;(ImplementationYear+(Appraisal_Period-1)),0,SUM(Quality!$E$20:$E$21)*$B11)))</f>
        <v>0</v>
      </c>
      <c r="AC11" s="97">
        <f>IF(Option2="No",0,IF($A11&lt;ImplementationYear,0,IF($A11&gt;(ImplementationYear+(Appraisal_Period-1)),0,'Mode change'!$E$36*$B11)))</f>
        <v>0</v>
      </c>
      <c r="AD11" s="97">
        <f>IF(Option2="No",0,IF($A11&lt;ImplementationYear,0,IF($A11&gt;(ImplementationYear+(Appraisal_Period-1)),0,'Mode change'!$E$37*$B11)))</f>
        <v>0</v>
      </c>
      <c r="AE11" s="97">
        <f>IF(Option2="No",0,IF($A11&lt;ImplementationYear,0,IF($A11&gt;(ImplementationYear+(Appraisal_Period-1)),0,'Road safety'!$E$22*$B11)))</f>
        <v>0</v>
      </c>
      <c r="AF11" s="97">
        <f>IF(Option2="No",0,IF($A11&lt;ImplementationYear,0,IF($A11&gt;(ImplementationYear+(Appraisal_Period-1)),0,'Reduction in car usage'!$E$46*$B11)))</f>
        <v>0</v>
      </c>
      <c r="AG11" s="97">
        <f>IF(Option2="No",0,IF($A11&lt;ImplementationYear,0,IF($A11&gt;(ImplementationYear+(Appraisal_Period-1)),0,'Reduction in car usage'!$E$47*$B11)))</f>
        <v>0</v>
      </c>
      <c r="AH11" s="97">
        <f>IF(Option2="No",0,IF($A11&lt;ImplementationYear,0,IF($A11&gt;(ImplementationYear+(Appraisal_Period-1)),0,'Reduction in car usage'!$E$48*$B11)))</f>
        <v>0</v>
      </c>
      <c r="AJ11" s="94">
        <f>IF(Option3="No",0,IF($A11=ImplementationYear,('Project details'!$P$10-'Project details'!$D$10)*VLOOKUP(Year_cost_estimate,'Time-series parameters'!$B$11:$C$89,2,FALSE)*$B11*(1+Contingency),0))</f>
        <v>0</v>
      </c>
      <c r="AK11" s="94" t="e">
        <f>IF(Option3="No",0,IF($A11&lt;ImplementationYear,0,IF($A11&gt;(ImplementationYear+(Appraisal_Period-1)),0,('Project details'!$P$11-'Project details'!$D$11)*VLOOKUP(Year_cost_estimate,'Time-series parameters'!$B$11:$C$89,2,0))*$B11))</f>
        <v>#VALUE!</v>
      </c>
      <c r="AL11" s="94">
        <f>IF(Option3="No",0,IF($A11=ImplementationYear,('Project details'!$P$12-'Project details'!$D$12)*VLOOKUP(Year_cost_estimate,'Time-series parameters'!$B$11:$C$89,2,FALSE)*$B11,0))</f>
        <v>0</v>
      </c>
      <c r="AM11" s="97">
        <f>IF(Option3="No",0,IF($A11&lt;ImplementationYear,0,IF($A11&gt;(ImplementationYear+(Appraisal_Period-1)),0,Health!$F$21*$B11)))</f>
        <v>0</v>
      </c>
      <c r="AN11" s="97">
        <f>IF(Option3="No",0,IF($A11&lt;ImplementationYear,0,IF($A11&gt;(ImplementationYear+(Appraisal_Period-1)),0,Health!$F$22*$B11)))</f>
        <v>0</v>
      </c>
      <c r="AO11" s="97">
        <f>IF(Option3="No",0,IF($A11&lt;ImplementationYear,0,IF($A11&gt;(ImplementationYear+(Appraisal_Period-1)),0,SUM('Travel time'!$F$22:$F$23)*$B11)))</f>
        <v>0</v>
      </c>
      <c r="AP11" s="97">
        <f>IF(Option3="No",0,IF($A11&lt;ImplementationYear,0,IF($A11&gt;(ImplementationYear+(Appraisal_Period-1)),0,SUM('Travel time'!$F$20:$F$21)*$B11)))</f>
        <v>0</v>
      </c>
      <c r="AQ11" s="97">
        <f>IF(Option3="No",0,IF($A11&lt;ImplementationYear,0,IF($A11&gt;(ImplementationYear+(Appraisal_Period-1)),0,SUM(Quality!$F$22:$F$23)*$B11)))</f>
        <v>0</v>
      </c>
      <c r="AR11" s="97">
        <f>IF(Option3="No",0,IF($A11&lt;ImplementationYear,0,IF($A11&gt;(ImplementationYear+(Appraisal_Period-1)),0,SUM(Quality!$F$20:$F$21)*$B11)))</f>
        <v>0</v>
      </c>
      <c r="AS11" s="97">
        <f>IF(Option3="No",0,IF($A11&lt;ImplementationYear,0,IF($A11&gt;(ImplementationYear+(Appraisal_Period-1)),0,'Mode change'!$F$36*$B11)))</f>
        <v>0</v>
      </c>
      <c r="AT11" s="97">
        <f>IF(Option3="No",0,IF($A11&lt;ImplementationYear,0,IF($A11&gt;(ImplementationYear+(Appraisal_Period-1)),0,'Mode change'!$F$37*$B11)))</f>
        <v>0</v>
      </c>
      <c r="AU11" s="97">
        <f>IF(Option3="No",0,IF($A11&lt;ImplementationYear,0,IF($A11&gt;(ImplementationYear+(Appraisal_Period-1)),0,'Road safety'!$F$22*$B11)))</f>
        <v>0</v>
      </c>
      <c r="AV11" s="97">
        <f>IF(Option3="No",0,IF($A11&lt;ImplementationYear,0,IF($A11&gt;(ImplementationYear+(Appraisal_Period-1)),0,'Reduction in car usage'!$F$46*$B11)))</f>
        <v>0</v>
      </c>
      <c r="AW11" s="97">
        <f>IF(Option3="No",0,IF($A11&lt;ImplementationYear,0,IF($A11&gt;(ImplementationYear+(Appraisal_Period-1)),0,'Reduction in car usage'!$F$47*$B11)))</f>
        <v>0</v>
      </c>
      <c r="AX11" s="97">
        <f>IF(Option3="No",0,IF($A11&lt;ImplementationYear,0,IF($A11&gt;(ImplementationYear+(Appraisal_Period-1)),0,'Reduction in car usage'!$F$48*$B11)))</f>
        <v>0</v>
      </c>
    </row>
    <row r="12" spans="1:50">
      <c r="A12" s="335">
        <v>2007</v>
      </c>
      <c r="B12" s="62" t="str">
        <f>VLOOKUP($A12,'Time-series parameters'!$E$11:$H$89,2,FALSE)</f>
        <v/>
      </c>
      <c r="C12" s="89"/>
      <c r="D12" s="94">
        <f>IF(Option1="No",0,IF($A12=ImplementationYear,('Project details'!$H$10-'Project details'!$D$10)*VLOOKUP(Year_cost_estimate,'Time-series parameters'!$B$11:$C$89,2,FALSE)*$B12*(1+Contingency),0))</f>
        <v>0</v>
      </c>
      <c r="E12" s="94" t="e">
        <f>IF(Option1="No",0,IF($A12&lt;ImplementationYear,0,IF($A12&gt;(ImplementationYear+(Appraisal_Period-1)),0,('Project details'!$H$11-'Project details'!$D$11)*VLOOKUP(Year_cost_estimate,'Time-series parameters'!$B$11:$C$89,2,0))*$B12))</f>
        <v>#VALUE!</v>
      </c>
      <c r="F12" s="94">
        <f>IF(Option1="No",0,IF($A12=ImplementationYear,('Project details'!$H$12-'Project details'!$D$12)*VLOOKUP(Year_cost_estimate,'Time-series parameters'!$B$11:$C$89,2,FALSE)*$B12,0))</f>
        <v>0</v>
      </c>
      <c r="G12" s="97">
        <f>IF(Option1="No",0,IF($A12&lt;ImplementationYear,0,IF($A12&gt;(ImplementationYear+(Appraisal_Period-1)),0,Health!$D$21*$B12)))</f>
        <v>0</v>
      </c>
      <c r="H12" s="97">
        <f>IF(Option1="No",0,IF($A12&lt;ImplementationYear,0,IF($A12&gt;(ImplementationYear+(Appraisal_Period-1)),0,Health!$D$22*$B12)))</f>
        <v>0</v>
      </c>
      <c r="I12" s="97">
        <f>IF(Option1="No",0,IF($A12&lt;ImplementationYear,0,IF($A12&gt;(ImplementationYear+(Appraisal_Period-1)),0,SUM('Travel time'!$D$22:$D$23)*$B12)))</f>
        <v>0</v>
      </c>
      <c r="J12" s="97">
        <f>IF(Option1="No",0,IF($A12&lt;ImplementationYear,0,IF($A12&gt;(ImplementationYear+(Appraisal_Period-1)),0,SUM('Travel time'!$D$20:$D$21)*$B12)))</f>
        <v>0</v>
      </c>
      <c r="K12" s="97">
        <f>IF(Option1="No",0,IF($A12&lt;ImplementationYear,0,IF($A12&gt;(ImplementationYear+(Appraisal_Period-1)),0,SUM(Quality!$D$22:$D$23)*$B12)))</f>
        <v>0</v>
      </c>
      <c r="L12" s="97">
        <f>IF(Option1="No",0,IF($A12&lt;ImplementationYear,0,IF($A12&gt;(ImplementationYear+(Appraisal_Period-1)),0,SUM(Quality!$D$20:$D$21)*$B12)))</f>
        <v>0</v>
      </c>
      <c r="M12" s="97">
        <f>IF(Option1="No",0,IF($A12&lt;ImplementationYear,0,IF($A12&gt;(ImplementationYear+(Appraisal_Period-1)),0,'Mode change'!$D$36*$B12)))</f>
        <v>0</v>
      </c>
      <c r="N12" s="97">
        <f>IF(Option1="No",0,IF($A12&lt;ImplementationYear,0,IF($A12&gt;(ImplementationYear+(Appraisal_Period-1)),0,'Mode change'!$D$37*$B12)))</f>
        <v>0</v>
      </c>
      <c r="O12" s="97">
        <f>IF(Option1="No",0,IF($A12&lt;ImplementationYear,0,IF($A12&gt;(ImplementationYear+(Appraisal_Period-1)),0,'Road safety'!$D$22*$B12)))</f>
        <v>0</v>
      </c>
      <c r="P12" s="97">
        <f>IF(Option1="No",0,IF($A12&lt;ImplementationYear,0,IF($A12&gt;(ImplementationYear+(Appraisal_Period-1)),0,'Reduction in car usage'!$D$46*$B12)))</f>
        <v>0</v>
      </c>
      <c r="Q12" s="97">
        <f>IF(Option1="No",0,IF($A12&lt;ImplementationYear,0,IF($A12&gt;(ImplementationYear+(Appraisal_Period-1)),0,'Reduction in car usage'!$D$47*$B12)))</f>
        <v>0</v>
      </c>
      <c r="R12" s="97">
        <f>IF(Option1="No",0,IF($A12&lt;ImplementationYear,0,IF($A12&gt;(ImplementationYear+(Appraisal_Period-1)),0,'Reduction in car usage'!$D$48*$B12)))</f>
        <v>0</v>
      </c>
      <c r="S12" s="92"/>
      <c r="T12" s="94">
        <f>IF(Option2="No",0,IF($A12=ImplementationYear,('Project details'!$L$10-'Project details'!$D$10)*VLOOKUP(Year_cost_estimate,'Time-series parameters'!$B$11:$C$89,2,FALSE)*$B12*(1+Contingency),0))</f>
        <v>0</v>
      </c>
      <c r="U12" s="94" t="e">
        <f>IF(Option2="No",0,IF($A12&lt;ImplementationYear,0,IF($A12&gt;(ImplementationYear+(Appraisal_Period-1)),0,('Project details'!$L$11-'Project details'!$D$11)*VLOOKUP(Year_cost_estimate,'Time-series parameters'!$B$11:$C$89,2,0))*$B12))</f>
        <v>#VALUE!</v>
      </c>
      <c r="V12" s="94">
        <f>IF(Option2="No",0,IF($A12=ImplementationYear,('Project details'!$L$12-'Project details'!$D$12)*VLOOKUP(Year_cost_estimate,'Time-series parameters'!$B$11:$C$89,2,FALSE)*$B12,0))</f>
        <v>0</v>
      </c>
      <c r="W12" s="97">
        <f>IF(Option2="No",0,IF($A12&lt;ImplementationYear,0,IF($A12&gt;(ImplementationYear+(Appraisal_Period-1)),0,Health!$E$21*$B12)))</f>
        <v>0</v>
      </c>
      <c r="X12" s="97">
        <f>IF(Option2="No",0,IF($A12&lt;ImplementationYear,0,IF($A12&gt;(ImplementationYear+(Appraisal_Period-1)),0,Health!$E$22*$B12)))</f>
        <v>0</v>
      </c>
      <c r="Y12" s="97">
        <f>IF(Option2="No",0,IF($A12&lt;ImplementationYear,0,IF($A12&gt;(ImplementationYear+(Appraisal_Period-1)),0,SUM('Travel time'!$E$22:$E$23)*$B12)))</f>
        <v>0</v>
      </c>
      <c r="Z12" s="97">
        <f>IF(Option2="No",0,IF($A12&lt;ImplementationYear,0,IF($A12&gt;(ImplementationYear+(Appraisal_Period-1)),0,SUM('Travel time'!$E$20:$E$21)*$B12)))</f>
        <v>0</v>
      </c>
      <c r="AA12" s="97">
        <f>IF(Option2="No",0,IF($A12&lt;ImplementationYear,0,IF($A12&gt;(ImplementationYear+(Appraisal_Period-1)),0,SUM(Quality!$E$22:$E$23)*$B12)))</f>
        <v>0</v>
      </c>
      <c r="AB12" s="97">
        <f>IF(Option2="No",0,IF($A12&lt;ImplementationYear,0,IF($A12&gt;(ImplementationYear+(Appraisal_Period-1)),0,SUM(Quality!$E$20:$E$21)*$B12)))</f>
        <v>0</v>
      </c>
      <c r="AC12" s="97">
        <f>IF(Option2="No",0,IF($A12&lt;ImplementationYear,0,IF($A12&gt;(ImplementationYear+(Appraisal_Period-1)),0,'Mode change'!$E$36*$B12)))</f>
        <v>0</v>
      </c>
      <c r="AD12" s="97">
        <f>IF(Option2="No",0,IF($A12&lt;ImplementationYear,0,IF($A12&gt;(ImplementationYear+(Appraisal_Period-1)),0,'Mode change'!$E$37*$B12)))</f>
        <v>0</v>
      </c>
      <c r="AE12" s="97">
        <f>IF(Option2="No",0,IF($A12&lt;ImplementationYear,0,IF($A12&gt;(ImplementationYear+(Appraisal_Period-1)),0,'Road safety'!$E$22*$B12)))</f>
        <v>0</v>
      </c>
      <c r="AF12" s="97">
        <f>IF(Option2="No",0,IF($A12&lt;ImplementationYear,0,IF($A12&gt;(ImplementationYear+(Appraisal_Period-1)),0,'Reduction in car usage'!$E$46*$B12)))</f>
        <v>0</v>
      </c>
      <c r="AG12" s="97">
        <f>IF(Option2="No",0,IF($A12&lt;ImplementationYear,0,IF($A12&gt;(ImplementationYear+(Appraisal_Period-1)),0,'Reduction in car usage'!$E$47*$B12)))</f>
        <v>0</v>
      </c>
      <c r="AH12" s="97">
        <f>IF(Option2="No",0,IF($A12&lt;ImplementationYear,0,IF($A12&gt;(ImplementationYear+(Appraisal_Period-1)),0,'Reduction in car usage'!$E$48*$B12)))</f>
        <v>0</v>
      </c>
      <c r="AJ12" s="94">
        <f>IF(Option3="No",0,IF($A12=ImplementationYear,('Project details'!$P$10-'Project details'!$D$10)*VLOOKUP(Year_cost_estimate,'Time-series parameters'!$B$11:$C$89,2,FALSE)*$B12*(1+Contingency),0))</f>
        <v>0</v>
      </c>
      <c r="AK12" s="94" t="e">
        <f>IF(Option3="No",0,IF($A12&lt;ImplementationYear,0,IF($A12&gt;(ImplementationYear+(Appraisal_Period-1)),0,('Project details'!$P$11-'Project details'!$D$11)*VLOOKUP(Year_cost_estimate,'Time-series parameters'!$B$11:$C$89,2,0))*$B12))</f>
        <v>#VALUE!</v>
      </c>
      <c r="AL12" s="94">
        <f>IF(Option3="No",0,IF($A12=ImplementationYear,('Project details'!$P$12-'Project details'!$D$12)*VLOOKUP(Year_cost_estimate,'Time-series parameters'!$B$11:$C$89,2,FALSE)*$B12,0))</f>
        <v>0</v>
      </c>
      <c r="AM12" s="97">
        <f>IF(Option3="No",0,IF($A12&lt;ImplementationYear,0,IF($A12&gt;(ImplementationYear+(Appraisal_Period-1)),0,Health!$F$21*$B12)))</f>
        <v>0</v>
      </c>
      <c r="AN12" s="97">
        <f>IF(Option3="No",0,IF($A12&lt;ImplementationYear,0,IF($A12&gt;(ImplementationYear+(Appraisal_Period-1)),0,Health!$F$22*$B12)))</f>
        <v>0</v>
      </c>
      <c r="AO12" s="97">
        <f>IF(Option3="No",0,IF($A12&lt;ImplementationYear,0,IF($A12&gt;(ImplementationYear+(Appraisal_Period-1)),0,SUM('Travel time'!$F$22:$F$23)*$B12)))</f>
        <v>0</v>
      </c>
      <c r="AP12" s="97">
        <f>IF(Option3="No",0,IF($A12&lt;ImplementationYear,0,IF($A12&gt;(ImplementationYear+(Appraisal_Period-1)),0,SUM('Travel time'!$F$20:$F$21)*$B12)))</f>
        <v>0</v>
      </c>
      <c r="AQ12" s="97">
        <f>IF(Option3="No",0,IF($A12&lt;ImplementationYear,0,IF($A12&gt;(ImplementationYear+(Appraisal_Period-1)),0,SUM(Quality!$F$22:$F$23)*$B12)))</f>
        <v>0</v>
      </c>
      <c r="AR12" s="97">
        <f>IF(Option3="No",0,IF($A12&lt;ImplementationYear,0,IF($A12&gt;(ImplementationYear+(Appraisal_Period-1)),0,SUM(Quality!$F$20:$F$21)*$B12)))</f>
        <v>0</v>
      </c>
      <c r="AS12" s="97">
        <f>IF(Option3="No",0,IF($A12&lt;ImplementationYear,0,IF($A12&gt;(ImplementationYear+(Appraisal_Period-1)),0,'Mode change'!$F$36*$B12)))</f>
        <v>0</v>
      </c>
      <c r="AT12" s="97">
        <f>IF(Option3="No",0,IF($A12&lt;ImplementationYear,0,IF($A12&gt;(ImplementationYear+(Appraisal_Period-1)),0,'Mode change'!$F$37*$B12)))</f>
        <v>0</v>
      </c>
      <c r="AU12" s="97">
        <f>IF(Option3="No",0,IF($A12&lt;ImplementationYear,0,IF($A12&gt;(ImplementationYear+(Appraisal_Period-1)),0,'Road safety'!$F$22*$B12)))</f>
        <v>0</v>
      </c>
      <c r="AV12" s="97">
        <f>IF(Option3="No",0,IF($A12&lt;ImplementationYear,0,IF($A12&gt;(ImplementationYear+(Appraisal_Period-1)),0,'Reduction in car usage'!$F$46*$B12)))</f>
        <v>0</v>
      </c>
      <c r="AW12" s="97">
        <f>IF(Option3="No",0,IF($A12&lt;ImplementationYear,0,IF($A12&gt;(ImplementationYear+(Appraisal_Period-1)),0,'Reduction in car usage'!$F$47*$B12)))</f>
        <v>0</v>
      </c>
      <c r="AX12" s="97">
        <f>IF(Option3="No",0,IF($A12&lt;ImplementationYear,0,IF($A12&gt;(ImplementationYear+(Appraisal_Period-1)),0,'Reduction in car usage'!$F$48*$B12)))</f>
        <v>0</v>
      </c>
    </row>
    <row r="13" spans="1:50">
      <c r="A13" s="335">
        <v>2008</v>
      </c>
      <c r="B13" s="62" t="str">
        <f>VLOOKUP($A13,'Time-series parameters'!$E$11:$H$89,2,FALSE)</f>
        <v/>
      </c>
      <c r="C13" s="89"/>
      <c r="D13" s="94">
        <f>IF(Option1="No",0,IF($A13=ImplementationYear,('Project details'!$H$10-'Project details'!$D$10)*VLOOKUP(Year_cost_estimate,'Time-series parameters'!$B$11:$C$89,2,FALSE)*$B13*(1+Contingency),0))</f>
        <v>0</v>
      </c>
      <c r="E13" s="94" t="e">
        <f>IF(Option1="No",0,IF($A13&lt;ImplementationYear,0,IF($A13&gt;(ImplementationYear+(Appraisal_Period-1)),0,('Project details'!$H$11-'Project details'!$D$11)*VLOOKUP(Year_cost_estimate,'Time-series parameters'!$B$11:$C$89,2,0))*$B13))</f>
        <v>#VALUE!</v>
      </c>
      <c r="F13" s="94">
        <f>IF(Option1="No",0,IF($A13=ImplementationYear,('Project details'!$H$12-'Project details'!$D$12)*VLOOKUP(Year_cost_estimate,'Time-series parameters'!$B$11:$C$89,2,FALSE)*$B13,0))</f>
        <v>0</v>
      </c>
      <c r="G13" s="97">
        <f>IF(Option1="No",0,IF($A13&lt;ImplementationYear,0,IF($A13&gt;(ImplementationYear+(Appraisal_Period-1)),0,Health!$D$21*$B13)))</f>
        <v>0</v>
      </c>
      <c r="H13" s="97">
        <f>IF(Option1="No",0,IF($A13&lt;ImplementationYear,0,IF($A13&gt;(ImplementationYear+(Appraisal_Period-1)),0,Health!$D$22*$B13)))</f>
        <v>0</v>
      </c>
      <c r="I13" s="97">
        <f>IF(Option1="No",0,IF($A13&lt;ImplementationYear,0,IF($A13&gt;(ImplementationYear+(Appraisal_Period-1)),0,SUM('Travel time'!$D$22:$D$23)*$B13)))</f>
        <v>0</v>
      </c>
      <c r="J13" s="97">
        <f>IF(Option1="No",0,IF($A13&lt;ImplementationYear,0,IF($A13&gt;(ImplementationYear+(Appraisal_Period-1)),0,SUM('Travel time'!$D$20:$D$21)*$B13)))</f>
        <v>0</v>
      </c>
      <c r="K13" s="97">
        <f>IF(Option1="No",0,IF($A13&lt;ImplementationYear,0,IF($A13&gt;(ImplementationYear+(Appraisal_Period-1)),0,SUM(Quality!$D$22:$D$23)*$B13)))</f>
        <v>0</v>
      </c>
      <c r="L13" s="97">
        <f>IF(Option1="No",0,IF($A13&lt;ImplementationYear,0,IF($A13&gt;(ImplementationYear+(Appraisal_Period-1)),0,SUM(Quality!$D$20:$D$21)*$B13)))</f>
        <v>0</v>
      </c>
      <c r="M13" s="97">
        <f>IF(Option1="No",0,IF($A13&lt;ImplementationYear,0,IF($A13&gt;(ImplementationYear+(Appraisal_Period-1)),0,'Mode change'!$D$36*$B13)))</f>
        <v>0</v>
      </c>
      <c r="N13" s="97">
        <f>IF(Option1="No",0,IF($A13&lt;ImplementationYear,0,IF($A13&gt;(ImplementationYear+(Appraisal_Period-1)),0,'Mode change'!$D$37*$B13)))</f>
        <v>0</v>
      </c>
      <c r="O13" s="97">
        <f>IF(Option1="No",0,IF($A13&lt;ImplementationYear,0,IF($A13&gt;(ImplementationYear+(Appraisal_Period-1)),0,'Road safety'!$D$22*$B13)))</f>
        <v>0</v>
      </c>
      <c r="P13" s="97">
        <f>IF(Option1="No",0,IF($A13&lt;ImplementationYear,0,IF($A13&gt;(ImplementationYear+(Appraisal_Period-1)),0,'Reduction in car usage'!$D$46*$B13)))</f>
        <v>0</v>
      </c>
      <c r="Q13" s="97">
        <f>IF(Option1="No",0,IF($A13&lt;ImplementationYear,0,IF($A13&gt;(ImplementationYear+(Appraisal_Period-1)),0,'Reduction in car usage'!$D$47*$B13)))</f>
        <v>0</v>
      </c>
      <c r="R13" s="97">
        <f>IF(Option1="No",0,IF($A13&lt;ImplementationYear,0,IF($A13&gt;(ImplementationYear+(Appraisal_Period-1)),0,'Reduction in car usage'!$D$48*$B13)))</f>
        <v>0</v>
      </c>
      <c r="S13" s="92"/>
      <c r="T13" s="94">
        <f>IF(Option2="No",0,IF($A13=ImplementationYear,('Project details'!$L$10-'Project details'!$D$10)*VLOOKUP(Year_cost_estimate,'Time-series parameters'!$B$11:$C$89,2,FALSE)*$B13*(1+Contingency),0))</f>
        <v>0</v>
      </c>
      <c r="U13" s="94" t="e">
        <f>IF(Option2="No",0,IF($A13&lt;ImplementationYear,0,IF($A13&gt;(ImplementationYear+(Appraisal_Period-1)),0,('Project details'!$L$11-'Project details'!$D$11)*VLOOKUP(Year_cost_estimate,'Time-series parameters'!$B$11:$C$89,2,0))*$B13))</f>
        <v>#VALUE!</v>
      </c>
      <c r="V13" s="94">
        <f>IF(Option2="No",0,IF($A13=ImplementationYear,('Project details'!$L$12-'Project details'!$D$12)*VLOOKUP(Year_cost_estimate,'Time-series parameters'!$B$11:$C$89,2,FALSE)*$B13,0))</f>
        <v>0</v>
      </c>
      <c r="W13" s="97">
        <f>IF(Option2="No",0,IF($A13&lt;ImplementationYear,0,IF($A13&gt;(ImplementationYear+(Appraisal_Period-1)),0,Health!$E$21*$B13)))</f>
        <v>0</v>
      </c>
      <c r="X13" s="97">
        <f>IF(Option2="No",0,IF($A13&lt;ImplementationYear,0,IF($A13&gt;(ImplementationYear+(Appraisal_Period-1)),0,Health!$E$22*$B13)))</f>
        <v>0</v>
      </c>
      <c r="Y13" s="97">
        <f>IF(Option2="No",0,IF($A13&lt;ImplementationYear,0,IF($A13&gt;(ImplementationYear+(Appraisal_Period-1)),0,SUM('Travel time'!$E$22:$E$23)*$B13)))</f>
        <v>0</v>
      </c>
      <c r="Z13" s="97">
        <f>IF(Option2="No",0,IF($A13&lt;ImplementationYear,0,IF($A13&gt;(ImplementationYear+(Appraisal_Period-1)),0,SUM('Travel time'!$E$20:$E$21)*$B13)))</f>
        <v>0</v>
      </c>
      <c r="AA13" s="97">
        <f>IF(Option2="No",0,IF($A13&lt;ImplementationYear,0,IF($A13&gt;(ImplementationYear+(Appraisal_Period-1)),0,SUM(Quality!$E$22:$E$23)*$B13)))</f>
        <v>0</v>
      </c>
      <c r="AB13" s="97">
        <f>IF(Option2="No",0,IF($A13&lt;ImplementationYear,0,IF($A13&gt;(ImplementationYear+(Appraisal_Period-1)),0,SUM(Quality!$E$20:$E$21)*$B13)))</f>
        <v>0</v>
      </c>
      <c r="AC13" s="97">
        <f>IF(Option2="No",0,IF($A13&lt;ImplementationYear,0,IF($A13&gt;(ImplementationYear+(Appraisal_Period-1)),0,'Mode change'!$E$36*$B13)))</f>
        <v>0</v>
      </c>
      <c r="AD13" s="97">
        <f>IF(Option2="No",0,IF($A13&lt;ImplementationYear,0,IF($A13&gt;(ImplementationYear+(Appraisal_Period-1)),0,'Mode change'!$E$37*$B13)))</f>
        <v>0</v>
      </c>
      <c r="AE13" s="97">
        <f>IF(Option2="No",0,IF($A13&lt;ImplementationYear,0,IF($A13&gt;(ImplementationYear+(Appraisal_Period-1)),0,'Road safety'!$E$22*$B13)))</f>
        <v>0</v>
      </c>
      <c r="AF13" s="97">
        <f>IF(Option2="No",0,IF($A13&lt;ImplementationYear,0,IF($A13&gt;(ImplementationYear+(Appraisal_Period-1)),0,'Reduction in car usage'!$E$46*$B13)))</f>
        <v>0</v>
      </c>
      <c r="AG13" s="97">
        <f>IF(Option2="No",0,IF($A13&lt;ImplementationYear,0,IF($A13&gt;(ImplementationYear+(Appraisal_Period-1)),0,'Reduction in car usage'!$E$47*$B13)))</f>
        <v>0</v>
      </c>
      <c r="AH13" s="97">
        <f>IF(Option2="No",0,IF($A13&lt;ImplementationYear,0,IF($A13&gt;(ImplementationYear+(Appraisal_Period-1)),0,'Reduction in car usage'!$E$48*$B13)))</f>
        <v>0</v>
      </c>
      <c r="AJ13" s="94">
        <f>IF(Option3="No",0,IF($A13=ImplementationYear,('Project details'!$P$10-'Project details'!$D$10)*VLOOKUP(Year_cost_estimate,'Time-series parameters'!$B$11:$C$89,2,FALSE)*$B13*(1+Contingency),0))</f>
        <v>0</v>
      </c>
      <c r="AK13" s="94" t="e">
        <f>IF(Option3="No",0,IF($A13&lt;ImplementationYear,0,IF($A13&gt;(ImplementationYear+(Appraisal_Period-1)),0,('Project details'!$P$11-'Project details'!$D$11)*VLOOKUP(Year_cost_estimate,'Time-series parameters'!$B$11:$C$89,2,0))*$B13))</f>
        <v>#VALUE!</v>
      </c>
      <c r="AL13" s="94">
        <f>IF(Option3="No",0,IF($A13=ImplementationYear,('Project details'!$P$12-'Project details'!$D$12)*VLOOKUP(Year_cost_estimate,'Time-series parameters'!$B$11:$C$89,2,FALSE)*$B13,0))</f>
        <v>0</v>
      </c>
      <c r="AM13" s="97">
        <f>IF(Option3="No",0,IF($A13&lt;ImplementationYear,0,IF($A13&gt;(ImplementationYear+(Appraisal_Period-1)),0,Health!$F$21*$B13)))</f>
        <v>0</v>
      </c>
      <c r="AN13" s="97">
        <f>IF(Option3="No",0,IF($A13&lt;ImplementationYear,0,IF($A13&gt;(ImplementationYear+(Appraisal_Period-1)),0,Health!$F$22*$B13)))</f>
        <v>0</v>
      </c>
      <c r="AO13" s="97">
        <f>IF(Option3="No",0,IF($A13&lt;ImplementationYear,0,IF($A13&gt;(ImplementationYear+(Appraisal_Period-1)),0,SUM('Travel time'!$F$22:$F$23)*$B13)))</f>
        <v>0</v>
      </c>
      <c r="AP13" s="97">
        <f>IF(Option3="No",0,IF($A13&lt;ImplementationYear,0,IF($A13&gt;(ImplementationYear+(Appraisal_Period-1)),0,SUM('Travel time'!$F$20:$F$21)*$B13)))</f>
        <v>0</v>
      </c>
      <c r="AQ13" s="97">
        <f>IF(Option3="No",0,IF($A13&lt;ImplementationYear,0,IF($A13&gt;(ImplementationYear+(Appraisal_Period-1)),0,SUM(Quality!$F$22:$F$23)*$B13)))</f>
        <v>0</v>
      </c>
      <c r="AR13" s="97">
        <f>IF(Option3="No",0,IF($A13&lt;ImplementationYear,0,IF($A13&gt;(ImplementationYear+(Appraisal_Period-1)),0,SUM(Quality!$F$20:$F$21)*$B13)))</f>
        <v>0</v>
      </c>
      <c r="AS13" s="97">
        <f>IF(Option3="No",0,IF($A13&lt;ImplementationYear,0,IF($A13&gt;(ImplementationYear+(Appraisal_Period-1)),0,'Mode change'!$F$36*$B13)))</f>
        <v>0</v>
      </c>
      <c r="AT13" s="97">
        <f>IF(Option3="No",0,IF($A13&lt;ImplementationYear,0,IF($A13&gt;(ImplementationYear+(Appraisal_Period-1)),0,'Mode change'!$F$37*$B13)))</f>
        <v>0</v>
      </c>
      <c r="AU13" s="97">
        <f>IF(Option3="No",0,IF($A13&lt;ImplementationYear,0,IF($A13&gt;(ImplementationYear+(Appraisal_Period-1)),0,'Road safety'!$F$22*$B13)))</f>
        <v>0</v>
      </c>
      <c r="AV13" s="97">
        <f>IF(Option3="No",0,IF($A13&lt;ImplementationYear,0,IF($A13&gt;(ImplementationYear+(Appraisal_Period-1)),0,'Reduction in car usage'!$F$46*$B13)))</f>
        <v>0</v>
      </c>
      <c r="AW13" s="97">
        <f>IF(Option3="No",0,IF($A13&lt;ImplementationYear,0,IF($A13&gt;(ImplementationYear+(Appraisal_Period-1)),0,'Reduction in car usage'!$F$47*$B13)))</f>
        <v>0</v>
      </c>
      <c r="AX13" s="97">
        <f>IF(Option3="No",0,IF($A13&lt;ImplementationYear,0,IF($A13&gt;(ImplementationYear+(Appraisal_Period-1)),0,'Reduction in car usage'!$F$48*$B13)))</f>
        <v>0</v>
      </c>
    </row>
    <row r="14" spans="1:50">
      <c r="A14" s="335">
        <v>2009</v>
      </c>
      <c r="B14" s="62" t="str">
        <f>VLOOKUP($A14,'Time-series parameters'!$E$11:$H$89,2,FALSE)</f>
        <v/>
      </c>
      <c r="C14" s="89"/>
      <c r="D14" s="94">
        <f>IF(Option1="No",0,IF($A14=ImplementationYear,('Project details'!$H$10-'Project details'!$D$10)*VLOOKUP(Year_cost_estimate,'Time-series parameters'!$B$11:$C$89,2,FALSE)*$B14*(1+Contingency),0))</f>
        <v>0</v>
      </c>
      <c r="E14" s="94" t="e">
        <f>IF(Option1="No",0,IF($A14&lt;ImplementationYear,0,IF($A14&gt;(ImplementationYear+(Appraisal_Period-1)),0,('Project details'!$H$11-'Project details'!$D$11)*VLOOKUP(Year_cost_estimate,'Time-series parameters'!$B$11:$C$89,2,0))*$B14))</f>
        <v>#VALUE!</v>
      </c>
      <c r="F14" s="94">
        <f>IF(Option1="No",0,IF($A14=ImplementationYear,('Project details'!$H$12-'Project details'!$D$12)*VLOOKUP(Year_cost_estimate,'Time-series parameters'!$B$11:$C$89,2,FALSE)*$B14,0))</f>
        <v>0</v>
      </c>
      <c r="G14" s="97">
        <f>IF(Option1="No",0,IF($A14&lt;ImplementationYear,0,IF($A14&gt;(ImplementationYear+(Appraisal_Period-1)),0,Health!$D$21*$B14)))</f>
        <v>0</v>
      </c>
      <c r="H14" s="97">
        <f>IF(Option1="No",0,IF($A14&lt;ImplementationYear,0,IF($A14&gt;(ImplementationYear+(Appraisal_Period-1)),0,Health!$D$22*$B14)))</f>
        <v>0</v>
      </c>
      <c r="I14" s="97">
        <f>IF(Option1="No",0,IF($A14&lt;ImplementationYear,0,IF($A14&gt;(ImplementationYear+(Appraisal_Period-1)),0,SUM('Travel time'!$D$22:$D$23)*$B14)))</f>
        <v>0</v>
      </c>
      <c r="J14" s="97">
        <f>IF(Option1="No",0,IF($A14&lt;ImplementationYear,0,IF($A14&gt;(ImplementationYear+(Appraisal_Period-1)),0,SUM('Travel time'!$D$20:$D$21)*$B14)))</f>
        <v>0</v>
      </c>
      <c r="K14" s="97">
        <f>IF(Option1="No",0,IF($A14&lt;ImplementationYear,0,IF($A14&gt;(ImplementationYear+(Appraisal_Period-1)),0,SUM(Quality!$D$22:$D$23)*$B14)))</f>
        <v>0</v>
      </c>
      <c r="L14" s="97">
        <f>IF(Option1="No",0,IF($A14&lt;ImplementationYear,0,IF($A14&gt;(ImplementationYear+(Appraisal_Period-1)),0,SUM(Quality!$D$20:$D$21)*$B14)))</f>
        <v>0</v>
      </c>
      <c r="M14" s="97">
        <f>IF(Option1="No",0,IF($A14&lt;ImplementationYear,0,IF($A14&gt;(ImplementationYear+(Appraisal_Period-1)),0,'Mode change'!$D$36*$B14)))</f>
        <v>0</v>
      </c>
      <c r="N14" s="97">
        <f>IF(Option1="No",0,IF($A14&lt;ImplementationYear,0,IF($A14&gt;(ImplementationYear+(Appraisal_Period-1)),0,'Mode change'!$D$37*$B14)))</f>
        <v>0</v>
      </c>
      <c r="O14" s="97">
        <f>IF(Option1="No",0,IF($A14&lt;ImplementationYear,0,IF($A14&gt;(ImplementationYear+(Appraisal_Period-1)),0,'Road safety'!$D$22*$B14)))</f>
        <v>0</v>
      </c>
      <c r="P14" s="97">
        <f>IF(Option1="No",0,IF($A14&lt;ImplementationYear,0,IF($A14&gt;(ImplementationYear+(Appraisal_Period-1)),0,'Reduction in car usage'!$D$46*$B14)))</f>
        <v>0</v>
      </c>
      <c r="Q14" s="97">
        <f>IF(Option1="No",0,IF($A14&lt;ImplementationYear,0,IF($A14&gt;(ImplementationYear+(Appraisal_Period-1)),0,'Reduction in car usage'!$D$47*$B14)))</f>
        <v>0</v>
      </c>
      <c r="R14" s="97">
        <f>IF(Option1="No",0,IF($A14&lt;ImplementationYear,0,IF($A14&gt;(ImplementationYear+(Appraisal_Period-1)),0,'Reduction in car usage'!$D$48*$B14)))</f>
        <v>0</v>
      </c>
      <c r="S14" s="92"/>
      <c r="T14" s="94">
        <f>IF(Option2="No",0,IF($A14=ImplementationYear,('Project details'!$L$10-'Project details'!$D$10)*VLOOKUP(Year_cost_estimate,'Time-series parameters'!$B$11:$C$89,2,FALSE)*$B14*(1+Contingency),0))</f>
        <v>0</v>
      </c>
      <c r="U14" s="94" t="e">
        <f>IF(Option2="No",0,IF($A14&lt;ImplementationYear,0,IF($A14&gt;(ImplementationYear+(Appraisal_Period-1)),0,('Project details'!$L$11-'Project details'!$D$11)*VLOOKUP(Year_cost_estimate,'Time-series parameters'!$B$11:$C$89,2,0))*$B14))</f>
        <v>#VALUE!</v>
      </c>
      <c r="V14" s="94">
        <f>IF(Option2="No",0,IF($A14=ImplementationYear,('Project details'!$L$12-'Project details'!$D$12)*VLOOKUP(Year_cost_estimate,'Time-series parameters'!$B$11:$C$89,2,FALSE)*$B14,0))</f>
        <v>0</v>
      </c>
      <c r="W14" s="97">
        <f>IF(Option2="No",0,IF($A14&lt;ImplementationYear,0,IF($A14&gt;(ImplementationYear+(Appraisal_Period-1)),0,Health!$E$21*$B14)))</f>
        <v>0</v>
      </c>
      <c r="X14" s="97">
        <f>IF(Option2="No",0,IF($A14&lt;ImplementationYear,0,IF($A14&gt;(ImplementationYear+(Appraisal_Period-1)),0,Health!$E$22*$B14)))</f>
        <v>0</v>
      </c>
      <c r="Y14" s="97">
        <f>IF(Option2="No",0,IF($A14&lt;ImplementationYear,0,IF($A14&gt;(ImplementationYear+(Appraisal_Period-1)),0,SUM('Travel time'!$E$22:$E$23)*$B14)))</f>
        <v>0</v>
      </c>
      <c r="Z14" s="97">
        <f>IF(Option2="No",0,IF($A14&lt;ImplementationYear,0,IF($A14&gt;(ImplementationYear+(Appraisal_Period-1)),0,SUM('Travel time'!$E$20:$E$21)*$B14)))</f>
        <v>0</v>
      </c>
      <c r="AA14" s="97">
        <f>IF(Option2="No",0,IF($A14&lt;ImplementationYear,0,IF($A14&gt;(ImplementationYear+(Appraisal_Period-1)),0,SUM(Quality!$E$22:$E$23)*$B14)))</f>
        <v>0</v>
      </c>
      <c r="AB14" s="97">
        <f>IF(Option2="No",0,IF($A14&lt;ImplementationYear,0,IF($A14&gt;(ImplementationYear+(Appraisal_Period-1)),0,SUM(Quality!$E$20:$E$21)*$B14)))</f>
        <v>0</v>
      </c>
      <c r="AC14" s="97">
        <f>IF(Option2="No",0,IF($A14&lt;ImplementationYear,0,IF($A14&gt;(ImplementationYear+(Appraisal_Period-1)),0,'Mode change'!$E$36*$B14)))</f>
        <v>0</v>
      </c>
      <c r="AD14" s="97">
        <f>IF(Option2="No",0,IF($A14&lt;ImplementationYear,0,IF($A14&gt;(ImplementationYear+(Appraisal_Period-1)),0,'Mode change'!$E$37*$B14)))</f>
        <v>0</v>
      </c>
      <c r="AE14" s="97">
        <f>IF(Option2="No",0,IF($A14&lt;ImplementationYear,0,IF($A14&gt;(ImplementationYear+(Appraisal_Period-1)),0,'Road safety'!$E$22*$B14)))</f>
        <v>0</v>
      </c>
      <c r="AF14" s="97">
        <f>IF(Option2="No",0,IF($A14&lt;ImplementationYear,0,IF($A14&gt;(ImplementationYear+(Appraisal_Period-1)),0,'Reduction in car usage'!$E$46*$B14)))</f>
        <v>0</v>
      </c>
      <c r="AG14" s="97">
        <f>IF(Option2="No",0,IF($A14&lt;ImplementationYear,0,IF($A14&gt;(ImplementationYear+(Appraisal_Period-1)),0,'Reduction in car usage'!$E$47*$B14)))</f>
        <v>0</v>
      </c>
      <c r="AH14" s="97">
        <f>IF(Option2="No",0,IF($A14&lt;ImplementationYear,0,IF($A14&gt;(ImplementationYear+(Appraisal_Period-1)),0,'Reduction in car usage'!$E$48*$B14)))</f>
        <v>0</v>
      </c>
      <c r="AJ14" s="94">
        <f>IF(Option3="No",0,IF($A14=ImplementationYear,('Project details'!$P$10-'Project details'!$D$10)*VLOOKUP(Year_cost_estimate,'Time-series parameters'!$B$11:$C$89,2,FALSE)*$B14*(1+Contingency),0))</f>
        <v>0</v>
      </c>
      <c r="AK14" s="94" t="e">
        <f>IF(Option3="No",0,IF($A14&lt;ImplementationYear,0,IF($A14&gt;(ImplementationYear+(Appraisal_Period-1)),0,('Project details'!$P$11-'Project details'!$D$11)*VLOOKUP(Year_cost_estimate,'Time-series parameters'!$B$11:$C$89,2,0))*$B14))</f>
        <v>#VALUE!</v>
      </c>
      <c r="AL14" s="94">
        <f>IF(Option3="No",0,IF($A14=ImplementationYear,('Project details'!$P$12-'Project details'!$D$12)*VLOOKUP(Year_cost_estimate,'Time-series parameters'!$B$11:$C$89,2,FALSE)*$B14,0))</f>
        <v>0</v>
      </c>
      <c r="AM14" s="97">
        <f>IF(Option3="No",0,IF($A14&lt;ImplementationYear,0,IF($A14&gt;(ImplementationYear+(Appraisal_Period-1)),0,Health!$F$21*$B14)))</f>
        <v>0</v>
      </c>
      <c r="AN14" s="97">
        <f>IF(Option3="No",0,IF($A14&lt;ImplementationYear,0,IF($A14&gt;(ImplementationYear+(Appraisal_Period-1)),0,Health!$F$22*$B14)))</f>
        <v>0</v>
      </c>
      <c r="AO14" s="97">
        <f>IF(Option3="No",0,IF($A14&lt;ImplementationYear,0,IF($A14&gt;(ImplementationYear+(Appraisal_Period-1)),0,SUM('Travel time'!$F$22:$F$23)*$B14)))</f>
        <v>0</v>
      </c>
      <c r="AP14" s="97">
        <f>IF(Option3="No",0,IF($A14&lt;ImplementationYear,0,IF($A14&gt;(ImplementationYear+(Appraisal_Period-1)),0,SUM('Travel time'!$F$20:$F$21)*$B14)))</f>
        <v>0</v>
      </c>
      <c r="AQ14" s="97">
        <f>IF(Option3="No",0,IF($A14&lt;ImplementationYear,0,IF($A14&gt;(ImplementationYear+(Appraisal_Period-1)),0,SUM(Quality!$F$22:$F$23)*$B14)))</f>
        <v>0</v>
      </c>
      <c r="AR14" s="97">
        <f>IF(Option3="No",0,IF($A14&lt;ImplementationYear,0,IF($A14&gt;(ImplementationYear+(Appraisal_Period-1)),0,SUM(Quality!$F$20:$F$21)*$B14)))</f>
        <v>0</v>
      </c>
      <c r="AS14" s="97">
        <f>IF(Option3="No",0,IF($A14&lt;ImplementationYear,0,IF($A14&gt;(ImplementationYear+(Appraisal_Period-1)),0,'Mode change'!$F$36*$B14)))</f>
        <v>0</v>
      </c>
      <c r="AT14" s="97">
        <f>IF(Option3="No",0,IF($A14&lt;ImplementationYear,0,IF($A14&gt;(ImplementationYear+(Appraisal_Period-1)),0,'Mode change'!$F$37*$B14)))</f>
        <v>0</v>
      </c>
      <c r="AU14" s="97">
        <f>IF(Option3="No",0,IF($A14&lt;ImplementationYear,0,IF($A14&gt;(ImplementationYear+(Appraisal_Period-1)),0,'Road safety'!$F$22*$B14)))</f>
        <v>0</v>
      </c>
      <c r="AV14" s="97">
        <f>IF(Option3="No",0,IF($A14&lt;ImplementationYear,0,IF($A14&gt;(ImplementationYear+(Appraisal_Period-1)),0,'Reduction in car usage'!$F$46*$B14)))</f>
        <v>0</v>
      </c>
      <c r="AW14" s="97">
        <f>IF(Option3="No",0,IF($A14&lt;ImplementationYear,0,IF($A14&gt;(ImplementationYear+(Appraisal_Period-1)),0,'Reduction in car usage'!$F$47*$B14)))</f>
        <v>0</v>
      </c>
      <c r="AX14" s="97">
        <f>IF(Option3="No",0,IF($A14&lt;ImplementationYear,0,IF($A14&gt;(ImplementationYear+(Appraisal_Period-1)),0,'Reduction in car usage'!$F$48*$B14)))</f>
        <v>0</v>
      </c>
    </row>
    <row r="15" spans="1:50">
      <c r="A15" s="335">
        <v>2010</v>
      </c>
      <c r="B15" s="62" t="str">
        <f>VLOOKUP($A15,'Time-series parameters'!$E$11:$H$89,2,FALSE)</f>
        <v/>
      </c>
      <c r="C15" s="89"/>
      <c r="D15" s="94">
        <f>IF(Option1="No",0,IF($A15=ImplementationYear,('Project details'!$H$10-'Project details'!$D$10)*VLOOKUP(Year_cost_estimate,'Time-series parameters'!$B$11:$C$89,2,FALSE)*$B15*(1+Contingency),0))</f>
        <v>0</v>
      </c>
      <c r="E15" s="94" t="e">
        <f>IF(Option1="No",0,IF($A15&lt;ImplementationYear,0,IF($A15&gt;(ImplementationYear+(Appraisal_Period-1)),0,('Project details'!$H$11-'Project details'!$D$11)*VLOOKUP(Year_cost_estimate,'Time-series parameters'!$B$11:$C$89,2,0))*$B15))</f>
        <v>#VALUE!</v>
      </c>
      <c r="F15" s="94">
        <f>IF(Option1="No",0,IF($A15=ImplementationYear,('Project details'!$H$12-'Project details'!$D$12)*VLOOKUP(Year_cost_estimate,'Time-series parameters'!$B$11:$C$89,2,FALSE)*$B15,0))</f>
        <v>0</v>
      </c>
      <c r="G15" s="97">
        <f>IF(Option1="No",0,IF($A15&lt;ImplementationYear,0,IF($A15&gt;(ImplementationYear+(Appraisal_Period-1)),0,Health!$D$21*$B15)))</f>
        <v>0</v>
      </c>
      <c r="H15" s="97">
        <f>IF(Option1="No",0,IF($A15&lt;ImplementationYear,0,IF($A15&gt;(ImplementationYear+(Appraisal_Period-1)),0,Health!$D$22*$B15)))</f>
        <v>0</v>
      </c>
      <c r="I15" s="97">
        <f>IF(Option1="No",0,IF($A15&lt;ImplementationYear,0,IF($A15&gt;(ImplementationYear+(Appraisal_Period-1)),0,SUM('Travel time'!$D$22:$D$23)*$B15)))</f>
        <v>0</v>
      </c>
      <c r="J15" s="97">
        <f>IF(Option1="No",0,IF($A15&lt;ImplementationYear,0,IF($A15&gt;(ImplementationYear+(Appraisal_Period-1)),0,SUM('Travel time'!$D$20:$D$21)*$B15)))</f>
        <v>0</v>
      </c>
      <c r="K15" s="97">
        <f>IF(Option1="No",0,IF($A15&lt;ImplementationYear,0,IF($A15&gt;(ImplementationYear+(Appraisal_Period-1)),0,SUM(Quality!$D$22:$D$23)*$B15)))</f>
        <v>0</v>
      </c>
      <c r="L15" s="97">
        <f>IF(Option1="No",0,IF($A15&lt;ImplementationYear,0,IF($A15&gt;(ImplementationYear+(Appraisal_Period-1)),0,SUM(Quality!$D$20:$D$21)*$B15)))</f>
        <v>0</v>
      </c>
      <c r="M15" s="97">
        <f>IF(Option1="No",0,IF($A15&lt;ImplementationYear,0,IF($A15&gt;(ImplementationYear+(Appraisal_Period-1)),0,'Mode change'!$D$36*$B15)))</f>
        <v>0</v>
      </c>
      <c r="N15" s="97">
        <f>IF(Option1="No",0,IF($A15&lt;ImplementationYear,0,IF($A15&gt;(ImplementationYear+(Appraisal_Period-1)),0,'Mode change'!$D$37*$B15)))</f>
        <v>0</v>
      </c>
      <c r="O15" s="97">
        <f>IF(Option1="No",0,IF($A15&lt;ImplementationYear,0,IF($A15&gt;(ImplementationYear+(Appraisal_Period-1)),0,'Road safety'!$D$22*$B15)))</f>
        <v>0</v>
      </c>
      <c r="P15" s="97">
        <f>IF(Option1="No",0,IF($A15&lt;ImplementationYear,0,IF($A15&gt;(ImplementationYear+(Appraisal_Period-1)),0,'Reduction in car usage'!$D$46*$B15)))</f>
        <v>0</v>
      </c>
      <c r="Q15" s="97">
        <f>IF(Option1="No",0,IF($A15&lt;ImplementationYear,0,IF($A15&gt;(ImplementationYear+(Appraisal_Period-1)),0,'Reduction in car usage'!$D$47*$B15)))</f>
        <v>0</v>
      </c>
      <c r="R15" s="97">
        <f>IF(Option1="No",0,IF($A15&lt;ImplementationYear,0,IF($A15&gt;(ImplementationYear+(Appraisal_Period-1)),0,'Reduction in car usage'!$D$48*$B15)))</f>
        <v>0</v>
      </c>
      <c r="S15" s="92"/>
      <c r="T15" s="94">
        <f>IF(Option2="No",0,IF($A15=ImplementationYear,('Project details'!$L$10-'Project details'!$D$10)*VLOOKUP(Year_cost_estimate,'Time-series parameters'!$B$11:$C$89,2,FALSE)*$B15*(1+Contingency),0))</f>
        <v>0</v>
      </c>
      <c r="U15" s="94" t="e">
        <f>IF(Option2="No",0,IF($A15&lt;ImplementationYear,0,IF($A15&gt;(ImplementationYear+(Appraisal_Period-1)),0,('Project details'!$L$11-'Project details'!$D$11)*VLOOKUP(Year_cost_estimate,'Time-series parameters'!$B$11:$C$89,2,0))*$B15))</f>
        <v>#VALUE!</v>
      </c>
      <c r="V15" s="94">
        <f>IF(Option2="No",0,IF($A15=ImplementationYear,('Project details'!$L$12-'Project details'!$D$12)*VLOOKUP(Year_cost_estimate,'Time-series parameters'!$B$11:$C$89,2,FALSE)*$B15,0))</f>
        <v>0</v>
      </c>
      <c r="W15" s="97">
        <f>IF(Option2="No",0,IF($A15&lt;ImplementationYear,0,IF($A15&gt;(ImplementationYear+(Appraisal_Period-1)),0,Health!$E$21*$B15)))</f>
        <v>0</v>
      </c>
      <c r="X15" s="97">
        <f>IF(Option2="No",0,IF($A15&lt;ImplementationYear,0,IF($A15&gt;(ImplementationYear+(Appraisal_Period-1)),0,Health!$E$22*$B15)))</f>
        <v>0</v>
      </c>
      <c r="Y15" s="97">
        <f>IF(Option2="No",0,IF($A15&lt;ImplementationYear,0,IF($A15&gt;(ImplementationYear+(Appraisal_Period-1)),0,SUM('Travel time'!$E$22:$E$23)*$B15)))</f>
        <v>0</v>
      </c>
      <c r="Z15" s="97">
        <f>IF(Option2="No",0,IF($A15&lt;ImplementationYear,0,IF($A15&gt;(ImplementationYear+(Appraisal_Period-1)),0,SUM('Travel time'!$E$20:$E$21)*$B15)))</f>
        <v>0</v>
      </c>
      <c r="AA15" s="97">
        <f>IF(Option2="No",0,IF($A15&lt;ImplementationYear,0,IF($A15&gt;(ImplementationYear+(Appraisal_Period-1)),0,SUM(Quality!$E$22:$E$23)*$B15)))</f>
        <v>0</v>
      </c>
      <c r="AB15" s="97">
        <f>IF(Option2="No",0,IF($A15&lt;ImplementationYear,0,IF($A15&gt;(ImplementationYear+(Appraisal_Period-1)),0,SUM(Quality!$E$20:$E$21)*$B15)))</f>
        <v>0</v>
      </c>
      <c r="AC15" s="97">
        <f>IF(Option2="No",0,IF($A15&lt;ImplementationYear,0,IF($A15&gt;(ImplementationYear+(Appraisal_Period-1)),0,'Mode change'!$E$36*$B15)))</f>
        <v>0</v>
      </c>
      <c r="AD15" s="97">
        <f>IF(Option2="No",0,IF($A15&lt;ImplementationYear,0,IF($A15&gt;(ImplementationYear+(Appraisal_Period-1)),0,'Mode change'!$E$37*$B15)))</f>
        <v>0</v>
      </c>
      <c r="AE15" s="97">
        <f>IF(Option2="No",0,IF($A15&lt;ImplementationYear,0,IF($A15&gt;(ImplementationYear+(Appraisal_Period-1)),0,'Road safety'!$E$22*$B15)))</f>
        <v>0</v>
      </c>
      <c r="AF15" s="97">
        <f>IF(Option2="No",0,IF($A15&lt;ImplementationYear,0,IF($A15&gt;(ImplementationYear+(Appraisal_Period-1)),0,'Reduction in car usage'!$E$46*$B15)))</f>
        <v>0</v>
      </c>
      <c r="AG15" s="97">
        <f>IF(Option2="No",0,IF($A15&lt;ImplementationYear,0,IF($A15&gt;(ImplementationYear+(Appraisal_Period-1)),0,'Reduction in car usage'!$E$47*$B15)))</f>
        <v>0</v>
      </c>
      <c r="AH15" s="97">
        <f>IF(Option2="No",0,IF($A15&lt;ImplementationYear,0,IF($A15&gt;(ImplementationYear+(Appraisal_Period-1)),0,'Reduction in car usage'!$E$48*$B15)))</f>
        <v>0</v>
      </c>
      <c r="AJ15" s="94">
        <f>IF(Option3="No",0,IF($A15=ImplementationYear,('Project details'!$P$10-'Project details'!$D$10)*VLOOKUP(Year_cost_estimate,'Time-series parameters'!$B$11:$C$89,2,FALSE)*$B15*(1+Contingency),0))</f>
        <v>0</v>
      </c>
      <c r="AK15" s="94" t="e">
        <f>IF(Option3="No",0,IF($A15&lt;ImplementationYear,0,IF($A15&gt;(ImplementationYear+(Appraisal_Period-1)),0,('Project details'!$P$11-'Project details'!$D$11)*VLOOKUP(Year_cost_estimate,'Time-series parameters'!$B$11:$C$89,2,0))*$B15))</f>
        <v>#VALUE!</v>
      </c>
      <c r="AL15" s="94">
        <f>IF(Option3="No",0,IF($A15=ImplementationYear,('Project details'!$P$12-'Project details'!$D$12)*VLOOKUP(Year_cost_estimate,'Time-series parameters'!$B$11:$C$89,2,FALSE)*$B15,0))</f>
        <v>0</v>
      </c>
      <c r="AM15" s="97">
        <f>IF(Option3="No",0,IF($A15&lt;ImplementationYear,0,IF($A15&gt;(ImplementationYear+(Appraisal_Period-1)),0,Health!$F$21*$B15)))</f>
        <v>0</v>
      </c>
      <c r="AN15" s="97">
        <f>IF(Option3="No",0,IF($A15&lt;ImplementationYear,0,IF($A15&gt;(ImplementationYear+(Appraisal_Period-1)),0,Health!$F$22*$B15)))</f>
        <v>0</v>
      </c>
      <c r="AO15" s="97">
        <f>IF(Option3="No",0,IF($A15&lt;ImplementationYear,0,IF($A15&gt;(ImplementationYear+(Appraisal_Period-1)),0,SUM('Travel time'!$F$22:$F$23)*$B15)))</f>
        <v>0</v>
      </c>
      <c r="AP15" s="97">
        <f>IF(Option3="No",0,IF($A15&lt;ImplementationYear,0,IF($A15&gt;(ImplementationYear+(Appraisal_Period-1)),0,SUM('Travel time'!$F$20:$F$21)*$B15)))</f>
        <v>0</v>
      </c>
      <c r="AQ15" s="97">
        <f>IF(Option3="No",0,IF($A15&lt;ImplementationYear,0,IF($A15&gt;(ImplementationYear+(Appraisal_Period-1)),0,SUM(Quality!$F$22:$F$23)*$B15)))</f>
        <v>0</v>
      </c>
      <c r="AR15" s="97">
        <f>IF(Option3="No",0,IF($A15&lt;ImplementationYear,0,IF($A15&gt;(ImplementationYear+(Appraisal_Period-1)),0,SUM(Quality!$F$20:$F$21)*$B15)))</f>
        <v>0</v>
      </c>
      <c r="AS15" s="97">
        <f>IF(Option3="No",0,IF($A15&lt;ImplementationYear,0,IF($A15&gt;(ImplementationYear+(Appraisal_Period-1)),0,'Mode change'!$F$36*$B15)))</f>
        <v>0</v>
      </c>
      <c r="AT15" s="97">
        <f>IF(Option3="No",0,IF($A15&lt;ImplementationYear,0,IF($A15&gt;(ImplementationYear+(Appraisal_Period-1)),0,'Mode change'!$F$37*$B15)))</f>
        <v>0</v>
      </c>
      <c r="AU15" s="97">
        <f>IF(Option3="No",0,IF($A15&lt;ImplementationYear,0,IF($A15&gt;(ImplementationYear+(Appraisal_Period-1)),0,'Road safety'!$F$22*$B15)))</f>
        <v>0</v>
      </c>
      <c r="AV15" s="97">
        <f>IF(Option3="No",0,IF($A15&lt;ImplementationYear,0,IF($A15&gt;(ImplementationYear+(Appraisal_Period-1)),0,'Reduction in car usage'!$F$46*$B15)))</f>
        <v>0</v>
      </c>
      <c r="AW15" s="97">
        <f>IF(Option3="No",0,IF($A15&lt;ImplementationYear,0,IF($A15&gt;(ImplementationYear+(Appraisal_Period-1)),0,'Reduction in car usage'!$F$47*$B15)))</f>
        <v>0</v>
      </c>
      <c r="AX15" s="97">
        <f>IF(Option3="No",0,IF($A15&lt;ImplementationYear,0,IF($A15&gt;(ImplementationYear+(Appraisal_Period-1)),0,'Reduction in car usage'!$F$48*$B15)))</f>
        <v>0</v>
      </c>
    </row>
    <row r="16" spans="1:50">
      <c r="A16" s="335">
        <v>2011</v>
      </c>
      <c r="B16" s="62">
        <f>VLOOKUP($A16,'Time-series parameters'!$E$11:$H$89,2,FALSE)</f>
        <v>1</v>
      </c>
      <c r="C16" s="89"/>
      <c r="D16" s="94">
        <f>IF(Option1="No",0,IF($A16=ImplementationYear,('Project details'!$H$10-'Project details'!$D$10)*VLOOKUP(Year_cost_estimate,'Time-series parameters'!$B$11:$C$89,2,FALSE)*$B16*(1+Contingency),0))</f>
        <v>0</v>
      </c>
      <c r="E16" s="94">
        <f>IF(Option1="No",0,IF($A16&lt;ImplementationYear,0,IF($A16&gt;(ImplementationYear+(Appraisal_Period-1)),0,('Project details'!$H$11-'Project details'!$D$11)*VLOOKUP(Year_cost_estimate,'Time-series parameters'!$B$11:$C$89,2,0))*$B16))</f>
        <v>0</v>
      </c>
      <c r="F16" s="94">
        <f>IF(Option1="No",0,IF($A16=ImplementationYear,('Project details'!$H$12-'Project details'!$D$12)*VLOOKUP(Year_cost_estimate,'Time-series parameters'!$B$11:$C$89,2,FALSE)*$B16,0))</f>
        <v>0</v>
      </c>
      <c r="G16" s="97">
        <f>IF(Option1="No",0,IF($A16&lt;ImplementationYear,0,IF($A16&gt;(ImplementationYear+(Appraisal_Period-1)),0,Health!$D$21*$B16)))</f>
        <v>0</v>
      </c>
      <c r="H16" s="97">
        <f>IF(Option1="No",0,IF($A16&lt;ImplementationYear,0,IF($A16&gt;(ImplementationYear+(Appraisal_Period-1)),0,Health!$D$22*$B16)))</f>
        <v>0</v>
      </c>
      <c r="I16" s="97">
        <f>IF(Option1="No",0,IF($A16&lt;ImplementationYear,0,IF($A16&gt;(ImplementationYear+(Appraisal_Period-1)),0,SUM('Travel time'!$D$22:$D$23)*$B16)))</f>
        <v>0</v>
      </c>
      <c r="J16" s="97">
        <f>IF(Option1="No",0,IF($A16&lt;ImplementationYear,0,IF($A16&gt;(ImplementationYear+(Appraisal_Period-1)),0,SUM('Travel time'!$D$20:$D$21)*$B16)))</f>
        <v>0</v>
      </c>
      <c r="K16" s="97">
        <f>IF(Option1="No",0,IF($A16&lt;ImplementationYear,0,IF($A16&gt;(ImplementationYear+(Appraisal_Period-1)),0,SUM(Quality!$D$22:$D$23)*$B16)))</f>
        <v>0</v>
      </c>
      <c r="L16" s="97">
        <f>IF(Option1="No",0,IF($A16&lt;ImplementationYear,0,IF($A16&gt;(ImplementationYear+(Appraisal_Period-1)),0,SUM(Quality!$D$20:$D$21)*$B16)))</f>
        <v>0</v>
      </c>
      <c r="M16" s="97">
        <f>IF(Option1="No",0,IF($A16&lt;ImplementationYear,0,IF($A16&gt;(ImplementationYear+(Appraisal_Period-1)),0,'Mode change'!$D$36*$B16)))</f>
        <v>0</v>
      </c>
      <c r="N16" s="97">
        <f>IF(Option1="No",0,IF($A16&lt;ImplementationYear,0,IF($A16&gt;(ImplementationYear+(Appraisal_Period-1)),0,'Mode change'!$D$37*$B16)))</f>
        <v>0</v>
      </c>
      <c r="O16" s="97">
        <f>IF(Option1="No",0,IF($A16&lt;ImplementationYear,0,IF($A16&gt;(ImplementationYear+(Appraisal_Period-1)),0,'Road safety'!$D$22*$B16)))</f>
        <v>0</v>
      </c>
      <c r="P16" s="97">
        <f>IF(Option1="No",0,IF($A16&lt;ImplementationYear,0,IF($A16&gt;(ImplementationYear+(Appraisal_Period-1)),0,'Reduction in car usage'!$D$46*$B16)))</f>
        <v>0</v>
      </c>
      <c r="Q16" s="97">
        <f>IF(Option1="No",0,IF($A16&lt;ImplementationYear,0,IF($A16&gt;(ImplementationYear+(Appraisal_Period-1)),0,'Reduction in car usage'!$D$47*$B16)))</f>
        <v>0</v>
      </c>
      <c r="R16" s="97">
        <f>IF(Option1="No",0,IF($A16&lt;ImplementationYear,0,IF($A16&gt;(ImplementationYear+(Appraisal_Period-1)),0,'Reduction in car usage'!$D$48*$B16)))</f>
        <v>0</v>
      </c>
      <c r="S16" s="92"/>
      <c r="T16" s="94">
        <f>IF(Option2="No",0,IF($A16=ImplementationYear,('Project details'!$L$10-'Project details'!$D$10)*VLOOKUP(Year_cost_estimate,'Time-series parameters'!$B$11:$C$89,2,FALSE)*$B16*(1+Contingency),0))</f>
        <v>0</v>
      </c>
      <c r="U16" s="94">
        <f>IF(Option2="No",0,IF($A16&lt;ImplementationYear,0,IF($A16&gt;(ImplementationYear+(Appraisal_Period-1)),0,('Project details'!$L$11-'Project details'!$D$11)*VLOOKUP(Year_cost_estimate,'Time-series parameters'!$B$11:$C$89,2,0))*$B16))</f>
        <v>0</v>
      </c>
      <c r="V16" s="94">
        <f>IF(Option2="No",0,IF($A16=ImplementationYear,('Project details'!$L$12-'Project details'!$D$12)*VLOOKUP(Year_cost_estimate,'Time-series parameters'!$B$11:$C$89,2,FALSE)*$B16,0))</f>
        <v>0</v>
      </c>
      <c r="W16" s="97">
        <f>IF(Option2="No",0,IF($A16&lt;ImplementationYear,0,IF($A16&gt;(ImplementationYear+(Appraisal_Period-1)),0,Health!$E$21*$B16)))</f>
        <v>0</v>
      </c>
      <c r="X16" s="97">
        <f>IF(Option2="No",0,IF($A16&lt;ImplementationYear,0,IF($A16&gt;(ImplementationYear+(Appraisal_Period-1)),0,Health!$E$22*$B16)))</f>
        <v>0</v>
      </c>
      <c r="Y16" s="97">
        <f>IF(Option2="No",0,IF($A16&lt;ImplementationYear,0,IF($A16&gt;(ImplementationYear+(Appraisal_Period-1)),0,SUM('Travel time'!$E$22:$E$23)*$B16)))</f>
        <v>0</v>
      </c>
      <c r="Z16" s="97">
        <f>IF(Option2="No",0,IF($A16&lt;ImplementationYear,0,IF($A16&gt;(ImplementationYear+(Appraisal_Period-1)),0,SUM('Travel time'!$E$20:$E$21)*$B16)))</f>
        <v>0</v>
      </c>
      <c r="AA16" s="97">
        <f>IF(Option2="No",0,IF($A16&lt;ImplementationYear,0,IF($A16&gt;(ImplementationYear+(Appraisal_Period-1)),0,SUM(Quality!$E$22:$E$23)*$B16)))</f>
        <v>0</v>
      </c>
      <c r="AB16" s="97">
        <f>IF(Option2="No",0,IF($A16&lt;ImplementationYear,0,IF($A16&gt;(ImplementationYear+(Appraisal_Period-1)),0,SUM(Quality!$E$20:$E$21)*$B16)))</f>
        <v>0</v>
      </c>
      <c r="AC16" s="97">
        <f>IF(Option2="No",0,IF($A16&lt;ImplementationYear,0,IF($A16&gt;(ImplementationYear+(Appraisal_Period-1)),0,'Mode change'!$E$36*$B16)))</f>
        <v>0</v>
      </c>
      <c r="AD16" s="97">
        <f>IF(Option2="No",0,IF($A16&lt;ImplementationYear,0,IF($A16&gt;(ImplementationYear+(Appraisal_Period-1)),0,'Mode change'!$E$37*$B16)))</f>
        <v>0</v>
      </c>
      <c r="AE16" s="97">
        <f>IF(Option2="No",0,IF($A16&lt;ImplementationYear,0,IF($A16&gt;(ImplementationYear+(Appraisal_Period-1)),0,'Road safety'!$E$22*$B16)))</f>
        <v>0</v>
      </c>
      <c r="AF16" s="97">
        <f>IF(Option2="No",0,IF($A16&lt;ImplementationYear,0,IF($A16&gt;(ImplementationYear+(Appraisal_Period-1)),0,'Reduction in car usage'!$E$46*$B16)))</f>
        <v>0</v>
      </c>
      <c r="AG16" s="97">
        <f>IF(Option2="No",0,IF($A16&lt;ImplementationYear,0,IF($A16&gt;(ImplementationYear+(Appraisal_Period-1)),0,'Reduction in car usage'!$E$47*$B16)))</f>
        <v>0</v>
      </c>
      <c r="AH16" s="97">
        <f>IF(Option2="No",0,IF($A16&lt;ImplementationYear,0,IF($A16&gt;(ImplementationYear+(Appraisal_Period-1)),0,'Reduction in car usage'!$E$48*$B16)))</f>
        <v>0</v>
      </c>
      <c r="AJ16" s="94">
        <f>IF(Option3="No",0,IF($A16=ImplementationYear,('Project details'!$P$10-'Project details'!$D$10)*VLOOKUP(Year_cost_estimate,'Time-series parameters'!$B$11:$C$89,2,FALSE)*$B16*(1+Contingency),0))</f>
        <v>0</v>
      </c>
      <c r="AK16" s="94">
        <f>IF(Option3="No",0,IF($A16&lt;ImplementationYear,0,IF($A16&gt;(ImplementationYear+(Appraisal_Period-1)),0,('Project details'!$P$11-'Project details'!$D$11)*VLOOKUP(Year_cost_estimate,'Time-series parameters'!$B$11:$C$89,2,0))*$B16))</f>
        <v>0</v>
      </c>
      <c r="AL16" s="94">
        <f>IF(Option3="No",0,IF($A16=ImplementationYear,('Project details'!$P$12-'Project details'!$D$12)*VLOOKUP(Year_cost_estimate,'Time-series parameters'!$B$11:$C$89,2,FALSE)*$B16,0))</f>
        <v>0</v>
      </c>
      <c r="AM16" s="97">
        <f>IF(Option3="No",0,IF($A16&lt;ImplementationYear,0,IF($A16&gt;(ImplementationYear+(Appraisal_Period-1)),0,Health!$F$21*$B16)))</f>
        <v>0</v>
      </c>
      <c r="AN16" s="97">
        <f>IF(Option3="No",0,IF($A16&lt;ImplementationYear,0,IF($A16&gt;(ImplementationYear+(Appraisal_Period-1)),0,Health!$F$22*$B16)))</f>
        <v>0</v>
      </c>
      <c r="AO16" s="97">
        <f>IF(Option3="No",0,IF($A16&lt;ImplementationYear,0,IF($A16&gt;(ImplementationYear+(Appraisal_Period-1)),0,SUM('Travel time'!$F$22:$F$23)*$B16)))</f>
        <v>0</v>
      </c>
      <c r="AP16" s="97">
        <f>IF(Option3="No",0,IF($A16&lt;ImplementationYear,0,IF($A16&gt;(ImplementationYear+(Appraisal_Period-1)),0,SUM('Travel time'!$F$20:$F$21)*$B16)))</f>
        <v>0</v>
      </c>
      <c r="AQ16" s="97">
        <f>IF(Option3="No",0,IF($A16&lt;ImplementationYear,0,IF($A16&gt;(ImplementationYear+(Appraisal_Period-1)),0,SUM(Quality!$F$22:$F$23)*$B16)))</f>
        <v>0</v>
      </c>
      <c r="AR16" s="97">
        <f>IF(Option3="No",0,IF($A16&lt;ImplementationYear,0,IF($A16&gt;(ImplementationYear+(Appraisal_Period-1)),0,SUM(Quality!$F$20:$F$21)*$B16)))</f>
        <v>0</v>
      </c>
      <c r="AS16" s="97">
        <f>IF(Option3="No",0,IF($A16&lt;ImplementationYear,0,IF($A16&gt;(ImplementationYear+(Appraisal_Period-1)),0,'Mode change'!$F$36*$B16)))</f>
        <v>0</v>
      </c>
      <c r="AT16" s="97">
        <f>IF(Option3="No",0,IF($A16&lt;ImplementationYear,0,IF($A16&gt;(ImplementationYear+(Appraisal_Period-1)),0,'Mode change'!$F$37*$B16)))</f>
        <v>0</v>
      </c>
      <c r="AU16" s="97">
        <f>IF(Option3="No",0,IF($A16&lt;ImplementationYear,0,IF($A16&gt;(ImplementationYear+(Appraisal_Period-1)),0,'Road safety'!$F$22*$B16)))</f>
        <v>0</v>
      </c>
      <c r="AV16" s="97">
        <f>IF(Option3="No",0,IF($A16&lt;ImplementationYear,0,IF($A16&gt;(ImplementationYear+(Appraisal_Period-1)),0,'Reduction in car usage'!$F$46*$B16)))</f>
        <v>0</v>
      </c>
      <c r="AW16" s="97">
        <f>IF(Option3="No",0,IF($A16&lt;ImplementationYear,0,IF($A16&gt;(ImplementationYear+(Appraisal_Period-1)),0,'Reduction in car usage'!$F$47*$B16)))</f>
        <v>0</v>
      </c>
      <c r="AX16" s="97">
        <f>IF(Option3="No",0,IF($A16&lt;ImplementationYear,0,IF($A16&gt;(ImplementationYear+(Appraisal_Period-1)),0,'Reduction in car usage'!$F$48*$B16)))</f>
        <v>0</v>
      </c>
    </row>
    <row r="17" spans="1:50">
      <c r="A17" s="335">
        <v>2012</v>
      </c>
      <c r="B17" s="62">
        <f>VLOOKUP($A17,'Time-series parameters'!$E$11:$H$89,2,FALSE)</f>
        <v>0.92</v>
      </c>
      <c r="C17" s="89"/>
      <c r="D17" s="94">
        <f>IF(Option1="No",0,IF($A17=ImplementationYear,('Project details'!$H$10-'Project details'!$D$10)*VLOOKUP(Year_cost_estimate,'Time-series parameters'!$B$11:$C$89,2,FALSE)*$B17*(1+Contingency),0))</f>
        <v>0</v>
      </c>
      <c r="E17" s="94">
        <f>IF(Option1="No",0,IF($A17&lt;ImplementationYear,0,IF($A17&gt;(ImplementationYear+(Appraisal_Period-1)),0,('Project details'!$H$11-'Project details'!$D$11)*VLOOKUP(Year_cost_estimate,'Time-series parameters'!$B$11:$C$89,2,0))*$B17))</f>
        <v>0</v>
      </c>
      <c r="F17" s="94">
        <f>IF(Option1="No",0,IF($A17=ImplementationYear,('Project details'!$H$12-'Project details'!$D$12)*VLOOKUP(Year_cost_estimate,'Time-series parameters'!$B$11:$C$89,2,FALSE)*$B17,0))</f>
        <v>0</v>
      </c>
      <c r="G17" s="97">
        <f>IF(Option1="No",0,IF($A17&lt;ImplementationYear,0,IF($A17&gt;(ImplementationYear+(Appraisal_Period-1)),0,Health!$D$21*$B17)))</f>
        <v>0</v>
      </c>
      <c r="H17" s="97">
        <f>IF(Option1="No",0,IF($A17&lt;ImplementationYear,0,IF($A17&gt;(ImplementationYear+(Appraisal_Period-1)),0,Health!$D$22*$B17)))</f>
        <v>0</v>
      </c>
      <c r="I17" s="97">
        <f>IF(Option1="No",0,IF($A17&lt;ImplementationYear,0,IF($A17&gt;(ImplementationYear+(Appraisal_Period-1)),0,SUM('Travel time'!$D$22:$D$23)*$B17)))</f>
        <v>0</v>
      </c>
      <c r="J17" s="97">
        <f>IF(Option1="No",0,IF($A17&lt;ImplementationYear,0,IF($A17&gt;(ImplementationYear+(Appraisal_Period-1)),0,SUM('Travel time'!$D$20:$D$21)*$B17)))</f>
        <v>0</v>
      </c>
      <c r="K17" s="97">
        <f>IF(Option1="No",0,IF($A17&lt;ImplementationYear,0,IF($A17&gt;(ImplementationYear+(Appraisal_Period-1)),0,SUM(Quality!$D$22:$D$23)*$B17)))</f>
        <v>0</v>
      </c>
      <c r="L17" s="97">
        <f>IF(Option1="No",0,IF($A17&lt;ImplementationYear,0,IF($A17&gt;(ImplementationYear+(Appraisal_Period-1)),0,SUM(Quality!$D$20:$D$21)*$B17)))</f>
        <v>0</v>
      </c>
      <c r="M17" s="97">
        <f>IF(Option1="No",0,IF($A17&lt;ImplementationYear,0,IF($A17&gt;(ImplementationYear+(Appraisal_Period-1)),0,'Mode change'!$D$36*$B17)))</f>
        <v>0</v>
      </c>
      <c r="N17" s="97">
        <f>IF(Option1="No",0,IF($A17&lt;ImplementationYear,0,IF($A17&gt;(ImplementationYear+(Appraisal_Period-1)),0,'Mode change'!$D$37*$B17)))</f>
        <v>0</v>
      </c>
      <c r="O17" s="97">
        <f>IF(Option1="No",0,IF($A17&lt;ImplementationYear,0,IF($A17&gt;(ImplementationYear+(Appraisal_Period-1)),0,'Road safety'!$D$22*$B17)))</f>
        <v>0</v>
      </c>
      <c r="P17" s="97">
        <f>IF(Option1="No",0,IF($A17&lt;ImplementationYear,0,IF($A17&gt;(ImplementationYear+(Appraisal_Period-1)),0,'Reduction in car usage'!$D$46*$B17)))</f>
        <v>0</v>
      </c>
      <c r="Q17" s="97">
        <f>IF(Option1="No",0,IF($A17&lt;ImplementationYear,0,IF($A17&gt;(ImplementationYear+(Appraisal_Period-1)),0,'Reduction in car usage'!$D$47*$B17)))</f>
        <v>0</v>
      </c>
      <c r="R17" s="97">
        <f>IF(Option1="No",0,IF($A17&lt;ImplementationYear,0,IF($A17&gt;(ImplementationYear+(Appraisal_Period-1)),0,'Reduction in car usage'!$D$48*$B17)))</f>
        <v>0</v>
      </c>
      <c r="S17" s="92"/>
      <c r="T17" s="94">
        <f>IF(Option2="No",0,IF($A17=ImplementationYear,('Project details'!$L$10-'Project details'!$D$10)*VLOOKUP(Year_cost_estimate,'Time-series parameters'!$B$11:$C$89,2,FALSE)*$B17*(1+Contingency),0))</f>
        <v>0</v>
      </c>
      <c r="U17" s="94">
        <f>IF(Option2="No",0,IF($A17&lt;ImplementationYear,0,IF($A17&gt;(ImplementationYear+(Appraisal_Period-1)),0,('Project details'!$L$11-'Project details'!$D$11)*VLOOKUP(Year_cost_estimate,'Time-series parameters'!$B$11:$C$89,2,0))*$B17))</f>
        <v>0</v>
      </c>
      <c r="V17" s="94">
        <f>IF(Option2="No",0,IF($A17=ImplementationYear,('Project details'!$L$12-'Project details'!$D$12)*VLOOKUP(Year_cost_estimate,'Time-series parameters'!$B$11:$C$89,2,FALSE)*$B17,0))</f>
        <v>0</v>
      </c>
      <c r="W17" s="97">
        <f>IF(Option2="No",0,IF($A17&lt;ImplementationYear,0,IF($A17&gt;(ImplementationYear+(Appraisal_Period-1)),0,Health!$E$21*$B17)))</f>
        <v>0</v>
      </c>
      <c r="X17" s="97">
        <f>IF(Option2="No",0,IF($A17&lt;ImplementationYear,0,IF($A17&gt;(ImplementationYear+(Appraisal_Period-1)),0,Health!$E$22*$B17)))</f>
        <v>0</v>
      </c>
      <c r="Y17" s="97">
        <f>IF(Option2="No",0,IF($A17&lt;ImplementationYear,0,IF($A17&gt;(ImplementationYear+(Appraisal_Period-1)),0,SUM('Travel time'!$E$22:$E$23)*$B17)))</f>
        <v>0</v>
      </c>
      <c r="Z17" s="97">
        <f>IF(Option2="No",0,IF($A17&lt;ImplementationYear,0,IF($A17&gt;(ImplementationYear+(Appraisal_Period-1)),0,SUM('Travel time'!$E$20:$E$21)*$B17)))</f>
        <v>0</v>
      </c>
      <c r="AA17" s="97">
        <f>IF(Option2="No",0,IF($A17&lt;ImplementationYear,0,IF($A17&gt;(ImplementationYear+(Appraisal_Period-1)),0,SUM(Quality!$E$22:$E$23)*$B17)))</f>
        <v>0</v>
      </c>
      <c r="AB17" s="97">
        <f>IF(Option2="No",0,IF($A17&lt;ImplementationYear,0,IF($A17&gt;(ImplementationYear+(Appraisal_Period-1)),0,SUM(Quality!$E$20:$E$21)*$B17)))</f>
        <v>0</v>
      </c>
      <c r="AC17" s="97">
        <f>IF(Option2="No",0,IF($A17&lt;ImplementationYear,0,IF($A17&gt;(ImplementationYear+(Appraisal_Period-1)),0,'Mode change'!$E$36*$B17)))</f>
        <v>0</v>
      </c>
      <c r="AD17" s="97">
        <f>IF(Option2="No",0,IF($A17&lt;ImplementationYear,0,IF($A17&gt;(ImplementationYear+(Appraisal_Period-1)),0,'Mode change'!$E$37*$B17)))</f>
        <v>0</v>
      </c>
      <c r="AE17" s="97">
        <f>IF(Option2="No",0,IF($A17&lt;ImplementationYear,0,IF($A17&gt;(ImplementationYear+(Appraisal_Period-1)),0,'Road safety'!$E$22*$B17)))</f>
        <v>0</v>
      </c>
      <c r="AF17" s="97">
        <f>IF(Option2="No",0,IF($A17&lt;ImplementationYear,0,IF($A17&gt;(ImplementationYear+(Appraisal_Period-1)),0,'Reduction in car usage'!$E$46*$B17)))</f>
        <v>0</v>
      </c>
      <c r="AG17" s="97">
        <f>IF(Option2="No",0,IF($A17&lt;ImplementationYear,0,IF($A17&gt;(ImplementationYear+(Appraisal_Period-1)),0,'Reduction in car usage'!$E$47*$B17)))</f>
        <v>0</v>
      </c>
      <c r="AH17" s="97">
        <f>IF(Option2="No",0,IF($A17&lt;ImplementationYear,0,IF($A17&gt;(ImplementationYear+(Appraisal_Period-1)),0,'Reduction in car usage'!$E$48*$B17)))</f>
        <v>0</v>
      </c>
      <c r="AJ17" s="94">
        <f>IF(Option3="No",0,IF($A17=ImplementationYear,('Project details'!$P$10-'Project details'!$D$10)*VLOOKUP(Year_cost_estimate,'Time-series parameters'!$B$11:$C$89,2,FALSE)*$B17*(1+Contingency),0))</f>
        <v>0</v>
      </c>
      <c r="AK17" s="94">
        <f>IF(Option3="No",0,IF($A17&lt;ImplementationYear,0,IF($A17&gt;(ImplementationYear+(Appraisal_Period-1)),0,('Project details'!$P$11-'Project details'!$D$11)*VLOOKUP(Year_cost_estimate,'Time-series parameters'!$B$11:$C$89,2,0))*$B17))</f>
        <v>0</v>
      </c>
      <c r="AL17" s="94">
        <f>IF(Option3="No",0,IF($A17=ImplementationYear,('Project details'!$P$12-'Project details'!$D$12)*VLOOKUP(Year_cost_estimate,'Time-series parameters'!$B$11:$C$89,2,FALSE)*$B17,0))</f>
        <v>0</v>
      </c>
      <c r="AM17" s="97">
        <f>IF(Option3="No",0,IF($A17&lt;ImplementationYear,0,IF($A17&gt;(ImplementationYear+(Appraisal_Period-1)),0,Health!$F$21*$B17)))</f>
        <v>0</v>
      </c>
      <c r="AN17" s="97">
        <f>IF(Option3="No",0,IF($A17&lt;ImplementationYear,0,IF($A17&gt;(ImplementationYear+(Appraisal_Period-1)),0,Health!$F$22*$B17)))</f>
        <v>0</v>
      </c>
      <c r="AO17" s="97">
        <f>IF(Option3="No",0,IF($A17&lt;ImplementationYear,0,IF($A17&gt;(ImplementationYear+(Appraisal_Period-1)),0,SUM('Travel time'!$F$22:$F$23)*$B17)))</f>
        <v>0</v>
      </c>
      <c r="AP17" s="97">
        <f>IF(Option3="No",0,IF($A17&lt;ImplementationYear,0,IF($A17&gt;(ImplementationYear+(Appraisal_Period-1)),0,SUM('Travel time'!$F$20:$F$21)*$B17)))</f>
        <v>0</v>
      </c>
      <c r="AQ17" s="97">
        <f>IF(Option3="No",0,IF($A17&lt;ImplementationYear,0,IF($A17&gt;(ImplementationYear+(Appraisal_Period-1)),0,SUM(Quality!$F$22:$F$23)*$B17)))</f>
        <v>0</v>
      </c>
      <c r="AR17" s="97">
        <f>IF(Option3="No",0,IF($A17&lt;ImplementationYear,0,IF($A17&gt;(ImplementationYear+(Appraisal_Period-1)),0,SUM(Quality!$F$20:$F$21)*$B17)))</f>
        <v>0</v>
      </c>
      <c r="AS17" s="97">
        <f>IF(Option3="No",0,IF($A17&lt;ImplementationYear,0,IF($A17&gt;(ImplementationYear+(Appraisal_Period-1)),0,'Mode change'!$F$36*$B17)))</f>
        <v>0</v>
      </c>
      <c r="AT17" s="97">
        <f>IF(Option3="No",0,IF($A17&lt;ImplementationYear,0,IF($A17&gt;(ImplementationYear+(Appraisal_Period-1)),0,'Mode change'!$F$37*$B17)))</f>
        <v>0</v>
      </c>
      <c r="AU17" s="97">
        <f>IF(Option3="No",0,IF($A17&lt;ImplementationYear,0,IF($A17&gt;(ImplementationYear+(Appraisal_Period-1)),0,'Road safety'!$F$22*$B17)))</f>
        <v>0</v>
      </c>
      <c r="AV17" s="97">
        <f>IF(Option3="No",0,IF($A17&lt;ImplementationYear,0,IF($A17&gt;(ImplementationYear+(Appraisal_Period-1)),0,'Reduction in car usage'!$F$46*$B17)))</f>
        <v>0</v>
      </c>
      <c r="AW17" s="97">
        <f>IF(Option3="No",0,IF($A17&lt;ImplementationYear,0,IF($A17&gt;(ImplementationYear+(Appraisal_Period-1)),0,'Reduction in car usage'!$F$47*$B17)))</f>
        <v>0</v>
      </c>
      <c r="AX17" s="97">
        <f>IF(Option3="No",0,IF($A17&lt;ImplementationYear,0,IF($A17&gt;(ImplementationYear+(Appraisal_Period-1)),0,'Reduction in car usage'!$F$48*$B17)))</f>
        <v>0</v>
      </c>
    </row>
    <row r="18" spans="1:50">
      <c r="A18" s="335">
        <v>2013</v>
      </c>
      <c r="B18" s="62">
        <f>VLOOKUP($A18,'Time-series parameters'!$E$11:$H$89,2,FALSE)</f>
        <v>0.84640000000000004</v>
      </c>
      <c r="C18" s="89"/>
      <c r="D18" s="94">
        <f>IF(Option1="No",0,IF($A18=ImplementationYear,('Project details'!$H$10-'Project details'!$D$10)*VLOOKUP(Year_cost_estimate,'Time-series parameters'!$B$11:$C$89,2,FALSE)*$B18*(1+Contingency),0))</f>
        <v>0</v>
      </c>
      <c r="E18" s="94">
        <f>IF(Option1="No",0,IF($A18&lt;ImplementationYear,0,IF($A18&gt;(ImplementationYear+(Appraisal_Period-1)),0,('Project details'!$H$11-'Project details'!$D$11)*VLOOKUP(Year_cost_estimate,'Time-series parameters'!$B$11:$C$89,2,0))*$B18))</f>
        <v>0</v>
      </c>
      <c r="F18" s="94">
        <f>IF(Option1="No",0,IF($A18=ImplementationYear,('Project details'!$H$12-'Project details'!$D$12)*VLOOKUP(Year_cost_estimate,'Time-series parameters'!$B$11:$C$89,2,FALSE)*$B18,0))</f>
        <v>0</v>
      </c>
      <c r="G18" s="97">
        <f>IF(Option1="No",0,IF($A18&lt;ImplementationYear,0,IF($A18&gt;(ImplementationYear+(Appraisal_Period-1)),0,Health!$D$21*$B18)))</f>
        <v>0</v>
      </c>
      <c r="H18" s="97">
        <f>IF(Option1="No",0,IF($A18&lt;ImplementationYear,0,IF($A18&gt;(ImplementationYear+(Appraisal_Period-1)),0,Health!$D$22*$B18)))</f>
        <v>0</v>
      </c>
      <c r="I18" s="97">
        <f>IF(Option1="No",0,IF($A18&lt;ImplementationYear,0,IF($A18&gt;(ImplementationYear+(Appraisal_Period-1)),0,SUM('Travel time'!$D$22:$D$23)*$B18)))</f>
        <v>0</v>
      </c>
      <c r="J18" s="97">
        <f>IF(Option1="No",0,IF($A18&lt;ImplementationYear,0,IF($A18&gt;(ImplementationYear+(Appraisal_Period-1)),0,SUM('Travel time'!$D$20:$D$21)*$B18)))</f>
        <v>0</v>
      </c>
      <c r="K18" s="97">
        <f>IF(Option1="No",0,IF($A18&lt;ImplementationYear,0,IF($A18&gt;(ImplementationYear+(Appraisal_Period-1)),0,SUM(Quality!$D$22:$D$23)*$B18)))</f>
        <v>0</v>
      </c>
      <c r="L18" s="97">
        <f>IF(Option1="No",0,IF($A18&lt;ImplementationYear,0,IF($A18&gt;(ImplementationYear+(Appraisal_Period-1)),0,SUM(Quality!$D$20:$D$21)*$B18)))</f>
        <v>0</v>
      </c>
      <c r="M18" s="97">
        <f>IF(Option1="No",0,IF($A18&lt;ImplementationYear,0,IF($A18&gt;(ImplementationYear+(Appraisal_Period-1)),0,'Mode change'!$D$36*$B18)))</f>
        <v>0</v>
      </c>
      <c r="N18" s="97">
        <f>IF(Option1="No",0,IF($A18&lt;ImplementationYear,0,IF($A18&gt;(ImplementationYear+(Appraisal_Period-1)),0,'Mode change'!$D$37*$B18)))</f>
        <v>0</v>
      </c>
      <c r="O18" s="97">
        <f>IF(Option1="No",0,IF($A18&lt;ImplementationYear,0,IF($A18&gt;(ImplementationYear+(Appraisal_Period-1)),0,'Road safety'!$D$22*$B18)))</f>
        <v>0</v>
      </c>
      <c r="P18" s="97">
        <f>IF(Option1="No",0,IF($A18&lt;ImplementationYear,0,IF($A18&gt;(ImplementationYear+(Appraisal_Period-1)),0,'Reduction in car usage'!$D$46*$B18)))</f>
        <v>0</v>
      </c>
      <c r="Q18" s="97">
        <f>IF(Option1="No",0,IF($A18&lt;ImplementationYear,0,IF($A18&gt;(ImplementationYear+(Appraisal_Period-1)),0,'Reduction in car usage'!$D$47*$B18)))</f>
        <v>0</v>
      </c>
      <c r="R18" s="97">
        <f>IF(Option1="No",0,IF($A18&lt;ImplementationYear,0,IF($A18&gt;(ImplementationYear+(Appraisal_Period-1)),0,'Reduction in car usage'!$D$48*$B18)))</f>
        <v>0</v>
      </c>
      <c r="S18" s="92"/>
      <c r="T18" s="94">
        <f>IF(Option2="No",0,IF($A18=ImplementationYear,('Project details'!$L$10-'Project details'!$D$10)*VLOOKUP(Year_cost_estimate,'Time-series parameters'!$B$11:$C$89,2,FALSE)*$B18*(1+Contingency),0))</f>
        <v>0</v>
      </c>
      <c r="U18" s="94">
        <f>IF(Option2="No",0,IF($A18&lt;ImplementationYear,0,IF($A18&gt;(ImplementationYear+(Appraisal_Period-1)),0,('Project details'!$L$11-'Project details'!$D$11)*VLOOKUP(Year_cost_estimate,'Time-series parameters'!$B$11:$C$89,2,0))*$B18))</f>
        <v>0</v>
      </c>
      <c r="V18" s="94">
        <f>IF(Option2="No",0,IF($A18=ImplementationYear,('Project details'!$L$12-'Project details'!$D$12)*VLOOKUP(Year_cost_estimate,'Time-series parameters'!$B$11:$C$89,2,FALSE)*$B18,0))</f>
        <v>0</v>
      </c>
      <c r="W18" s="97">
        <f>IF(Option2="No",0,IF($A18&lt;ImplementationYear,0,IF($A18&gt;(ImplementationYear+(Appraisal_Period-1)),0,Health!$E$21*$B18)))</f>
        <v>0</v>
      </c>
      <c r="X18" s="97">
        <f>IF(Option2="No",0,IF($A18&lt;ImplementationYear,0,IF($A18&gt;(ImplementationYear+(Appraisal_Period-1)),0,Health!$E$22*$B18)))</f>
        <v>0</v>
      </c>
      <c r="Y18" s="97">
        <f>IF(Option2="No",0,IF($A18&lt;ImplementationYear,0,IF($A18&gt;(ImplementationYear+(Appraisal_Period-1)),0,SUM('Travel time'!$E$22:$E$23)*$B18)))</f>
        <v>0</v>
      </c>
      <c r="Z18" s="97">
        <f>IF(Option2="No",0,IF($A18&lt;ImplementationYear,0,IF($A18&gt;(ImplementationYear+(Appraisal_Period-1)),0,SUM('Travel time'!$E$20:$E$21)*$B18)))</f>
        <v>0</v>
      </c>
      <c r="AA18" s="97">
        <f>IF(Option2="No",0,IF($A18&lt;ImplementationYear,0,IF($A18&gt;(ImplementationYear+(Appraisal_Period-1)),0,SUM(Quality!$E$22:$E$23)*$B18)))</f>
        <v>0</v>
      </c>
      <c r="AB18" s="97">
        <f>IF(Option2="No",0,IF($A18&lt;ImplementationYear,0,IF($A18&gt;(ImplementationYear+(Appraisal_Period-1)),0,SUM(Quality!$E$20:$E$21)*$B18)))</f>
        <v>0</v>
      </c>
      <c r="AC18" s="97">
        <f>IF(Option2="No",0,IF($A18&lt;ImplementationYear,0,IF($A18&gt;(ImplementationYear+(Appraisal_Period-1)),0,'Mode change'!$E$36*$B18)))</f>
        <v>0</v>
      </c>
      <c r="AD18" s="97">
        <f>IF(Option2="No",0,IF($A18&lt;ImplementationYear,0,IF($A18&gt;(ImplementationYear+(Appraisal_Period-1)),0,'Mode change'!$E$37*$B18)))</f>
        <v>0</v>
      </c>
      <c r="AE18" s="97">
        <f>IF(Option2="No",0,IF($A18&lt;ImplementationYear,0,IF($A18&gt;(ImplementationYear+(Appraisal_Period-1)),0,'Road safety'!$E$22*$B18)))</f>
        <v>0</v>
      </c>
      <c r="AF18" s="97">
        <f>IF(Option2="No",0,IF($A18&lt;ImplementationYear,0,IF($A18&gt;(ImplementationYear+(Appraisal_Period-1)),0,'Reduction in car usage'!$E$46*$B18)))</f>
        <v>0</v>
      </c>
      <c r="AG18" s="97">
        <f>IF(Option2="No",0,IF($A18&lt;ImplementationYear,0,IF($A18&gt;(ImplementationYear+(Appraisal_Period-1)),0,'Reduction in car usage'!$E$47*$B18)))</f>
        <v>0</v>
      </c>
      <c r="AH18" s="97">
        <f>IF(Option2="No",0,IF($A18&lt;ImplementationYear,0,IF($A18&gt;(ImplementationYear+(Appraisal_Period-1)),0,'Reduction in car usage'!$E$48*$B18)))</f>
        <v>0</v>
      </c>
      <c r="AJ18" s="94">
        <f>IF(Option3="No",0,IF($A18=ImplementationYear,('Project details'!$P$10-'Project details'!$D$10)*VLOOKUP(Year_cost_estimate,'Time-series parameters'!$B$11:$C$89,2,FALSE)*$B18*(1+Contingency),0))</f>
        <v>0</v>
      </c>
      <c r="AK18" s="94">
        <f>IF(Option3="No",0,IF($A18&lt;ImplementationYear,0,IF($A18&gt;(ImplementationYear+(Appraisal_Period-1)),0,('Project details'!$P$11-'Project details'!$D$11)*VLOOKUP(Year_cost_estimate,'Time-series parameters'!$B$11:$C$89,2,0))*$B18))</f>
        <v>0</v>
      </c>
      <c r="AL18" s="94">
        <f>IF(Option3="No",0,IF($A18=ImplementationYear,('Project details'!$P$12-'Project details'!$D$12)*VLOOKUP(Year_cost_estimate,'Time-series parameters'!$B$11:$C$89,2,FALSE)*$B18,0))</f>
        <v>0</v>
      </c>
      <c r="AM18" s="97">
        <f>IF(Option3="No",0,IF($A18&lt;ImplementationYear,0,IF($A18&gt;(ImplementationYear+(Appraisal_Period-1)),0,Health!$F$21*$B18)))</f>
        <v>0</v>
      </c>
      <c r="AN18" s="97">
        <f>IF(Option3="No",0,IF($A18&lt;ImplementationYear,0,IF($A18&gt;(ImplementationYear+(Appraisal_Period-1)),0,Health!$F$22*$B18)))</f>
        <v>0</v>
      </c>
      <c r="AO18" s="97">
        <f>IF(Option3="No",0,IF($A18&lt;ImplementationYear,0,IF($A18&gt;(ImplementationYear+(Appraisal_Period-1)),0,SUM('Travel time'!$F$22:$F$23)*$B18)))</f>
        <v>0</v>
      </c>
      <c r="AP18" s="97">
        <f>IF(Option3="No",0,IF($A18&lt;ImplementationYear,0,IF($A18&gt;(ImplementationYear+(Appraisal_Period-1)),0,SUM('Travel time'!$F$20:$F$21)*$B18)))</f>
        <v>0</v>
      </c>
      <c r="AQ18" s="97">
        <f>IF(Option3="No",0,IF($A18&lt;ImplementationYear,0,IF($A18&gt;(ImplementationYear+(Appraisal_Period-1)),0,SUM(Quality!$F$22:$F$23)*$B18)))</f>
        <v>0</v>
      </c>
      <c r="AR18" s="97">
        <f>IF(Option3="No",0,IF($A18&lt;ImplementationYear,0,IF($A18&gt;(ImplementationYear+(Appraisal_Period-1)),0,SUM(Quality!$F$20:$F$21)*$B18)))</f>
        <v>0</v>
      </c>
      <c r="AS18" s="97">
        <f>IF(Option3="No",0,IF($A18&lt;ImplementationYear,0,IF($A18&gt;(ImplementationYear+(Appraisal_Period-1)),0,'Mode change'!$F$36*$B18)))</f>
        <v>0</v>
      </c>
      <c r="AT18" s="97">
        <f>IF(Option3="No",0,IF($A18&lt;ImplementationYear,0,IF($A18&gt;(ImplementationYear+(Appraisal_Period-1)),0,'Mode change'!$F$37*$B18)))</f>
        <v>0</v>
      </c>
      <c r="AU18" s="97">
        <f>IF(Option3="No",0,IF($A18&lt;ImplementationYear,0,IF($A18&gt;(ImplementationYear+(Appraisal_Period-1)),0,'Road safety'!$F$22*$B18)))</f>
        <v>0</v>
      </c>
      <c r="AV18" s="97">
        <f>IF(Option3="No",0,IF($A18&lt;ImplementationYear,0,IF($A18&gt;(ImplementationYear+(Appraisal_Period-1)),0,'Reduction in car usage'!$F$46*$B18)))</f>
        <v>0</v>
      </c>
      <c r="AW18" s="97">
        <f>IF(Option3="No",0,IF($A18&lt;ImplementationYear,0,IF($A18&gt;(ImplementationYear+(Appraisal_Period-1)),0,'Reduction in car usage'!$F$47*$B18)))</f>
        <v>0</v>
      </c>
      <c r="AX18" s="97">
        <f>IF(Option3="No",0,IF($A18&lt;ImplementationYear,0,IF($A18&gt;(ImplementationYear+(Appraisal_Period-1)),0,'Reduction in car usage'!$F$48*$B18)))</f>
        <v>0</v>
      </c>
    </row>
    <row r="19" spans="1:50">
      <c r="A19" s="335">
        <v>2014</v>
      </c>
      <c r="B19" s="62">
        <f>VLOOKUP($A19,'Time-series parameters'!$E$11:$H$89,2,FALSE)</f>
        <v>0.77868800000000005</v>
      </c>
      <c r="C19" s="89"/>
      <c r="D19" s="94">
        <f>IF(Option1="No",0,IF($A19=ImplementationYear,('Project details'!$H$10-'Project details'!$D$10)*VLOOKUP(Year_cost_estimate,'Time-series parameters'!$B$11:$C$89,2,FALSE)*$B19*(1+Contingency),0))</f>
        <v>0</v>
      </c>
      <c r="E19" s="94">
        <f>IF(Option1="No",0,IF($A19&lt;ImplementationYear,0,IF($A19&gt;(ImplementationYear+(Appraisal_Period-1)),0,('Project details'!$H$11-'Project details'!$D$11)*VLOOKUP(Year_cost_estimate,'Time-series parameters'!$B$11:$C$89,2,0))*$B19))</f>
        <v>0</v>
      </c>
      <c r="F19" s="94">
        <f>IF(Option1="No",0,IF($A19=ImplementationYear,('Project details'!$H$12-'Project details'!$D$12)*VLOOKUP(Year_cost_estimate,'Time-series parameters'!$B$11:$C$89,2,FALSE)*$B19,0))</f>
        <v>0</v>
      </c>
      <c r="G19" s="97">
        <f>IF(Option1="No",0,IF($A19&lt;ImplementationYear,0,IF($A19&gt;(ImplementationYear+(Appraisal_Period-1)),0,Health!$D$21*$B19)))</f>
        <v>0</v>
      </c>
      <c r="H19" s="97">
        <f>IF(Option1="No",0,IF($A19&lt;ImplementationYear,0,IF($A19&gt;(ImplementationYear+(Appraisal_Period-1)),0,Health!$D$22*$B19)))</f>
        <v>0</v>
      </c>
      <c r="I19" s="97">
        <f>IF(Option1="No",0,IF($A19&lt;ImplementationYear,0,IF($A19&gt;(ImplementationYear+(Appraisal_Period-1)),0,SUM('Travel time'!$D$22:$D$23)*$B19)))</f>
        <v>0</v>
      </c>
      <c r="J19" s="97">
        <f>IF(Option1="No",0,IF($A19&lt;ImplementationYear,0,IF($A19&gt;(ImplementationYear+(Appraisal_Period-1)),0,SUM('Travel time'!$D$20:$D$21)*$B19)))</f>
        <v>0</v>
      </c>
      <c r="K19" s="97">
        <f>IF(Option1="No",0,IF($A19&lt;ImplementationYear,0,IF($A19&gt;(ImplementationYear+(Appraisal_Period-1)),0,SUM(Quality!$D$22:$D$23)*$B19)))</f>
        <v>0</v>
      </c>
      <c r="L19" s="97">
        <f>IF(Option1="No",0,IF($A19&lt;ImplementationYear,0,IF($A19&gt;(ImplementationYear+(Appraisal_Period-1)),0,SUM(Quality!$D$20:$D$21)*$B19)))</f>
        <v>0</v>
      </c>
      <c r="M19" s="97">
        <f>IF(Option1="No",0,IF($A19&lt;ImplementationYear,0,IF($A19&gt;(ImplementationYear+(Appraisal_Period-1)),0,'Mode change'!$D$36*$B19)))</f>
        <v>0</v>
      </c>
      <c r="N19" s="97">
        <f>IF(Option1="No",0,IF($A19&lt;ImplementationYear,0,IF($A19&gt;(ImplementationYear+(Appraisal_Period-1)),0,'Mode change'!$D$37*$B19)))</f>
        <v>0</v>
      </c>
      <c r="O19" s="97">
        <f>IF(Option1="No",0,IF($A19&lt;ImplementationYear,0,IF($A19&gt;(ImplementationYear+(Appraisal_Period-1)),0,'Road safety'!$D$22*$B19)))</f>
        <v>0</v>
      </c>
      <c r="P19" s="97">
        <f>IF(Option1="No",0,IF($A19&lt;ImplementationYear,0,IF($A19&gt;(ImplementationYear+(Appraisal_Period-1)),0,'Reduction in car usage'!$D$46*$B19)))</f>
        <v>0</v>
      </c>
      <c r="Q19" s="97">
        <f>IF(Option1="No",0,IF($A19&lt;ImplementationYear,0,IF($A19&gt;(ImplementationYear+(Appraisal_Period-1)),0,'Reduction in car usage'!$D$47*$B19)))</f>
        <v>0</v>
      </c>
      <c r="R19" s="97">
        <f>IF(Option1="No",0,IF($A19&lt;ImplementationYear,0,IF($A19&gt;(ImplementationYear+(Appraisal_Period-1)),0,'Reduction in car usage'!$D$48*$B19)))</f>
        <v>0</v>
      </c>
      <c r="S19" s="92"/>
      <c r="T19" s="94">
        <f>IF(Option2="No",0,IF($A19=ImplementationYear,('Project details'!$L$10-'Project details'!$D$10)*VLOOKUP(Year_cost_estimate,'Time-series parameters'!$B$11:$C$89,2,FALSE)*$B19*(1+Contingency),0))</f>
        <v>0</v>
      </c>
      <c r="U19" s="94">
        <f>IF(Option2="No",0,IF($A19&lt;ImplementationYear,0,IF($A19&gt;(ImplementationYear+(Appraisal_Period-1)),0,('Project details'!$L$11-'Project details'!$D$11)*VLOOKUP(Year_cost_estimate,'Time-series parameters'!$B$11:$C$89,2,0))*$B19))</f>
        <v>0</v>
      </c>
      <c r="V19" s="94">
        <f>IF(Option2="No",0,IF($A19=ImplementationYear,('Project details'!$L$12-'Project details'!$D$12)*VLOOKUP(Year_cost_estimate,'Time-series parameters'!$B$11:$C$89,2,FALSE)*$B19,0))</f>
        <v>0</v>
      </c>
      <c r="W19" s="97">
        <f>IF(Option2="No",0,IF($A19&lt;ImplementationYear,0,IF($A19&gt;(ImplementationYear+(Appraisal_Period-1)),0,Health!$E$21*$B19)))</f>
        <v>0</v>
      </c>
      <c r="X19" s="97">
        <f>IF(Option2="No",0,IF($A19&lt;ImplementationYear,0,IF($A19&gt;(ImplementationYear+(Appraisal_Period-1)),0,Health!$E$22*$B19)))</f>
        <v>0</v>
      </c>
      <c r="Y19" s="97">
        <f>IF(Option2="No",0,IF($A19&lt;ImplementationYear,0,IF($A19&gt;(ImplementationYear+(Appraisal_Period-1)),0,SUM('Travel time'!$E$22:$E$23)*$B19)))</f>
        <v>0</v>
      </c>
      <c r="Z19" s="97">
        <f>IF(Option2="No",0,IF($A19&lt;ImplementationYear,0,IF($A19&gt;(ImplementationYear+(Appraisal_Period-1)),0,SUM('Travel time'!$E$20:$E$21)*$B19)))</f>
        <v>0</v>
      </c>
      <c r="AA19" s="97">
        <f>IF(Option2="No",0,IF($A19&lt;ImplementationYear,0,IF($A19&gt;(ImplementationYear+(Appraisal_Period-1)),0,SUM(Quality!$E$22:$E$23)*$B19)))</f>
        <v>0</v>
      </c>
      <c r="AB19" s="97">
        <f>IF(Option2="No",0,IF($A19&lt;ImplementationYear,0,IF($A19&gt;(ImplementationYear+(Appraisal_Period-1)),0,SUM(Quality!$E$20:$E$21)*$B19)))</f>
        <v>0</v>
      </c>
      <c r="AC19" s="97">
        <f>IF(Option2="No",0,IF($A19&lt;ImplementationYear,0,IF($A19&gt;(ImplementationYear+(Appraisal_Period-1)),0,'Mode change'!$E$36*$B19)))</f>
        <v>0</v>
      </c>
      <c r="AD19" s="97">
        <f>IF(Option2="No",0,IF($A19&lt;ImplementationYear,0,IF($A19&gt;(ImplementationYear+(Appraisal_Period-1)),0,'Mode change'!$E$37*$B19)))</f>
        <v>0</v>
      </c>
      <c r="AE19" s="97">
        <f>IF(Option2="No",0,IF($A19&lt;ImplementationYear,0,IF($A19&gt;(ImplementationYear+(Appraisal_Period-1)),0,'Road safety'!$E$22*$B19)))</f>
        <v>0</v>
      </c>
      <c r="AF19" s="97">
        <f>IF(Option2="No",0,IF($A19&lt;ImplementationYear,0,IF($A19&gt;(ImplementationYear+(Appraisal_Period-1)),0,'Reduction in car usage'!$E$46*$B19)))</f>
        <v>0</v>
      </c>
      <c r="AG19" s="97">
        <f>IF(Option2="No",0,IF($A19&lt;ImplementationYear,0,IF($A19&gt;(ImplementationYear+(Appraisal_Period-1)),0,'Reduction in car usage'!$E$47*$B19)))</f>
        <v>0</v>
      </c>
      <c r="AH19" s="97">
        <f>IF(Option2="No",0,IF($A19&lt;ImplementationYear,0,IF($A19&gt;(ImplementationYear+(Appraisal_Period-1)),0,'Reduction in car usage'!$E$48*$B19)))</f>
        <v>0</v>
      </c>
      <c r="AJ19" s="94">
        <f>IF(Option3="No",0,IF($A19=ImplementationYear,('Project details'!$P$10-'Project details'!$D$10)*VLOOKUP(Year_cost_estimate,'Time-series parameters'!$B$11:$C$89,2,FALSE)*$B19*(1+Contingency),0))</f>
        <v>0</v>
      </c>
      <c r="AK19" s="94">
        <f>IF(Option3="No",0,IF($A19&lt;ImplementationYear,0,IF($A19&gt;(ImplementationYear+(Appraisal_Period-1)),0,('Project details'!$P$11-'Project details'!$D$11)*VLOOKUP(Year_cost_estimate,'Time-series parameters'!$B$11:$C$89,2,0))*$B19))</f>
        <v>0</v>
      </c>
      <c r="AL19" s="94">
        <f>IF(Option3="No",0,IF($A19=ImplementationYear,('Project details'!$P$12-'Project details'!$D$12)*VLOOKUP(Year_cost_estimate,'Time-series parameters'!$B$11:$C$89,2,FALSE)*$B19,0))</f>
        <v>0</v>
      </c>
      <c r="AM19" s="97">
        <f>IF(Option3="No",0,IF($A19&lt;ImplementationYear,0,IF($A19&gt;(ImplementationYear+(Appraisal_Period-1)),0,Health!$F$21*$B19)))</f>
        <v>0</v>
      </c>
      <c r="AN19" s="97">
        <f>IF(Option3="No",0,IF($A19&lt;ImplementationYear,0,IF($A19&gt;(ImplementationYear+(Appraisal_Period-1)),0,Health!$F$22*$B19)))</f>
        <v>0</v>
      </c>
      <c r="AO19" s="97">
        <f>IF(Option3="No",0,IF($A19&lt;ImplementationYear,0,IF($A19&gt;(ImplementationYear+(Appraisal_Period-1)),0,SUM('Travel time'!$F$22:$F$23)*$B19)))</f>
        <v>0</v>
      </c>
      <c r="AP19" s="97">
        <f>IF(Option3="No",0,IF($A19&lt;ImplementationYear,0,IF($A19&gt;(ImplementationYear+(Appraisal_Period-1)),0,SUM('Travel time'!$F$20:$F$21)*$B19)))</f>
        <v>0</v>
      </c>
      <c r="AQ19" s="97">
        <f>IF(Option3="No",0,IF($A19&lt;ImplementationYear,0,IF($A19&gt;(ImplementationYear+(Appraisal_Period-1)),0,SUM(Quality!$F$22:$F$23)*$B19)))</f>
        <v>0</v>
      </c>
      <c r="AR19" s="97">
        <f>IF(Option3="No",0,IF($A19&lt;ImplementationYear,0,IF($A19&gt;(ImplementationYear+(Appraisal_Period-1)),0,SUM(Quality!$F$20:$F$21)*$B19)))</f>
        <v>0</v>
      </c>
      <c r="AS19" s="97">
        <f>IF(Option3="No",0,IF($A19&lt;ImplementationYear,0,IF($A19&gt;(ImplementationYear+(Appraisal_Period-1)),0,'Mode change'!$F$36*$B19)))</f>
        <v>0</v>
      </c>
      <c r="AT19" s="97">
        <f>IF(Option3="No",0,IF($A19&lt;ImplementationYear,0,IF($A19&gt;(ImplementationYear+(Appraisal_Period-1)),0,'Mode change'!$F$37*$B19)))</f>
        <v>0</v>
      </c>
      <c r="AU19" s="97">
        <f>IF(Option3="No",0,IF($A19&lt;ImplementationYear,0,IF($A19&gt;(ImplementationYear+(Appraisal_Period-1)),0,'Road safety'!$F$22*$B19)))</f>
        <v>0</v>
      </c>
      <c r="AV19" s="97">
        <f>IF(Option3="No",0,IF($A19&lt;ImplementationYear,0,IF($A19&gt;(ImplementationYear+(Appraisal_Period-1)),0,'Reduction in car usage'!$F$46*$B19)))</f>
        <v>0</v>
      </c>
      <c r="AW19" s="97">
        <f>IF(Option3="No",0,IF($A19&lt;ImplementationYear,0,IF($A19&gt;(ImplementationYear+(Appraisal_Period-1)),0,'Reduction in car usage'!$F$47*$B19)))</f>
        <v>0</v>
      </c>
      <c r="AX19" s="97">
        <f>IF(Option3="No",0,IF($A19&lt;ImplementationYear,0,IF($A19&gt;(ImplementationYear+(Appraisal_Period-1)),0,'Reduction in car usage'!$F$48*$B19)))</f>
        <v>0</v>
      </c>
    </row>
    <row r="20" spans="1:50">
      <c r="A20" s="335">
        <v>2015</v>
      </c>
      <c r="B20" s="62">
        <f>VLOOKUP($A20,'Time-series parameters'!$E$11:$H$89,2,FALSE)</f>
        <v>0.71639296000000008</v>
      </c>
      <c r="C20" s="89"/>
      <c r="D20" s="94">
        <f>IF(Option1="No",0,IF($A20=ImplementationYear,('Project details'!$H$10-'Project details'!$D$10)*VLOOKUP(Year_cost_estimate,'Time-series parameters'!$B$11:$C$89,2,FALSE)*$B20*(1+Contingency),0))</f>
        <v>0</v>
      </c>
      <c r="E20" s="94">
        <f>IF(Option1="No",0,IF($A20&lt;ImplementationYear,0,IF($A20&gt;(ImplementationYear+(Appraisal_Period-1)),0,('Project details'!$H$11-'Project details'!$D$11)*VLOOKUP(Year_cost_estimate,'Time-series parameters'!$B$11:$C$89,2,0))*$B20))</f>
        <v>0</v>
      </c>
      <c r="F20" s="94">
        <f>IF(Option1="No",0,IF($A20=ImplementationYear,('Project details'!$H$12-'Project details'!$D$12)*VLOOKUP(Year_cost_estimate,'Time-series parameters'!$B$11:$C$89,2,FALSE)*$B20,0))</f>
        <v>0</v>
      </c>
      <c r="G20" s="97">
        <f>IF(Option1="No",0,IF($A20&lt;ImplementationYear,0,IF($A20&gt;(ImplementationYear+(Appraisal_Period-1)),0,Health!$D$21*$B20)))</f>
        <v>0</v>
      </c>
      <c r="H20" s="97">
        <f>IF(Option1="No",0,IF($A20&lt;ImplementationYear,0,IF($A20&gt;(ImplementationYear+(Appraisal_Period-1)),0,Health!$D$22*$B20)))</f>
        <v>0</v>
      </c>
      <c r="I20" s="97">
        <f>IF(Option1="No",0,IF($A20&lt;ImplementationYear,0,IF($A20&gt;(ImplementationYear+(Appraisal_Period-1)),0,SUM('Travel time'!$D$22:$D$23)*$B20)))</f>
        <v>0</v>
      </c>
      <c r="J20" s="97">
        <f>IF(Option1="No",0,IF($A20&lt;ImplementationYear,0,IF($A20&gt;(ImplementationYear+(Appraisal_Period-1)),0,SUM('Travel time'!$D$20:$D$21)*$B20)))</f>
        <v>0</v>
      </c>
      <c r="K20" s="97">
        <f>IF(Option1="No",0,IF($A20&lt;ImplementationYear,0,IF($A20&gt;(ImplementationYear+(Appraisal_Period-1)),0,SUM(Quality!$D$22:$D$23)*$B20)))</f>
        <v>0</v>
      </c>
      <c r="L20" s="97">
        <f>IF(Option1="No",0,IF($A20&lt;ImplementationYear,0,IF($A20&gt;(ImplementationYear+(Appraisal_Period-1)),0,SUM(Quality!$D$20:$D$21)*$B20)))</f>
        <v>0</v>
      </c>
      <c r="M20" s="97">
        <f>IF(Option1="No",0,IF($A20&lt;ImplementationYear,0,IF($A20&gt;(ImplementationYear+(Appraisal_Period-1)),0,'Mode change'!$D$36*$B20)))</f>
        <v>0</v>
      </c>
      <c r="N20" s="97">
        <f>IF(Option1="No",0,IF($A20&lt;ImplementationYear,0,IF($A20&gt;(ImplementationYear+(Appraisal_Period-1)),0,'Mode change'!$D$37*$B20)))</f>
        <v>0</v>
      </c>
      <c r="O20" s="97">
        <f>IF(Option1="No",0,IF($A20&lt;ImplementationYear,0,IF($A20&gt;(ImplementationYear+(Appraisal_Period-1)),0,'Road safety'!$D$22*$B20)))</f>
        <v>0</v>
      </c>
      <c r="P20" s="97">
        <f>IF(Option1="No",0,IF($A20&lt;ImplementationYear,0,IF($A20&gt;(ImplementationYear+(Appraisal_Period-1)),0,'Reduction in car usage'!$D$46*$B20)))</f>
        <v>0</v>
      </c>
      <c r="Q20" s="97">
        <f>IF(Option1="No",0,IF($A20&lt;ImplementationYear,0,IF($A20&gt;(ImplementationYear+(Appraisal_Period-1)),0,'Reduction in car usage'!$D$47*$B20)))</f>
        <v>0</v>
      </c>
      <c r="R20" s="97">
        <f>IF(Option1="No",0,IF($A20&lt;ImplementationYear,0,IF($A20&gt;(ImplementationYear+(Appraisal_Period-1)),0,'Reduction in car usage'!$D$48*$B20)))</f>
        <v>0</v>
      </c>
      <c r="S20" s="92"/>
      <c r="T20" s="94">
        <f>IF(Option2="No",0,IF($A20=ImplementationYear,('Project details'!$L$10-'Project details'!$D$10)*VLOOKUP(Year_cost_estimate,'Time-series parameters'!$B$11:$C$89,2,FALSE)*$B20*(1+Contingency),0))</f>
        <v>0</v>
      </c>
      <c r="U20" s="94">
        <f>IF(Option2="No",0,IF($A20&lt;ImplementationYear,0,IF($A20&gt;(ImplementationYear+(Appraisal_Period-1)),0,('Project details'!$L$11-'Project details'!$D$11)*VLOOKUP(Year_cost_estimate,'Time-series parameters'!$B$11:$C$89,2,0))*$B20))</f>
        <v>0</v>
      </c>
      <c r="V20" s="94">
        <f>IF(Option2="No",0,IF($A20=ImplementationYear,('Project details'!$L$12-'Project details'!$D$12)*VLOOKUP(Year_cost_estimate,'Time-series parameters'!$B$11:$C$89,2,FALSE)*$B20,0))</f>
        <v>0</v>
      </c>
      <c r="W20" s="97">
        <f>IF(Option2="No",0,IF($A20&lt;ImplementationYear,0,IF($A20&gt;(ImplementationYear+(Appraisal_Period-1)),0,Health!$E$21*$B20)))</f>
        <v>0</v>
      </c>
      <c r="X20" s="97">
        <f>IF(Option2="No",0,IF($A20&lt;ImplementationYear,0,IF($A20&gt;(ImplementationYear+(Appraisal_Period-1)),0,Health!$E$22*$B20)))</f>
        <v>0</v>
      </c>
      <c r="Y20" s="97">
        <f>IF(Option2="No",0,IF($A20&lt;ImplementationYear,0,IF($A20&gt;(ImplementationYear+(Appraisal_Period-1)),0,SUM('Travel time'!$E$22:$E$23)*$B20)))</f>
        <v>0</v>
      </c>
      <c r="Z20" s="97">
        <f>IF(Option2="No",0,IF($A20&lt;ImplementationYear,0,IF($A20&gt;(ImplementationYear+(Appraisal_Period-1)),0,SUM('Travel time'!$E$20:$E$21)*$B20)))</f>
        <v>0</v>
      </c>
      <c r="AA20" s="97">
        <f>IF(Option2="No",0,IF($A20&lt;ImplementationYear,0,IF($A20&gt;(ImplementationYear+(Appraisal_Period-1)),0,SUM(Quality!$E$22:$E$23)*$B20)))</f>
        <v>0</v>
      </c>
      <c r="AB20" s="97">
        <f>IF(Option2="No",0,IF($A20&lt;ImplementationYear,0,IF($A20&gt;(ImplementationYear+(Appraisal_Period-1)),0,SUM(Quality!$E$20:$E$21)*$B20)))</f>
        <v>0</v>
      </c>
      <c r="AC20" s="97">
        <f>IF(Option2="No",0,IF($A20&lt;ImplementationYear,0,IF($A20&gt;(ImplementationYear+(Appraisal_Period-1)),0,'Mode change'!$E$36*$B20)))</f>
        <v>0</v>
      </c>
      <c r="AD20" s="97">
        <f>IF(Option2="No",0,IF($A20&lt;ImplementationYear,0,IF($A20&gt;(ImplementationYear+(Appraisal_Period-1)),0,'Mode change'!$E$37*$B20)))</f>
        <v>0</v>
      </c>
      <c r="AE20" s="97">
        <f>IF(Option2="No",0,IF($A20&lt;ImplementationYear,0,IF($A20&gt;(ImplementationYear+(Appraisal_Period-1)),0,'Road safety'!$E$22*$B20)))</f>
        <v>0</v>
      </c>
      <c r="AF20" s="97">
        <f>IF(Option2="No",0,IF($A20&lt;ImplementationYear,0,IF($A20&gt;(ImplementationYear+(Appraisal_Period-1)),0,'Reduction in car usage'!$E$46*$B20)))</f>
        <v>0</v>
      </c>
      <c r="AG20" s="97">
        <f>IF(Option2="No",0,IF($A20&lt;ImplementationYear,0,IF($A20&gt;(ImplementationYear+(Appraisal_Period-1)),0,'Reduction in car usage'!$E$47*$B20)))</f>
        <v>0</v>
      </c>
      <c r="AH20" s="97">
        <f>IF(Option2="No",0,IF($A20&lt;ImplementationYear,0,IF($A20&gt;(ImplementationYear+(Appraisal_Period-1)),0,'Reduction in car usage'!$E$48*$B20)))</f>
        <v>0</v>
      </c>
      <c r="AJ20" s="94">
        <f>IF(Option3="No",0,IF($A20=ImplementationYear,('Project details'!$P$10-'Project details'!$D$10)*VLOOKUP(Year_cost_estimate,'Time-series parameters'!$B$11:$C$89,2,FALSE)*$B20*(1+Contingency),0))</f>
        <v>0</v>
      </c>
      <c r="AK20" s="94">
        <f>IF(Option3="No",0,IF($A20&lt;ImplementationYear,0,IF($A20&gt;(ImplementationYear+(Appraisal_Period-1)),0,('Project details'!$P$11-'Project details'!$D$11)*VLOOKUP(Year_cost_estimate,'Time-series parameters'!$B$11:$C$89,2,0))*$B20))</f>
        <v>0</v>
      </c>
      <c r="AL20" s="94">
        <f>IF(Option3="No",0,IF($A20=ImplementationYear,('Project details'!$P$12-'Project details'!$D$12)*VLOOKUP(Year_cost_estimate,'Time-series parameters'!$B$11:$C$89,2,FALSE)*$B20,0))</f>
        <v>0</v>
      </c>
      <c r="AM20" s="97">
        <f>IF(Option3="No",0,IF($A20&lt;ImplementationYear,0,IF($A20&gt;(ImplementationYear+(Appraisal_Period-1)),0,Health!$F$21*$B20)))</f>
        <v>0</v>
      </c>
      <c r="AN20" s="97">
        <f>IF(Option3="No",0,IF($A20&lt;ImplementationYear,0,IF($A20&gt;(ImplementationYear+(Appraisal_Period-1)),0,Health!$F$22*$B20)))</f>
        <v>0</v>
      </c>
      <c r="AO20" s="97">
        <f>IF(Option3="No",0,IF($A20&lt;ImplementationYear,0,IF($A20&gt;(ImplementationYear+(Appraisal_Period-1)),0,SUM('Travel time'!$F$22:$F$23)*$B20)))</f>
        <v>0</v>
      </c>
      <c r="AP20" s="97">
        <f>IF(Option3="No",0,IF($A20&lt;ImplementationYear,0,IF($A20&gt;(ImplementationYear+(Appraisal_Period-1)),0,SUM('Travel time'!$F$20:$F$21)*$B20)))</f>
        <v>0</v>
      </c>
      <c r="AQ20" s="97">
        <f>IF(Option3="No",0,IF($A20&lt;ImplementationYear,0,IF($A20&gt;(ImplementationYear+(Appraisal_Period-1)),0,SUM(Quality!$F$22:$F$23)*$B20)))</f>
        <v>0</v>
      </c>
      <c r="AR20" s="97">
        <f>IF(Option3="No",0,IF($A20&lt;ImplementationYear,0,IF($A20&gt;(ImplementationYear+(Appraisal_Period-1)),0,SUM(Quality!$F$20:$F$21)*$B20)))</f>
        <v>0</v>
      </c>
      <c r="AS20" s="97">
        <f>IF(Option3="No",0,IF($A20&lt;ImplementationYear,0,IF($A20&gt;(ImplementationYear+(Appraisal_Period-1)),0,'Mode change'!$F$36*$B20)))</f>
        <v>0</v>
      </c>
      <c r="AT20" s="97">
        <f>IF(Option3="No",0,IF($A20&lt;ImplementationYear,0,IF($A20&gt;(ImplementationYear+(Appraisal_Period-1)),0,'Mode change'!$F$37*$B20)))</f>
        <v>0</v>
      </c>
      <c r="AU20" s="97">
        <f>IF(Option3="No",0,IF($A20&lt;ImplementationYear,0,IF($A20&gt;(ImplementationYear+(Appraisal_Period-1)),0,'Road safety'!$F$22*$B20)))</f>
        <v>0</v>
      </c>
      <c r="AV20" s="97">
        <f>IF(Option3="No",0,IF($A20&lt;ImplementationYear,0,IF($A20&gt;(ImplementationYear+(Appraisal_Period-1)),0,'Reduction in car usage'!$F$46*$B20)))</f>
        <v>0</v>
      </c>
      <c r="AW20" s="97">
        <f>IF(Option3="No",0,IF($A20&lt;ImplementationYear,0,IF($A20&gt;(ImplementationYear+(Appraisal_Period-1)),0,'Reduction in car usage'!$F$47*$B20)))</f>
        <v>0</v>
      </c>
      <c r="AX20" s="97">
        <f>IF(Option3="No",0,IF($A20&lt;ImplementationYear,0,IF($A20&gt;(ImplementationYear+(Appraisal_Period-1)),0,'Reduction in car usage'!$F$48*$B20)))</f>
        <v>0</v>
      </c>
    </row>
    <row r="21" spans="1:50">
      <c r="A21" s="335">
        <v>2016</v>
      </c>
      <c r="B21" s="62">
        <f>VLOOKUP($A21,'Time-series parameters'!$E$11:$H$89,2,FALSE)</f>
        <v>0.65908152320000002</v>
      </c>
      <c r="C21" s="89"/>
      <c r="D21" s="94">
        <f>IF(Option1="No",0,IF($A21=ImplementationYear,('Project details'!$H$10-'Project details'!$D$10)*VLOOKUP(Year_cost_estimate,'Time-series parameters'!$B$11:$C$89,2,FALSE)*$B21*(1+Contingency),0))</f>
        <v>0</v>
      </c>
      <c r="E21" s="94">
        <f>IF(Option1="No",0,IF($A21&lt;ImplementationYear,0,IF($A21&gt;(ImplementationYear+(Appraisal_Period-1)),0,('Project details'!$H$11-'Project details'!$D$11)*VLOOKUP(Year_cost_estimate,'Time-series parameters'!$B$11:$C$89,2,0))*$B21))</f>
        <v>0</v>
      </c>
      <c r="F21" s="94">
        <f>IF(Option1="No",0,IF($A21=ImplementationYear,('Project details'!$H$12-'Project details'!$D$12)*VLOOKUP(Year_cost_estimate,'Time-series parameters'!$B$11:$C$89,2,FALSE)*$B21,0))</f>
        <v>0</v>
      </c>
      <c r="G21" s="97">
        <f>IF(Option1="No",0,IF($A21&lt;ImplementationYear,0,IF($A21&gt;(ImplementationYear+(Appraisal_Period-1)),0,Health!$D$21*$B21)))</f>
        <v>0</v>
      </c>
      <c r="H21" s="97">
        <f>IF(Option1="No",0,IF($A21&lt;ImplementationYear,0,IF($A21&gt;(ImplementationYear+(Appraisal_Period-1)),0,Health!$D$22*$B21)))</f>
        <v>0</v>
      </c>
      <c r="I21" s="97">
        <f>IF(Option1="No",0,IF($A21&lt;ImplementationYear,0,IF($A21&gt;(ImplementationYear+(Appraisal_Period-1)),0,SUM('Travel time'!$D$22:$D$23)*$B21)))</f>
        <v>0</v>
      </c>
      <c r="J21" s="97">
        <f>IF(Option1="No",0,IF($A21&lt;ImplementationYear,0,IF($A21&gt;(ImplementationYear+(Appraisal_Period-1)),0,SUM('Travel time'!$D$20:$D$21)*$B21)))</f>
        <v>0</v>
      </c>
      <c r="K21" s="97">
        <f>IF(Option1="No",0,IF($A21&lt;ImplementationYear,0,IF($A21&gt;(ImplementationYear+(Appraisal_Period-1)),0,SUM(Quality!$D$22:$D$23)*$B21)))</f>
        <v>0</v>
      </c>
      <c r="L21" s="97">
        <f>IF(Option1="No",0,IF($A21&lt;ImplementationYear,0,IF($A21&gt;(ImplementationYear+(Appraisal_Period-1)),0,SUM(Quality!$D$20:$D$21)*$B21)))</f>
        <v>0</v>
      </c>
      <c r="M21" s="97">
        <f>IF(Option1="No",0,IF($A21&lt;ImplementationYear,0,IF($A21&gt;(ImplementationYear+(Appraisal_Period-1)),0,'Mode change'!$D$36*$B21)))</f>
        <v>0</v>
      </c>
      <c r="N21" s="97">
        <f>IF(Option1="No",0,IF($A21&lt;ImplementationYear,0,IF($A21&gt;(ImplementationYear+(Appraisal_Period-1)),0,'Mode change'!$D$37*$B21)))</f>
        <v>0</v>
      </c>
      <c r="O21" s="97">
        <f>IF(Option1="No",0,IF($A21&lt;ImplementationYear,0,IF($A21&gt;(ImplementationYear+(Appraisal_Period-1)),0,'Road safety'!$D$22*$B21)))</f>
        <v>0</v>
      </c>
      <c r="P21" s="97">
        <f>IF(Option1="No",0,IF($A21&lt;ImplementationYear,0,IF($A21&gt;(ImplementationYear+(Appraisal_Period-1)),0,'Reduction in car usage'!$D$46*$B21)))</f>
        <v>0</v>
      </c>
      <c r="Q21" s="97">
        <f>IF(Option1="No",0,IF($A21&lt;ImplementationYear,0,IF($A21&gt;(ImplementationYear+(Appraisal_Period-1)),0,'Reduction in car usage'!$D$47*$B21)))</f>
        <v>0</v>
      </c>
      <c r="R21" s="97">
        <f>IF(Option1="No",0,IF($A21&lt;ImplementationYear,0,IF($A21&gt;(ImplementationYear+(Appraisal_Period-1)),0,'Reduction in car usage'!$D$48*$B21)))</f>
        <v>0</v>
      </c>
      <c r="S21" s="92"/>
      <c r="T21" s="94">
        <f>IF(Option2="No",0,IF($A21=ImplementationYear,('Project details'!$L$10-'Project details'!$D$10)*VLOOKUP(Year_cost_estimate,'Time-series parameters'!$B$11:$C$89,2,FALSE)*$B21*(1+Contingency),0))</f>
        <v>0</v>
      </c>
      <c r="U21" s="94">
        <f>IF(Option2="No",0,IF($A21&lt;ImplementationYear,0,IF($A21&gt;(ImplementationYear+(Appraisal_Period-1)),0,('Project details'!$L$11-'Project details'!$D$11)*VLOOKUP(Year_cost_estimate,'Time-series parameters'!$B$11:$C$89,2,0))*$B21))</f>
        <v>0</v>
      </c>
      <c r="V21" s="94">
        <f>IF(Option2="No",0,IF($A21=ImplementationYear,('Project details'!$L$12-'Project details'!$D$12)*VLOOKUP(Year_cost_estimate,'Time-series parameters'!$B$11:$C$89,2,FALSE)*$B21,0))</f>
        <v>0</v>
      </c>
      <c r="W21" s="97">
        <f>IF(Option2="No",0,IF($A21&lt;ImplementationYear,0,IF($A21&gt;(ImplementationYear+(Appraisal_Period-1)),0,Health!$E$21*$B21)))</f>
        <v>0</v>
      </c>
      <c r="X21" s="97">
        <f>IF(Option2="No",0,IF($A21&lt;ImplementationYear,0,IF($A21&gt;(ImplementationYear+(Appraisal_Period-1)),0,Health!$E$22*$B21)))</f>
        <v>0</v>
      </c>
      <c r="Y21" s="97">
        <f>IF(Option2="No",0,IF($A21&lt;ImplementationYear,0,IF($A21&gt;(ImplementationYear+(Appraisal_Period-1)),0,SUM('Travel time'!$E$22:$E$23)*$B21)))</f>
        <v>0</v>
      </c>
      <c r="Z21" s="97">
        <f>IF(Option2="No",0,IF($A21&lt;ImplementationYear,0,IF($A21&gt;(ImplementationYear+(Appraisal_Period-1)),0,SUM('Travel time'!$E$20:$E$21)*$B21)))</f>
        <v>0</v>
      </c>
      <c r="AA21" s="97">
        <f>IF(Option2="No",0,IF($A21&lt;ImplementationYear,0,IF($A21&gt;(ImplementationYear+(Appraisal_Period-1)),0,SUM(Quality!$E$22:$E$23)*$B21)))</f>
        <v>0</v>
      </c>
      <c r="AB21" s="97">
        <f>IF(Option2="No",0,IF($A21&lt;ImplementationYear,0,IF($A21&gt;(ImplementationYear+(Appraisal_Period-1)),0,SUM(Quality!$E$20:$E$21)*$B21)))</f>
        <v>0</v>
      </c>
      <c r="AC21" s="97">
        <f>IF(Option2="No",0,IF($A21&lt;ImplementationYear,0,IF($A21&gt;(ImplementationYear+(Appraisal_Period-1)),0,'Mode change'!$E$36*$B21)))</f>
        <v>0</v>
      </c>
      <c r="AD21" s="97">
        <f>IF(Option2="No",0,IF($A21&lt;ImplementationYear,0,IF($A21&gt;(ImplementationYear+(Appraisal_Period-1)),0,'Mode change'!$E$37*$B21)))</f>
        <v>0</v>
      </c>
      <c r="AE21" s="97">
        <f>IF(Option2="No",0,IF($A21&lt;ImplementationYear,0,IF($A21&gt;(ImplementationYear+(Appraisal_Period-1)),0,'Road safety'!$E$22*$B21)))</f>
        <v>0</v>
      </c>
      <c r="AF21" s="97">
        <f>IF(Option2="No",0,IF($A21&lt;ImplementationYear,0,IF($A21&gt;(ImplementationYear+(Appraisal_Period-1)),0,'Reduction in car usage'!$E$46*$B21)))</f>
        <v>0</v>
      </c>
      <c r="AG21" s="97">
        <f>IF(Option2="No",0,IF($A21&lt;ImplementationYear,0,IF($A21&gt;(ImplementationYear+(Appraisal_Period-1)),0,'Reduction in car usage'!$E$47*$B21)))</f>
        <v>0</v>
      </c>
      <c r="AH21" s="97">
        <f>IF(Option2="No",0,IF($A21&lt;ImplementationYear,0,IF($A21&gt;(ImplementationYear+(Appraisal_Period-1)),0,'Reduction in car usage'!$E$48*$B21)))</f>
        <v>0</v>
      </c>
      <c r="AJ21" s="94">
        <f>IF(Option3="No",0,IF($A21=ImplementationYear,('Project details'!$P$10-'Project details'!$D$10)*VLOOKUP(Year_cost_estimate,'Time-series parameters'!$B$11:$C$89,2,FALSE)*$B21*(1+Contingency),0))</f>
        <v>0</v>
      </c>
      <c r="AK21" s="94">
        <f>IF(Option3="No",0,IF($A21&lt;ImplementationYear,0,IF($A21&gt;(ImplementationYear+(Appraisal_Period-1)),0,('Project details'!$P$11-'Project details'!$D$11)*VLOOKUP(Year_cost_estimate,'Time-series parameters'!$B$11:$C$89,2,0))*$B21))</f>
        <v>0</v>
      </c>
      <c r="AL21" s="94">
        <f>IF(Option3="No",0,IF($A21=ImplementationYear,('Project details'!$P$12-'Project details'!$D$12)*VLOOKUP(Year_cost_estimate,'Time-series parameters'!$B$11:$C$89,2,FALSE)*$B21,0))</f>
        <v>0</v>
      </c>
      <c r="AM21" s="97">
        <f>IF(Option3="No",0,IF($A21&lt;ImplementationYear,0,IF($A21&gt;(ImplementationYear+(Appraisal_Period-1)),0,Health!$F$21*$B21)))</f>
        <v>0</v>
      </c>
      <c r="AN21" s="97">
        <f>IF(Option3="No",0,IF($A21&lt;ImplementationYear,0,IF($A21&gt;(ImplementationYear+(Appraisal_Period-1)),0,Health!$F$22*$B21)))</f>
        <v>0</v>
      </c>
      <c r="AO21" s="97">
        <f>IF(Option3="No",0,IF($A21&lt;ImplementationYear,0,IF($A21&gt;(ImplementationYear+(Appraisal_Period-1)),0,SUM('Travel time'!$F$22:$F$23)*$B21)))</f>
        <v>0</v>
      </c>
      <c r="AP21" s="97">
        <f>IF(Option3="No",0,IF($A21&lt;ImplementationYear,0,IF($A21&gt;(ImplementationYear+(Appraisal_Period-1)),0,SUM('Travel time'!$F$20:$F$21)*$B21)))</f>
        <v>0</v>
      </c>
      <c r="AQ21" s="97">
        <f>IF(Option3="No",0,IF($A21&lt;ImplementationYear,0,IF($A21&gt;(ImplementationYear+(Appraisal_Period-1)),0,SUM(Quality!$F$22:$F$23)*$B21)))</f>
        <v>0</v>
      </c>
      <c r="AR21" s="97">
        <f>IF(Option3="No",0,IF($A21&lt;ImplementationYear,0,IF($A21&gt;(ImplementationYear+(Appraisal_Period-1)),0,SUM(Quality!$F$20:$F$21)*$B21)))</f>
        <v>0</v>
      </c>
      <c r="AS21" s="97">
        <f>IF(Option3="No",0,IF($A21&lt;ImplementationYear,0,IF($A21&gt;(ImplementationYear+(Appraisal_Period-1)),0,'Mode change'!$F$36*$B21)))</f>
        <v>0</v>
      </c>
      <c r="AT21" s="97">
        <f>IF(Option3="No",0,IF($A21&lt;ImplementationYear,0,IF($A21&gt;(ImplementationYear+(Appraisal_Period-1)),0,'Mode change'!$F$37*$B21)))</f>
        <v>0</v>
      </c>
      <c r="AU21" s="97">
        <f>IF(Option3="No",0,IF($A21&lt;ImplementationYear,0,IF($A21&gt;(ImplementationYear+(Appraisal_Period-1)),0,'Road safety'!$F$22*$B21)))</f>
        <v>0</v>
      </c>
      <c r="AV21" s="97">
        <f>IF(Option3="No",0,IF($A21&lt;ImplementationYear,0,IF($A21&gt;(ImplementationYear+(Appraisal_Period-1)),0,'Reduction in car usage'!$F$46*$B21)))</f>
        <v>0</v>
      </c>
      <c r="AW21" s="97">
        <f>IF(Option3="No",0,IF($A21&lt;ImplementationYear,0,IF($A21&gt;(ImplementationYear+(Appraisal_Period-1)),0,'Reduction in car usage'!$F$47*$B21)))</f>
        <v>0</v>
      </c>
      <c r="AX21" s="97">
        <f>IF(Option3="No",0,IF($A21&lt;ImplementationYear,0,IF($A21&gt;(ImplementationYear+(Appraisal_Period-1)),0,'Reduction in car usage'!$F$48*$B21)))</f>
        <v>0</v>
      </c>
    </row>
    <row r="22" spans="1:50">
      <c r="A22" s="335">
        <v>2017</v>
      </c>
      <c r="B22" s="62">
        <f>VLOOKUP($A22,'Time-series parameters'!$E$11:$H$89,2,FALSE)</f>
        <v>0.606355001344</v>
      </c>
      <c r="C22" s="89"/>
      <c r="D22" s="94">
        <f>IF(Option1="No",0,IF($A22=ImplementationYear,('Project details'!$H$10-'Project details'!$D$10)*VLOOKUP(Year_cost_estimate,'Time-series parameters'!$B$11:$C$89,2,FALSE)*$B22*(1+Contingency),0))</f>
        <v>0</v>
      </c>
      <c r="E22" s="94">
        <f>IF(Option1="No",0,IF($A22&lt;ImplementationYear,0,IF($A22&gt;(ImplementationYear+(Appraisal_Period-1)),0,('Project details'!$H$11-'Project details'!$D$11)*VLOOKUP(Year_cost_estimate,'Time-series parameters'!$B$11:$C$89,2,0))*$B22))</f>
        <v>0</v>
      </c>
      <c r="F22" s="94">
        <f>IF(Option1="No",0,IF($A22=ImplementationYear,('Project details'!$H$12-'Project details'!$D$12)*VLOOKUP(Year_cost_estimate,'Time-series parameters'!$B$11:$C$89,2,FALSE)*$B22,0))</f>
        <v>0</v>
      </c>
      <c r="G22" s="97">
        <f>IF(Option1="No",0,IF($A22&lt;ImplementationYear,0,IF($A22&gt;(ImplementationYear+(Appraisal_Period-1)),0,Health!$D$21*$B22)))</f>
        <v>0</v>
      </c>
      <c r="H22" s="97">
        <f>IF(Option1="No",0,IF($A22&lt;ImplementationYear,0,IF($A22&gt;(ImplementationYear+(Appraisal_Period-1)),0,Health!$D$22*$B22)))</f>
        <v>0</v>
      </c>
      <c r="I22" s="97">
        <f>IF(Option1="No",0,IF($A22&lt;ImplementationYear,0,IF($A22&gt;(ImplementationYear+(Appraisal_Period-1)),0,SUM('Travel time'!$D$22:$D$23)*$B22)))</f>
        <v>0</v>
      </c>
      <c r="J22" s="97">
        <f>IF(Option1="No",0,IF($A22&lt;ImplementationYear,0,IF($A22&gt;(ImplementationYear+(Appraisal_Period-1)),0,SUM('Travel time'!$D$20:$D$21)*$B22)))</f>
        <v>0</v>
      </c>
      <c r="K22" s="97">
        <f>IF(Option1="No",0,IF($A22&lt;ImplementationYear,0,IF($A22&gt;(ImplementationYear+(Appraisal_Period-1)),0,SUM(Quality!$D$22:$D$23)*$B22)))</f>
        <v>0</v>
      </c>
      <c r="L22" s="97">
        <f>IF(Option1="No",0,IF($A22&lt;ImplementationYear,0,IF($A22&gt;(ImplementationYear+(Appraisal_Period-1)),0,SUM(Quality!$D$20:$D$21)*$B22)))</f>
        <v>0</v>
      </c>
      <c r="M22" s="97">
        <f>IF(Option1="No",0,IF($A22&lt;ImplementationYear,0,IF($A22&gt;(ImplementationYear+(Appraisal_Period-1)),0,'Mode change'!$D$36*$B22)))</f>
        <v>0</v>
      </c>
      <c r="N22" s="97">
        <f>IF(Option1="No",0,IF($A22&lt;ImplementationYear,0,IF($A22&gt;(ImplementationYear+(Appraisal_Period-1)),0,'Mode change'!$D$37*$B22)))</f>
        <v>0</v>
      </c>
      <c r="O22" s="97">
        <f>IF(Option1="No",0,IF($A22&lt;ImplementationYear,0,IF($A22&gt;(ImplementationYear+(Appraisal_Period-1)),0,'Road safety'!$D$22*$B22)))</f>
        <v>0</v>
      </c>
      <c r="P22" s="97">
        <f>IF(Option1="No",0,IF($A22&lt;ImplementationYear,0,IF($A22&gt;(ImplementationYear+(Appraisal_Period-1)),0,'Reduction in car usage'!$D$46*$B22)))</f>
        <v>0</v>
      </c>
      <c r="Q22" s="97">
        <f>IF(Option1="No",0,IF($A22&lt;ImplementationYear,0,IF($A22&gt;(ImplementationYear+(Appraisal_Period-1)),0,'Reduction in car usage'!$D$47*$B22)))</f>
        <v>0</v>
      </c>
      <c r="R22" s="97">
        <f>IF(Option1="No",0,IF($A22&lt;ImplementationYear,0,IF($A22&gt;(ImplementationYear+(Appraisal_Period-1)),0,'Reduction in car usage'!$D$48*$B22)))</f>
        <v>0</v>
      </c>
      <c r="S22" s="92"/>
      <c r="T22" s="94">
        <f>IF(Option2="No",0,IF($A22=ImplementationYear,('Project details'!$L$10-'Project details'!$D$10)*VLOOKUP(Year_cost_estimate,'Time-series parameters'!$B$11:$C$89,2,FALSE)*$B22*(1+Contingency),0))</f>
        <v>0</v>
      </c>
      <c r="U22" s="94">
        <f>IF(Option2="No",0,IF($A22&lt;ImplementationYear,0,IF($A22&gt;(ImplementationYear+(Appraisal_Period-1)),0,('Project details'!$L$11-'Project details'!$D$11)*VLOOKUP(Year_cost_estimate,'Time-series parameters'!$B$11:$C$89,2,0))*$B22))</f>
        <v>0</v>
      </c>
      <c r="V22" s="94">
        <f>IF(Option2="No",0,IF($A22=ImplementationYear,('Project details'!$L$12-'Project details'!$D$12)*VLOOKUP(Year_cost_estimate,'Time-series parameters'!$B$11:$C$89,2,FALSE)*$B22,0))</f>
        <v>0</v>
      </c>
      <c r="W22" s="97">
        <f>IF(Option2="No",0,IF($A22&lt;ImplementationYear,0,IF($A22&gt;(ImplementationYear+(Appraisal_Period-1)),0,Health!$E$21*$B22)))</f>
        <v>0</v>
      </c>
      <c r="X22" s="97">
        <f>IF(Option2="No",0,IF($A22&lt;ImplementationYear,0,IF($A22&gt;(ImplementationYear+(Appraisal_Period-1)),0,Health!$E$22*$B22)))</f>
        <v>0</v>
      </c>
      <c r="Y22" s="97">
        <f>IF(Option2="No",0,IF($A22&lt;ImplementationYear,0,IF($A22&gt;(ImplementationYear+(Appraisal_Period-1)),0,SUM('Travel time'!$E$22:$E$23)*$B22)))</f>
        <v>0</v>
      </c>
      <c r="Z22" s="97">
        <f>IF(Option2="No",0,IF($A22&lt;ImplementationYear,0,IF($A22&gt;(ImplementationYear+(Appraisal_Period-1)),0,SUM('Travel time'!$E$20:$E$21)*$B22)))</f>
        <v>0</v>
      </c>
      <c r="AA22" s="97">
        <f>IF(Option2="No",0,IF($A22&lt;ImplementationYear,0,IF($A22&gt;(ImplementationYear+(Appraisal_Period-1)),0,SUM(Quality!$E$22:$E$23)*$B22)))</f>
        <v>0</v>
      </c>
      <c r="AB22" s="97">
        <f>IF(Option2="No",0,IF($A22&lt;ImplementationYear,0,IF($A22&gt;(ImplementationYear+(Appraisal_Period-1)),0,SUM(Quality!$E$20:$E$21)*$B22)))</f>
        <v>0</v>
      </c>
      <c r="AC22" s="97">
        <f>IF(Option2="No",0,IF($A22&lt;ImplementationYear,0,IF($A22&gt;(ImplementationYear+(Appraisal_Period-1)),0,'Mode change'!$E$36*$B22)))</f>
        <v>0</v>
      </c>
      <c r="AD22" s="97">
        <f>IF(Option2="No",0,IF($A22&lt;ImplementationYear,0,IF($A22&gt;(ImplementationYear+(Appraisal_Period-1)),0,'Mode change'!$E$37*$B22)))</f>
        <v>0</v>
      </c>
      <c r="AE22" s="97">
        <f>IF(Option2="No",0,IF($A22&lt;ImplementationYear,0,IF($A22&gt;(ImplementationYear+(Appraisal_Period-1)),0,'Road safety'!$E$22*$B22)))</f>
        <v>0</v>
      </c>
      <c r="AF22" s="97">
        <f>IF(Option2="No",0,IF($A22&lt;ImplementationYear,0,IF($A22&gt;(ImplementationYear+(Appraisal_Period-1)),0,'Reduction in car usage'!$E$46*$B22)))</f>
        <v>0</v>
      </c>
      <c r="AG22" s="97">
        <f>IF(Option2="No",0,IF($A22&lt;ImplementationYear,0,IF($A22&gt;(ImplementationYear+(Appraisal_Period-1)),0,'Reduction in car usage'!$E$47*$B22)))</f>
        <v>0</v>
      </c>
      <c r="AH22" s="97">
        <f>IF(Option2="No",0,IF($A22&lt;ImplementationYear,0,IF($A22&gt;(ImplementationYear+(Appraisal_Period-1)),0,'Reduction in car usage'!$E$48*$B22)))</f>
        <v>0</v>
      </c>
      <c r="AJ22" s="94">
        <f>IF(Option3="No",0,IF($A22=ImplementationYear,('Project details'!$P$10-'Project details'!$D$10)*VLOOKUP(Year_cost_estimate,'Time-series parameters'!$B$11:$C$89,2,FALSE)*$B22*(1+Contingency),0))</f>
        <v>0</v>
      </c>
      <c r="AK22" s="94">
        <f>IF(Option3="No",0,IF($A22&lt;ImplementationYear,0,IF($A22&gt;(ImplementationYear+(Appraisal_Period-1)),0,('Project details'!$P$11-'Project details'!$D$11)*VLOOKUP(Year_cost_estimate,'Time-series parameters'!$B$11:$C$89,2,0))*$B22))</f>
        <v>0</v>
      </c>
      <c r="AL22" s="94">
        <f>IF(Option3="No",0,IF($A22=ImplementationYear,('Project details'!$P$12-'Project details'!$D$12)*VLOOKUP(Year_cost_estimate,'Time-series parameters'!$B$11:$C$89,2,FALSE)*$B22,0))</f>
        <v>0</v>
      </c>
      <c r="AM22" s="97">
        <f>IF(Option3="No",0,IF($A22&lt;ImplementationYear,0,IF($A22&gt;(ImplementationYear+(Appraisal_Period-1)),0,Health!$F$21*$B22)))</f>
        <v>0</v>
      </c>
      <c r="AN22" s="97">
        <f>IF(Option3="No",0,IF($A22&lt;ImplementationYear,0,IF($A22&gt;(ImplementationYear+(Appraisal_Period-1)),0,Health!$F$22*$B22)))</f>
        <v>0</v>
      </c>
      <c r="AO22" s="97">
        <f>IF(Option3="No",0,IF($A22&lt;ImplementationYear,0,IF($A22&gt;(ImplementationYear+(Appraisal_Period-1)),0,SUM('Travel time'!$F$22:$F$23)*$B22)))</f>
        <v>0</v>
      </c>
      <c r="AP22" s="97">
        <f>IF(Option3="No",0,IF($A22&lt;ImplementationYear,0,IF($A22&gt;(ImplementationYear+(Appraisal_Period-1)),0,SUM('Travel time'!$F$20:$F$21)*$B22)))</f>
        <v>0</v>
      </c>
      <c r="AQ22" s="97">
        <f>IF(Option3="No",0,IF($A22&lt;ImplementationYear,0,IF($A22&gt;(ImplementationYear+(Appraisal_Period-1)),0,SUM(Quality!$F$22:$F$23)*$B22)))</f>
        <v>0</v>
      </c>
      <c r="AR22" s="97">
        <f>IF(Option3="No",0,IF($A22&lt;ImplementationYear,0,IF($A22&gt;(ImplementationYear+(Appraisal_Period-1)),0,SUM(Quality!$F$20:$F$21)*$B22)))</f>
        <v>0</v>
      </c>
      <c r="AS22" s="97">
        <f>IF(Option3="No",0,IF($A22&lt;ImplementationYear,0,IF($A22&gt;(ImplementationYear+(Appraisal_Period-1)),0,'Mode change'!$F$36*$B22)))</f>
        <v>0</v>
      </c>
      <c r="AT22" s="97">
        <f>IF(Option3="No",0,IF($A22&lt;ImplementationYear,0,IF($A22&gt;(ImplementationYear+(Appraisal_Period-1)),0,'Mode change'!$F$37*$B22)))</f>
        <v>0</v>
      </c>
      <c r="AU22" s="97">
        <f>IF(Option3="No",0,IF($A22&lt;ImplementationYear,0,IF($A22&gt;(ImplementationYear+(Appraisal_Period-1)),0,'Road safety'!$F$22*$B22)))</f>
        <v>0</v>
      </c>
      <c r="AV22" s="97">
        <f>IF(Option3="No",0,IF($A22&lt;ImplementationYear,0,IF($A22&gt;(ImplementationYear+(Appraisal_Period-1)),0,'Reduction in car usage'!$F$46*$B22)))</f>
        <v>0</v>
      </c>
      <c r="AW22" s="97">
        <f>IF(Option3="No",0,IF($A22&lt;ImplementationYear,0,IF($A22&gt;(ImplementationYear+(Appraisal_Period-1)),0,'Reduction in car usage'!$F$47*$B22)))</f>
        <v>0</v>
      </c>
      <c r="AX22" s="97">
        <f>IF(Option3="No",0,IF($A22&lt;ImplementationYear,0,IF($A22&gt;(ImplementationYear+(Appraisal_Period-1)),0,'Reduction in car usage'!$F$48*$B22)))</f>
        <v>0</v>
      </c>
    </row>
    <row r="23" spans="1:50">
      <c r="A23" s="335">
        <v>2018</v>
      </c>
      <c r="B23" s="62">
        <f>VLOOKUP($A23,'Time-series parameters'!$E$11:$H$89,2,FALSE)</f>
        <v>0.55784660123648</v>
      </c>
      <c r="C23" s="89"/>
      <c r="D23" s="94">
        <f>IF(Option1="No",0,IF($A23=ImplementationYear,('Project details'!$H$10-'Project details'!$D$10)*VLOOKUP(Year_cost_estimate,'Time-series parameters'!$B$11:$C$89,2,FALSE)*$B23*(1+Contingency),0))</f>
        <v>0</v>
      </c>
      <c r="E23" s="94">
        <f>IF(Option1="No",0,IF($A23&lt;ImplementationYear,0,IF($A23&gt;(ImplementationYear+(Appraisal_Period-1)),0,('Project details'!$H$11-'Project details'!$D$11)*VLOOKUP(Year_cost_estimate,'Time-series parameters'!$B$11:$C$89,2,0))*$B23))</f>
        <v>0</v>
      </c>
      <c r="F23" s="94">
        <f>IF(Option1="No",0,IF($A23=ImplementationYear,('Project details'!$H$12-'Project details'!$D$12)*VLOOKUP(Year_cost_estimate,'Time-series parameters'!$B$11:$C$89,2,FALSE)*$B23,0))</f>
        <v>0</v>
      </c>
      <c r="G23" s="97">
        <f>IF(Option1="No",0,IF($A23&lt;ImplementationYear,0,IF($A23&gt;(ImplementationYear+(Appraisal_Period-1)),0,Health!$D$21*$B23)))</f>
        <v>0</v>
      </c>
      <c r="H23" s="97">
        <f>IF(Option1="No",0,IF($A23&lt;ImplementationYear,0,IF($A23&gt;(ImplementationYear+(Appraisal_Period-1)),0,Health!$D$22*$B23)))</f>
        <v>0</v>
      </c>
      <c r="I23" s="97">
        <f>IF(Option1="No",0,IF($A23&lt;ImplementationYear,0,IF($A23&gt;(ImplementationYear+(Appraisal_Period-1)),0,SUM('Travel time'!$D$22:$D$23)*$B23)))</f>
        <v>0</v>
      </c>
      <c r="J23" s="97">
        <f>IF(Option1="No",0,IF($A23&lt;ImplementationYear,0,IF($A23&gt;(ImplementationYear+(Appraisal_Period-1)),0,SUM('Travel time'!$D$20:$D$21)*$B23)))</f>
        <v>0</v>
      </c>
      <c r="K23" s="97">
        <f>IF(Option1="No",0,IF($A23&lt;ImplementationYear,0,IF($A23&gt;(ImplementationYear+(Appraisal_Period-1)),0,SUM(Quality!$D$22:$D$23)*$B23)))</f>
        <v>0</v>
      </c>
      <c r="L23" s="97">
        <f>IF(Option1="No",0,IF($A23&lt;ImplementationYear,0,IF($A23&gt;(ImplementationYear+(Appraisal_Period-1)),0,SUM(Quality!$D$20:$D$21)*$B23)))</f>
        <v>0</v>
      </c>
      <c r="M23" s="97">
        <f>IF(Option1="No",0,IF($A23&lt;ImplementationYear,0,IF($A23&gt;(ImplementationYear+(Appraisal_Period-1)),0,'Mode change'!$D$36*$B23)))</f>
        <v>0</v>
      </c>
      <c r="N23" s="97">
        <f>IF(Option1="No",0,IF($A23&lt;ImplementationYear,0,IF($A23&gt;(ImplementationYear+(Appraisal_Period-1)),0,'Mode change'!$D$37*$B23)))</f>
        <v>0</v>
      </c>
      <c r="O23" s="97">
        <f>IF(Option1="No",0,IF($A23&lt;ImplementationYear,0,IF($A23&gt;(ImplementationYear+(Appraisal_Period-1)),0,'Road safety'!$D$22*$B23)))</f>
        <v>0</v>
      </c>
      <c r="P23" s="97">
        <f>IF(Option1="No",0,IF($A23&lt;ImplementationYear,0,IF($A23&gt;(ImplementationYear+(Appraisal_Period-1)),0,'Reduction in car usage'!$D$46*$B23)))</f>
        <v>0</v>
      </c>
      <c r="Q23" s="97">
        <f>IF(Option1="No",0,IF($A23&lt;ImplementationYear,0,IF($A23&gt;(ImplementationYear+(Appraisal_Period-1)),0,'Reduction in car usage'!$D$47*$B23)))</f>
        <v>0</v>
      </c>
      <c r="R23" s="97">
        <f>IF(Option1="No",0,IF($A23&lt;ImplementationYear,0,IF($A23&gt;(ImplementationYear+(Appraisal_Period-1)),0,'Reduction in car usage'!$D$48*$B23)))</f>
        <v>0</v>
      </c>
      <c r="S23" s="92"/>
      <c r="T23" s="94">
        <f>IF(Option2="No",0,IF($A23=ImplementationYear,('Project details'!$L$10-'Project details'!$D$10)*VLOOKUP(Year_cost_estimate,'Time-series parameters'!$B$11:$C$89,2,FALSE)*$B23*(1+Contingency),0))</f>
        <v>0</v>
      </c>
      <c r="U23" s="94">
        <f>IF(Option2="No",0,IF($A23&lt;ImplementationYear,0,IF($A23&gt;(ImplementationYear+(Appraisal_Period-1)),0,('Project details'!$L$11-'Project details'!$D$11)*VLOOKUP(Year_cost_estimate,'Time-series parameters'!$B$11:$C$89,2,0))*$B23))</f>
        <v>0</v>
      </c>
      <c r="V23" s="94">
        <f>IF(Option2="No",0,IF($A23=ImplementationYear,('Project details'!$L$12-'Project details'!$D$12)*VLOOKUP(Year_cost_estimate,'Time-series parameters'!$B$11:$C$89,2,FALSE)*$B23,0))</f>
        <v>0</v>
      </c>
      <c r="W23" s="97">
        <f>IF(Option2="No",0,IF($A23&lt;ImplementationYear,0,IF($A23&gt;(ImplementationYear+(Appraisal_Period-1)),0,Health!$E$21*$B23)))</f>
        <v>0</v>
      </c>
      <c r="X23" s="97">
        <f>IF(Option2="No",0,IF($A23&lt;ImplementationYear,0,IF($A23&gt;(ImplementationYear+(Appraisal_Period-1)),0,Health!$E$22*$B23)))</f>
        <v>0</v>
      </c>
      <c r="Y23" s="97">
        <f>IF(Option2="No",0,IF($A23&lt;ImplementationYear,0,IF($A23&gt;(ImplementationYear+(Appraisal_Period-1)),0,SUM('Travel time'!$E$22:$E$23)*$B23)))</f>
        <v>0</v>
      </c>
      <c r="Z23" s="97">
        <f>IF(Option2="No",0,IF($A23&lt;ImplementationYear,0,IF($A23&gt;(ImplementationYear+(Appraisal_Period-1)),0,SUM('Travel time'!$E$20:$E$21)*$B23)))</f>
        <v>0</v>
      </c>
      <c r="AA23" s="97">
        <f>IF(Option2="No",0,IF($A23&lt;ImplementationYear,0,IF($A23&gt;(ImplementationYear+(Appraisal_Period-1)),0,SUM(Quality!$E$22:$E$23)*$B23)))</f>
        <v>0</v>
      </c>
      <c r="AB23" s="97">
        <f>IF(Option2="No",0,IF($A23&lt;ImplementationYear,0,IF($A23&gt;(ImplementationYear+(Appraisal_Period-1)),0,SUM(Quality!$E$20:$E$21)*$B23)))</f>
        <v>0</v>
      </c>
      <c r="AC23" s="97">
        <f>IF(Option2="No",0,IF($A23&lt;ImplementationYear,0,IF($A23&gt;(ImplementationYear+(Appraisal_Period-1)),0,'Mode change'!$E$36*$B23)))</f>
        <v>0</v>
      </c>
      <c r="AD23" s="97">
        <f>IF(Option2="No",0,IF($A23&lt;ImplementationYear,0,IF($A23&gt;(ImplementationYear+(Appraisal_Period-1)),0,'Mode change'!$E$37*$B23)))</f>
        <v>0</v>
      </c>
      <c r="AE23" s="97">
        <f>IF(Option2="No",0,IF($A23&lt;ImplementationYear,0,IF($A23&gt;(ImplementationYear+(Appraisal_Period-1)),0,'Road safety'!$E$22*$B23)))</f>
        <v>0</v>
      </c>
      <c r="AF23" s="97">
        <f>IF(Option2="No",0,IF($A23&lt;ImplementationYear,0,IF($A23&gt;(ImplementationYear+(Appraisal_Period-1)),0,'Reduction in car usage'!$E$46*$B23)))</f>
        <v>0</v>
      </c>
      <c r="AG23" s="97">
        <f>IF(Option2="No",0,IF($A23&lt;ImplementationYear,0,IF($A23&gt;(ImplementationYear+(Appraisal_Period-1)),0,'Reduction in car usage'!$E$47*$B23)))</f>
        <v>0</v>
      </c>
      <c r="AH23" s="97">
        <f>IF(Option2="No",0,IF($A23&lt;ImplementationYear,0,IF($A23&gt;(ImplementationYear+(Appraisal_Period-1)),0,'Reduction in car usage'!$E$48*$B23)))</f>
        <v>0</v>
      </c>
      <c r="AJ23" s="94">
        <f>IF(Option3="No",0,IF($A23=ImplementationYear,('Project details'!$P$10-'Project details'!$D$10)*VLOOKUP(Year_cost_estimate,'Time-series parameters'!$B$11:$C$89,2,FALSE)*$B23*(1+Contingency),0))</f>
        <v>0</v>
      </c>
      <c r="AK23" s="94">
        <f>IF(Option3="No",0,IF($A23&lt;ImplementationYear,0,IF($A23&gt;(ImplementationYear+(Appraisal_Period-1)),0,('Project details'!$P$11-'Project details'!$D$11)*VLOOKUP(Year_cost_estimate,'Time-series parameters'!$B$11:$C$89,2,0))*$B23))</f>
        <v>0</v>
      </c>
      <c r="AL23" s="94">
        <f>IF(Option3="No",0,IF($A23=ImplementationYear,('Project details'!$P$12-'Project details'!$D$12)*VLOOKUP(Year_cost_estimate,'Time-series parameters'!$B$11:$C$89,2,FALSE)*$B23,0))</f>
        <v>0</v>
      </c>
      <c r="AM23" s="97">
        <f>IF(Option3="No",0,IF($A23&lt;ImplementationYear,0,IF($A23&gt;(ImplementationYear+(Appraisal_Period-1)),0,Health!$F$21*$B23)))</f>
        <v>0</v>
      </c>
      <c r="AN23" s="97">
        <f>IF(Option3="No",0,IF($A23&lt;ImplementationYear,0,IF($A23&gt;(ImplementationYear+(Appraisal_Period-1)),0,Health!$F$22*$B23)))</f>
        <v>0</v>
      </c>
      <c r="AO23" s="97">
        <f>IF(Option3="No",0,IF($A23&lt;ImplementationYear,0,IF($A23&gt;(ImplementationYear+(Appraisal_Period-1)),0,SUM('Travel time'!$F$22:$F$23)*$B23)))</f>
        <v>0</v>
      </c>
      <c r="AP23" s="97">
        <f>IF(Option3="No",0,IF($A23&lt;ImplementationYear,0,IF($A23&gt;(ImplementationYear+(Appraisal_Period-1)),0,SUM('Travel time'!$F$20:$F$21)*$B23)))</f>
        <v>0</v>
      </c>
      <c r="AQ23" s="97">
        <f>IF(Option3="No",0,IF($A23&lt;ImplementationYear,0,IF($A23&gt;(ImplementationYear+(Appraisal_Period-1)),0,SUM(Quality!$F$22:$F$23)*$B23)))</f>
        <v>0</v>
      </c>
      <c r="AR23" s="97">
        <f>IF(Option3="No",0,IF($A23&lt;ImplementationYear,0,IF($A23&gt;(ImplementationYear+(Appraisal_Period-1)),0,SUM(Quality!$F$20:$F$21)*$B23)))</f>
        <v>0</v>
      </c>
      <c r="AS23" s="97">
        <f>IF(Option3="No",0,IF($A23&lt;ImplementationYear,0,IF($A23&gt;(ImplementationYear+(Appraisal_Period-1)),0,'Mode change'!$F$36*$B23)))</f>
        <v>0</v>
      </c>
      <c r="AT23" s="97">
        <f>IF(Option3="No",0,IF($A23&lt;ImplementationYear,0,IF($A23&gt;(ImplementationYear+(Appraisal_Period-1)),0,'Mode change'!$F$37*$B23)))</f>
        <v>0</v>
      </c>
      <c r="AU23" s="97">
        <f>IF(Option3="No",0,IF($A23&lt;ImplementationYear,0,IF($A23&gt;(ImplementationYear+(Appraisal_Period-1)),0,'Road safety'!$F$22*$B23)))</f>
        <v>0</v>
      </c>
      <c r="AV23" s="97">
        <f>IF(Option3="No",0,IF($A23&lt;ImplementationYear,0,IF($A23&gt;(ImplementationYear+(Appraisal_Period-1)),0,'Reduction in car usage'!$F$46*$B23)))</f>
        <v>0</v>
      </c>
      <c r="AW23" s="97">
        <f>IF(Option3="No",0,IF($A23&lt;ImplementationYear,0,IF($A23&gt;(ImplementationYear+(Appraisal_Period-1)),0,'Reduction in car usage'!$F$47*$B23)))</f>
        <v>0</v>
      </c>
      <c r="AX23" s="97">
        <f>IF(Option3="No",0,IF($A23&lt;ImplementationYear,0,IF($A23&gt;(ImplementationYear+(Appraisal_Period-1)),0,'Reduction in car usage'!$F$48*$B23)))</f>
        <v>0</v>
      </c>
    </row>
    <row r="24" spans="1:50">
      <c r="A24" s="335">
        <v>2019</v>
      </c>
      <c r="B24" s="62">
        <f>VLOOKUP($A24,'Time-series parameters'!$E$11:$H$89,2,FALSE)</f>
        <v>0.51321887313756165</v>
      </c>
      <c r="C24" s="89"/>
      <c r="D24" s="94">
        <f>IF(Option1="No",0,IF($A24=ImplementationYear,('Project details'!$H$10-'Project details'!$D$10)*VLOOKUP(Year_cost_estimate,'Time-series parameters'!$B$11:$C$89,2,FALSE)*$B24*(1+Contingency),0))</f>
        <v>0</v>
      </c>
      <c r="E24" s="94">
        <f>IF(Option1="No",0,IF($A24&lt;ImplementationYear,0,IF($A24&gt;(ImplementationYear+(Appraisal_Period-1)),0,('Project details'!$H$11-'Project details'!$D$11)*VLOOKUP(Year_cost_estimate,'Time-series parameters'!$B$11:$C$89,2,0))*$B24))</f>
        <v>0</v>
      </c>
      <c r="F24" s="94">
        <f>IF(Option1="No",0,IF($A24=ImplementationYear,('Project details'!$H$12-'Project details'!$D$12)*VLOOKUP(Year_cost_estimate,'Time-series parameters'!$B$11:$C$89,2,FALSE)*$B24,0))</f>
        <v>0</v>
      </c>
      <c r="G24" s="97">
        <f>IF(Option1="No",0,IF($A24&lt;ImplementationYear,0,IF($A24&gt;(ImplementationYear+(Appraisal_Period-1)),0,Health!$D$21*$B24)))</f>
        <v>0</v>
      </c>
      <c r="H24" s="97">
        <f>IF(Option1="No",0,IF($A24&lt;ImplementationYear,0,IF($A24&gt;(ImplementationYear+(Appraisal_Period-1)),0,Health!$D$22*$B24)))</f>
        <v>0</v>
      </c>
      <c r="I24" s="97">
        <f>IF(Option1="No",0,IF($A24&lt;ImplementationYear,0,IF($A24&gt;(ImplementationYear+(Appraisal_Period-1)),0,SUM('Travel time'!$D$22:$D$23)*$B24)))</f>
        <v>0</v>
      </c>
      <c r="J24" s="97">
        <f>IF(Option1="No",0,IF($A24&lt;ImplementationYear,0,IF($A24&gt;(ImplementationYear+(Appraisal_Period-1)),0,SUM('Travel time'!$D$20:$D$21)*$B24)))</f>
        <v>0</v>
      </c>
      <c r="K24" s="97">
        <f>IF(Option1="No",0,IF($A24&lt;ImplementationYear,0,IF($A24&gt;(ImplementationYear+(Appraisal_Period-1)),0,SUM(Quality!$D$22:$D$23)*$B24)))</f>
        <v>0</v>
      </c>
      <c r="L24" s="97">
        <f>IF(Option1="No",0,IF($A24&lt;ImplementationYear,0,IF($A24&gt;(ImplementationYear+(Appraisal_Period-1)),0,SUM(Quality!$D$20:$D$21)*$B24)))</f>
        <v>0</v>
      </c>
      <c r="M24" s="97">
        <f>IF(Option1="No",0,IF($A24&lt;ImplementationYear,0,IF($A24&gt;(ImplementationYear+(Appraisal_Period-1)),0,'Mode change'!$D$36*$B24)))</f>
        <v>0</v>
      </c>
      <c r="N24" s="97">
        <f>IF(Option1="No",0,IF($A24&lt;ImplementationYear,0,IF($A24&gt;(ImplementationYear+(Appraisal_Period-1)),0,'Mode change'!$D$37*$B24)))</f>
        <v>0</v>
      </c>
      <c r="O24" s="97">
        <f>IF(Option1="No",0,IF($A24&lt;ImplementationYear,0,IF($A24&gt;(ImplementationYear+(Appraisal_Period-1)),0,'Road safety'!$D$22*$B24)))</f>
        <v>0</v>
      </c>
      <c r="P24" s="97">
        <f>IF(Option1="No",0,IF($A24&lt;ImplementationYear,0,IF($A24&gt;(ImplementationYear+(Appraisal_Period-1)),0,'Reduction in car usage'!$D$46*$B24)))</f>
        <v>0</v>
      </c>
      <c r="Q24" s="97">
        <f>IF(Option1="No",0,IF($A24&lt;ImplementationYear,0,IF($A24&gt;(ImplementationYear+(Appraisal_Period-1)),0,'Reduction in car usage'!$D$47*$B24)))</f>
        <v>0</v>
      </c>
      <c r="R24" s="97">
        <f>IF(Option1="No",0,IF($A24&lt;ImplementationYear,0,IF($A24&gt;(ImplementationYear+(Appraisal_Period-1)),0,'Reduction in car usage'!$D$48*$B24)))</f>
        <v>0</v>
      </c>
      <c r="S24" s="92"/>
      <c r="T24" s="94">
        <f>IF(Option2="No",0,IF($A24=ImplementationYear,('Project details'!$L$10-'Project details'!$D$10)*VLOOKUP(Year_cost_estimate,'Time-series parameters'!$B$11:$C$89,2,FALSE)*$B24*(1+Contingency),0))</f>
        <v>0</v>
      </c>
      <c r="U24" s="94">
        <f>IF(Option2="No",0,IF($A24&lt;ImplementationYear,0,IF($A24&gt;(ImplementationYear+(Appraisal_Period-1)),0,('Project details'!$L$11-'Project details'!$D$11)*VLOOKUP(Year_cost_estimate,'Time-series parameters'!$B$11:$C$89,2,0))*$B24))</f>
        <v>0</v>
      </c>
      <c r="V24" s="94">
        <f>IF(Option2="No",0,IF($A24=ImplementationYear,('Project details'!$L$12-'Project details'!$D$12)*VLOOKUP(Year_cost_estimate,'Time-series parameters'!$B$11:$C$89,2,FALSE)*$B24,0))</f>
        <v>0</v>
      </c>
      <c r="W24" s="97">
        <f>IF(Option2="No",0,IF($A24&lt;ImplementationYear,0,IF($A24&gt;(ImplementationYear+(Appraisal_Period-1)),0,Health!$E$21*$B24)))</f>
        <v>0</v>
      </c>
      <c r="X24" s="97">
        <f>IF(Option2="No",0,IF($A24&lt;ImplementationYear,0,IF($A24&gt;(ImplementationYear+(Appraisal_Period-1)),0,Health!$E$22*$B24)))</f>
        <v>0</v>
      </c>
      <c r="Y24" s="97">
        <f>IF(Option2="No",0,IF($A24&lt;ImplementationYear,0,IF($A24&gt;(ImplementationYear+(Appraisal_Period-1)),0,SUM('Travel time'!$E$22:$E$23)*$B24)))</f>
        <v>0</v>
      </c>
      <c r="Z24" s="97">
        <f>IF(Option2="No",0,IF($A24&lt;ImplementationYear,0,IF($A24&gt;(ImplementationYear+(Appraisal_Period-1)),0,SUM('Travel time'!$E$20:$E$21)*$B24)))</f>
        <v>0</v>
      </c>
      <c r="AA24" s="97">
        <f>IF(Option2="No",0,IF($A24&lt;ImplementationYear,0,IF($A24&gt;(ImplementationYear+(Appraisal_Period-1)),0,SUM(Quality!$E$22:$E$23)*$B24)))</f>
        <v>0</v>
      </c>
      <c r="AB24" s="97">
        <f>IF(Option2="No",0,IF($A24&lt;ImplementationYear,0,IF($A24&gt;(ImplementationYear+(Appraisal_Period-1)),0,SUM(Quality!$E$20:$E$21)*$B24)))</f>
        <v>0</v>
      </c>
      <c r="AC24" s="97">
        <f>IF(Option2="No",0,IF($A24&lt;ImplementationYear,0,IF($A24&gt;(ImplementationYear+(Appraisal_Period-1)),0,'Mode change'!$E$36*$B24)))</f>
        <v>0</v>
      </c>
      <c r="AD24" s="97">
        <f>IF(Option2="No",0,IF($A24&lt;ImplementationYear,0,IF($A24&gt;(ImplementationYear+(Appraisal_Period-1)),0,'Mode change'!$E$37*$B24)))</f>
        <v>0</v>
      </c>
      <c r="AE24" s="97">
        <f>IF(Option2="No",0,IF($A24&lt;ImplementationYear,0,IF($A24&gt;(ImplementationYear+(Appraisal_Period-1)),0,'Road safety'!$E$22*$B24)))</f>
        <v>0</v>
      </c>
      <c r="AF24" s="97">
        <f>IF(Option2="No",0,IF($A24&lt;ImplementationYear,0,IF($A24&gt;(ImplementationYear+(Appraisal_Period-1)),0,'Reduction in car usage'!$E$46*$B24)))</f>
        <v>0</v>
      </c>
      <c r="AG24" s="97">
        <f>IF(Option2="No",0,IF($A24&lt;ImplementationYear,0,IF($A24&gt;(ImplementationYear+(Appraisal_Period-1)),0,'Reduction in car usage'!$E$47*$B24)))</f>
        <v>0</v>
      </c>
      <c r="AH24" s="97">
        <f>IF(Option2="No",0,IF($A24&lt;ImplementationYear,0,IF($A24&gt;(ImplementationYear+(Appraisal_Period-1)),0,'Reduction in car usage'!$E$48*$B24)))</f>
        <v>0</v>
      </c>
      <c r="AJ24" s="94">
        <f>IF(Option3="No",0,IF($A24=ImplementationYear,('Project details'!$P$10-'Project details'!$D$10)*VLOOKUP(Year_cost_estimate,'Time-series parameters'!$B$11:$C$89,2,FALSE)*$B24*(1+Contingency),0))</f>
        <v>0</v>
      </c>
      <c r="AK24" s="94">
        <f>IF(Option3="No",0,IF($A24&lt;ImplementationYear,0,IF($A24&gt;(ImplementationYear+(Appraisal_Period-1)),0,('Project details'!$P$11-'Project details'!$D$11)*VLOOKUP(Year_cost_estimate,'Time-series parameters'!$B$11:$C$89,2,0))*$B24))</f>
        <v>0</v>
      </c>
      <c r="AL24" s="94">
        <f>IF(Option3="No",0,IF($A24=ImplementationYear,('Project details'!$P$12-'Project details'!$D$12)*VLOOKUP(Year_cost_estimate,'Time-series parameters'!$B$11:$C$89,2,FALSE)*$B24,0))</f>
        <v>0</v>
      </c>
      <c r="AM24" s="97">
        <f>IF(Option3="No",0,IF($A24&lt;ImplementationYear,0,IF($A24&gt;(ImplementationYear+(Appraisal_Period-1)),0,Health!$F$21*$B24)))</f>
        <v>0</v>
      </c>
      <c r="AN24" s="97">
        <f>IF(Option3="No",0,IF($A24&lt;ImplementationYear,0,IF($A24&gt;(ImplementationYear+(Appraisal_Period-1)),0,Health!$F$22*$B24)))</f>
        <v>0</v>
      </c>
      <c r="AO24" s="97">
        <f>IF(Option3="No",0,IF($A24&lt;ImplementationYear,0,IF($A24&gt;(ImplementationYear+(Appraisal_Period-1)),0,SUM('Travel time'!$F$22:$F$23)*$B24)))</f>
        <v>0</v>
      </c>
      <c r="AP24" s="97">
        <f>IF(Option3="No",0,IF($A24&lt;ImplementationYear,0,IF($A24&gt;(ImplementationYear+(Appraisal_Period-1)),0,SUM('Travel time'!$F$20:$F$21)*$B24)))</f>
        <v>0</v>
      </c>
      <c r="AQ24" s="97">
        <f>IF(Option3="No",0,IF($A24&lt;ImplementationYear,0,IF($A24&gt;(ImplementationYear+(Appraisal_Period-1)),0,SUM(Quality!$F$22:$F$23)*$B24)))</f>
        <v>0</v>
      </c>
      <c r="AR24" s="97">
        <f>IF(Option3="No",0,IF($A24&lt;ImplementationYear,0,IF($A24&gt;(ImplementationYear+(Appraisal_Period-1)),0,SUM(Quality!$F$20:$F$21)*$B24)))</f>
        <v>0</v>
      </c>
      <c r="AS24" s="97">
        <f>IF(Option3="No",0,IF($A24&lt;ImplementationYear,0,IF($A24&gt;(ImplementationYear+(Appraisal_Period-1)),0,'Mode change'!$F$36*$B24)))</f>
        <v>0</v>
      </c>
      <c r="AT24" s="97">
        <f>IF(Option3="No",0,IF($A24&lt;ImplementationYear,0,IF($A24&gt;(ImplementationYear+(Appraisal_Period-1)),0,'Mode change'!$F$37*$B24)))</f>
        <v>0</v>
      </c>
      <c r="AU24" s="97">
        <f>IF(Option3="No",0,IF($A24&lt;ImplementationYear,0,IF($A24&gt;(ImplementationYear+(Appraisal_Period-1)),0,'Road safety'!$F$22*$B24)))</f>
        <v>0</v>
      </c>
      <c r="AV24" s="97">
        <f>IF(Option3="No",0,IF($A24&lt;ImplementationYear,0,IF($A24&gt;(ImplementationYear+(Appraisal_Period-1)),0,'Reduction in car usage'!$F$46*$B24)))</f>
        <v>0</v>
      </c>
      <c r="AW24" s="97">
        <f>IF(Option3="No",0,IF($A24&lt;ImplementationYear,0,IF($A24&gt;(ImplementationYear+(Appraisal_Period-1)),0,'Reduction in car usage'!$F$47*$B24)))</f>
        <v>0</v>
      </c>
      <c r="AX24" s="97">
        <f>IF(Option3="No",0,IF($A24&lt;ImplementationYear,0,IF($A24&gt;(ImplementationYear+(Appraisal_Period-1)),0,'Reduction in car usage'!$F$48*$B24)))</f>
        <v>0</v>
      </c>
    </row>
    <row r="25" spans="1:50">
      <c r="A25" s="335">
        <v>2020</v>
      </c>
      <c r="B25" s="62">
        <f>VLOOKUP($A25,'Time-series parameters'!$E$11:$H$89,2,FALSE)</f>
        <v>0.47216136328655672</v>
      </c>
      <c r="C25" s="89"/>
      <c r="D25" s="94">
        <f>IF(Option1="No",0,IF($A25=ImplementationYear,('Project details'!$H$10-'Project details'!$D$10)*VLOOKUP(Year_cost_estimate,'Time-series parameters'!$B$11:$C$89,2,FALSE)*$B25*(1+Contingency),0))</f>
        <v>0</v>
      </c>
      <c r="E25" s="94">
        <f>IF(Option1="No",0,IF($A25&lt;ImplementationYear,0,IF($A25&gt;(ImplementationYear+(Appraisal_Period-1)),0,('Project details'!$H$11-'Project details'!$D$11)*VLOOKUP(Year_cost_estimate,'Time-series parameters'!$B$11:$C$89,2,0))*$B25))</f>
        <v>0</v>
      </c>
      <c r="F25" s="94">
        <f>IF(Option1="No",0,IF($A25=ImplementationYear,('Project details'!$H$12-'Project details'!$D$12)*VLOOKUP(Year_cost_estimate,'Time-series parameters'!$B$11:$C$89,2,FALSE)*$B25,0))</f>
        <v>0</v>
      </c>
      <c r="G25" s="97">
        <f>IF(Option1="No",0,IF($A25&lt;ImplementationYear,0,IF($A25&gt;(ImplementationYear+(Appraisal_Period-1)),0,Health!$D$21*$B25)))</f>
        <v>0</v>
      </c>
      <c r="H25" s="97">
        <f>IF(Option1="No",0,IF($A25&lt;ImplementationYear,0,IF($A25&gt;(ImplementationYear+(Appraisal_Period-1)),0,Health!$D$22*$B25)))</f>
        <v>0</v>
      </c>
      <c r="I25" s="97">
        <f>IF(Option1="No",0,IF($A25&lt;ImplementationYear,0,IF($A25&gt;(ImplementationYear+(Appraisal_Period-1)),0,SUM('Travel time'!$D$22:$D$23)*$B25)))</f>
        <v>0</v>
      </c>
      <c r="J25" s="97">
        <f>IF(Option1="No",0,IF($A25&lt;ImplementationYear,0,IF($A25&gt;(ImplementationYear+(Appraisal_Period-1)),0,SUM('Travel time'!$D$20:$D$21)*$B25)))</f>
        <v>0</v>
      </c>
      <c r="K25" s="97">
        <f>IF(Option1="No",0,IF($A25&lt;ImplementationYear,0,IF($A25&gt;(ImplementationYear+(Appraisal_Period-1)),0,SUM(Quality!$D$22:$D$23)*$B25)))</f>
        <v>0</v>
      </c>
      <c r="L25" s="97">
        <f>IF(Option1="No",0,IF($A25&lt;ImplementationYear,0,IF($A25&gt;(ImplementationYear+(Appraisal_Period-1)),0,SUM(Quality!$D$20:$D$21)*$B25)))</f>
        <v>0</v>
      </c>
      <c r="M25" s="97">
        <f>IF(Option1="No",0,IF($A25&lt;ImplementationYear,0,IF($A25&gt;(ImplementationYear+(Appraisal_Period-1)),0,'Mode change'!$D$36*$B25)))</f>
        <v>0</v>
      </c>
      <c r="N25" s="97">
        <f>IF(Option1="No",0,IF($A25&lt;ImplementationYear,0,IF($A25&gt;(ImplementationYear+(Appraisal_Period-1)),0,'Mode change'!$D$37*$B25)))</f>
        <v>0</v>
      </c>
      <c r="O25" s="97">
        <f>IF(Option1="No",0,IF($A25&lt;ImplementationYear,0,IF($A25&gt;(ImplementationYear+(Appraisal_Period-1)),0,'Road safety'!$D$22*$B25)))</f>
        <v>0</v>
      </c>
      <c r="P25" s="97">
        <f>IF(Option1="No",0,IF($A25&lt;ImplementationYear,0,IF($A25&gt;(ImplementationYear+(Appraisal_Period-1)),0,'Reduction in car usage'!$D$46*$B25)))</f>
        <v>0</v>
      </c>
      <c r="Q25" s="97">
        <f>IF(Option1="No",0,IF($A25&lt;ImplementationYear,0,IF($A25&gt;(ImplementationYear+(Appraisal_Period-1)),0,'Reduction in car usage'!$D$47*$B25)))</f>
        <v>0</v>
      </c>
      <c r="R25" s="97">
        <f>IF(Option1="No",0,IF($A25&lt;ImplementationYear,0,IF($A25&gt;(ImplementationYear+(Appraisal_Period-1)),0,'Reduction in car usage'!$D$48*$B25)))</f>
        <v>0</v>
      </c>
      <c r="S25" s="92"/>
      <c r="T25" s="94">
        <f>IF(Option2="No",0,IF($A25=ImplementationYear,('Project details'!$L$10-'Project details'!$D$10)*VLOOKUP(Year_cost_estimate,'Time-series parameters'!$B$11:$C$89,2,FALSE)*$B25*(1+Contingency),0))</f>
        <v>0</v>
      </c>
      <c r="U25" s="94">
        <f>IF(Option2="No",0,IF($A25&lt;ImplementationYear,0,IF($A25&gt;(ImplementationYear+(Appraisal_Period-1)),0,('Project details'!$L$11-'Project details'!$D$11)*VLOOKUP(Year_cost_estimate,'Time-series parameters'!$B$11:$C$89,2,0))*$B25))</f>
        <v>0</v>
      </c>
      <c r="V25" s="94">
        <f>IF(Option2="No",0,IF($A25=ImplementationYear,('Project details'!$L$12-'Project details'!$D$12)*VLOOKUP(Year_cost_estimate,'Time-series parameters'!$B$11:$C$89,2,FALSE)*$B25,0))</f>
        <v>0</v>
      </c>
      <c r="W25" s="97">
        <f>IF(Option2="No",0,IF($A25&lt;ImplementationYear,0,IF($A25&gt;(ImplementationYear+(Appraisal_Period-1)),0,Health!$E$21*$B25)))</f>
        <v>0</v>
      </c>
      <c r="X25" s="97">
        <f>IF(Option2="No",0,IF($A25&lt;ImplementationYear,0,IF($A25&gt;(ImplementationYear+(Appraisal_Period-1)),0,Health!$E$22*$B25)))</f>
        <v>0</v>
      </c>
      <c r="Y25" s="97">
        <f>IF(Option2="No",0,IF($A25&lt;ImplementationYear,0,IF($A25&gt;(ImplementationYear+(Appraisal_Period-1)),0,SUM('Travel time'!$E$22:$E$23)*$B25)))</f>
        <v>0</v>
      </c>
      <c r="Z25" s="97">
        <f>IF(Option2="No",0,IF($A25&lt;ImplementationYear,0,IF($A25&gt;(ImplementationYear+(Appraisal_Period-1)),0,SUM('Travel time'!$E$20:$E$21)*$B25)))</f>
        <v>0</v>
      </c>
      <c r="AA25" s="97">
        <f>IF(Option2="No",0,IF($A25&lt;ImplementationYear,0,IF($A25&gt;(ImplementationYear+(Appraisal_Period-1)),0,SUM(Quality!$E$22:$E$23)*$B25)))</f>
        <v>0</v>
      </c>
      <c r="AB25" s="97">
        <f>IF(Option2="No",0,IF($A25&lt;ImplementationYear,0,IF($A25&gt;(ImplementationYear+(Appraisal_Period-1)),0,SUM(Quality!$E$20:$E$21)*$B25)))</f>
        <v>0</v>
      </c>
      <c r="AC25" s="97">
        <f>IF(Option2="No",0,IF($A25&lt;ImplementationYear,0,IF($A25&gt;(ImplementationYear+(Appraisal_Period-1)),0,'Mode change'!$E$36*$B25)))</f>
        <v>0</v>
      </c>
      <c r="AD25" s="97">
        <f>IF(Option2="No",0,IF($A25&lt;ImplementationYear,0,IF($A25&gt;(ImplementationYear+(Appraisal_Period-1)),0,'Mode change'!$E$37*$B25)))</f>
        <v>0</v>
      </c>
      <c r="AE25" s="97">
        <f>IF(Option2="No",0,IF($A25&lt;ImplementationYear,0,IF($A25&gt;(ImplementationYear+(Appraisal_Period-1)),0,'Road safety'!$E$22*$B25)))</f>
        <v>0</v>
      </c>
      <c r="AF25" s="97">
        <f>IF(Option2="No",0,IF($A25&lt;ImplementationYear,0,IF($A25&gt;(ImplementationYear+(Appraisal_Period-1)),0,'Reduction in car usage'!$E$46*$B25)))</f>
        <v>0</v>
      </c>
      <c r="AG25" s="97">
        <f>IF(Option2="No",0,IF($A25&lt;ImplementationYear,0,IF($A25&gt;(ImplementationYear+(Appraisal_Period-1)),0,'Reduction in car usage'!$E$47*$B25)))</f>
        <v>0</v>
      </c>
      <c r="AH25" s="97">
        <f>IF(Option2="No",0,IF($A25&lt;ImplementationYear,0,IF($A25&gt;(ImplementationYear+(Appraisal_Period-1)),0,'Reduction in car usage'!$E$48*$B25)))</f>
        <v>0</v>
      </c>
      <c r="AJ25" s="94">
        <f>IF(Option3="No",0,IF($A25=ImplementationYear,('Project details'!$P$10-'Project details'!$D$10)*VLOOKUP(Year_cost_estimate,'Time-series parameters'!$B$11:$C$89,2,FALSE)*$B25*(1+Contingency),0))</f>
        <v>0</v>
      </c>
      <c r="AK25" s="94">
        <f>IF(Option3="No",0,IF($A25&lt;ImplementationYear,0,IF($A25&gt;(ImplementationYear+(Appraisal_Period-1)),0,('Project details'!$P$11-'Project details'!$D$11)*VLOOKUP(Year_cost_estimate,'Time-series parameters'!$B$11:$C$89,2,0))*$B25))</f>
        <v>0</v>
      </c>
      <c r="AL25" s="94">
        <f>IF(Option3="No",0,IF($A25=ImplementationYear,('Project details'!$P$12-'Project details'!$D$12)*VLOOKUP(Year_cost_estimate,'Time-series parameters'!$B$11:$C$89,2,FALSE)*$B25,0))</f>
        <v>0</v>
      </c>
      <c r="AM25" s="97">
        <f>IF(Option3="No",0,IF($A25&lt;ImplementationYear,0,IF($A25&gt;(ImplementationYear+(Appraisal_Period-1)),0,Health!$F$21*$B25)))</f>
        <v>0</v>
      </c>
      <c r="AN25" s="97">
        <f>IF(Option3="No",0,IF($A25&lt;ImplementationYear,0,IF($A25&gt;(ImplementationYear+(Appraisal_Period-1)),0,Health!$F$22*$B25)))</f>
        <v>0</v>
      </c>
      <c r="AO25" s="97">
        <f>IF(Option3="No",0,IF($A25&lt;ImplementationYear,0,IF($A25&gt;(ImplementationYear+(Appraisal_Period-1)),0,SUM('Travel time'!$F$22:$F$23)*$B25)))</f>
        <v>0</v>
      </c>
      <c r="AP25" s="97">
        <f>IF(Option3="No",0,IF($A25&lt;ImplementationYear,0,IF($A25&gt;(ImplementationYear+(Appraisal_Period-1)),0,SUM('Travel time'!$F$20:$F$21)*$B25)))</f>
        <v>0</v>
      </c>
      <c r="AQ25" s="97">
        <f>IF(Option3="No",0,IF($A25&lt;ImplementationYear,0,IF($A25&gt;(ImplementationYear+(Appraisal_Period-1)),0,SUM(Quality!$F$22:$F$23)*$B25)))</f>
        <v>0</v>
      </c>
      <c r="AR25" s="97">
        <f>IF(Option3="No",0,IF($A25&lt;ImplementationYear,0,IF($A25&gt;(ImplementationYear+(Appraisal_Period-1)),0,SUM(Quality!$F$20:$F$21)*$B25)))</f>
        <v>0</v>
      </c>
      <c r="AS25" s="97">
        <f>IF(Option3="No",0,IF($A25&lt;ImplementationYear,0,IF($A25&gt;(ImplementationYear+(Appraisal_Period-1)),0,'Mode change'!$F$36*$B25)))</f>
        <v>0</v>
      </c>
      <c r="AT25" s="97">
        <f>IF(Option3="No",0,IF($A25&lt;ImplementationYear,0,IF($A25&gt;(ImplementationYear+(Appraisal_Period-1)),0,'Mode change'!$F$37*$B25)))</f>
        <v>0</v>
      </c>
      <c r="AU25" s="97">
        <f>IF(Option3="No",0,IF($A25&lt;ImplementationYear,0,IF($A25&gt;(ImplementationYear+(Appraisal_Period-1)),0,'Road safety'!$F$22*$B25)))</f>
        <v>0</v>
      </c>
      <c r="AV25" s="97">
        <f>IF(Option3="No",0,IF($A25&lt;ImplementationYear,0,IF($A25&gt;(ImplementationYear+(Appraisal_Period-1)),0,'Reduction in car usage'!$F$46*$B25)))</f>
        <v>0</v>
      </c>
      <c r="AW25" s="97">
        <f>IF(Option3="No",0,IF($A25&lt;ImplementationYear,0,IF($A25&gt;(ImplementationYear+(Appraisal_Period-1)),0,'Reduction in car usage'!$F$47*$B25)))</f>
        <v>0</v>
      </c>
      <c r="AX25" s="97">
        <f>IF(Option3="No",0,IF($A25&lt;ImplementationYear,0,IF($A25&gt;(ImplementationYear+(Appraisal_Period-1)),0,'Reduction in car usage'!$F$48*$B25)))</f>
        <v>0</v>
      </c>
    </row>
    <row r="26" spans="1:50">
      <c r="A26" s="335">
        <v>2021</v>
      </c>
      <c r="B26" s="62">
        <f>VLOOKUP($A26,'Time-series parameters'!$E$11:$H$89,2,FALSE)</f>
        <v>0.4343884542236322</v>
      </c>
      <c r="C26" s="89"/>
      <c r="D26" s="94">
        <f>IF(Option1="No",0,IF($A26=ImplementationYear,('Project details'!$H$10-'Project details'!$D$10)*VLOOKUP(Year_cost_estimate,'Time-series parameters'!$B$11:$C$89,2,FALSE)*$B26*(1+Contingency),0))</f>
        <v>0</v>
      </c>
      <c r="E26" s="94">
        <f>IF(Option1="No",0,IF($A26&lt;ImplementationYear,0,IF($A26&gt;(ImplementationYear+(Appraisal_Period-1)),0,('Project details'!$H$11-'Project details'!$D$11)*VLOOKUP(Year_cost_estimate,'Time-series parameters'!$B$11:$C$89,2,0))*$B26))</f>
        <v>0</v>
      </c>
      <c r="F26" s="94">
        <f>IF(Option1="No",0,IF($A26=ImplementationYear,('Project details'!$H$12-'Project details'!$D$12)*VLOOKUP(Year_cost_estimate,'Time-series parameters'!$B$11:$C$89,2,FALSE)*$B26,0))</f>
        <v>0</v>
      </c>
      <c r="G26" s="97">
        <f>IF(Option1="No",0,IF($A26&lt;ImplementationYear,0,IF($A26&gt;(ImplementationYear+(Appraisal_Period-1)),0,Health!$D$21*$B26)))</f>
        <v>0</v>
      </c>
      <c r="H26" s="97">
        <f>IF(Option1="No",0,IF($A26&lt;ImplementationYear,0,IF($A26&gt;(ImplementationYear+(Appraisal_Period-1)),0,Health!$D$22*$B26)))</f>
        <v>0</v>
      </c>
      <c r="I26" s="97">
        <f>IF(Option1="No",0,IF($A26&lt;ImplementationYear,0,IF($A26&gt;(ImplementationYear+(Appraisal_Period-1)),0,SUM('Travel time'!$D$22:$D$23)*$B26)))</f>
        <v>0</v>
      </c>
      <c r="J26" s="97">
        <f>IF(Option1="No",0,IF($A26&lt;ImplementationYear,0,IF($A26&gt;(ImplementationYear+(Appraisal_Period-1)),0,SUM('Travel time'!$D$20:$D$21)*$B26)))</f>
        <v>0</v>
      </c>
      <c r="K26" s="97">
        <f>IF(Option1="No",0,IF($A26&lt;ImplementationYear,0,IF($A26&gt;(ImplementationYear+(Appraisal_Period-1)),0,SUM(Quality!$D$22:$D$23)*$B26)))</f>
        <v>0</v>
      </c>
      <c r="L26" s="97">
        <f>IF(Option1="No",0,IF($A26&lt;ImplementationYear,0,IF($A26&gt;(ImplementationYear+(Appraisal_Period-1)),0,SUM(Quality!$D$20:$D$21)*$B26)))</f>
        <v>0</v>
      </c>
      <c r="M26" s="97">
        <f>IF(Option1="No",0,IF($A26&lt;ImplementationYear,0,IF($A26&gt;(ImplementationYear+(Appraisal_Period-1)),0,'Mode change'!$D$36*$B26)))</f>
        <v>0</v>
      </c>
      <c r="N26" s="97">
        <f>IF(Option1="No",0,IF($A26&lt;ImplementationYear,0,IF($A26&gt;(ImplementationYear+(Appraisal_Period-1)),0,'Mode change'!$D$37*$B26)))</f>
        <v>0</v>
      </c>
      <c r="O26" s="97">
        <f>IF(Option1="No",0,IF($A26&lt;ImplementationYear,0,IF($A26&gt;(ImplementationYear+(Appraisal_Period-1)),0,'Road safety'!$D$22*$B26)))</f>
        <v>0</v>
      </c>
      <c r="P26" s="97">
        <f>IF(Option1="No",0,IF($A26&lt;ImplementationYear,0,IF($A26&gt;(ImplementationYear+(Appraisal_Period-1)),0,'Reduction in car usage'!$D$46*$B26)))</f>
        <v>0</v>
      </c>
      <c r="Q26" s="97">
        <f>IF(Option1="No",0,IF($A26&lt;ImplementationYear,0,IF($A26&gt;(ImplementationYear+(Appraisal_Period-1)),0,'Reduction in car usage'!$D$47*$B26)))</f>
        <v>0</v>
      </c>
      <c r="R26" s="97">
        <f>IF(Option1="No",0,IF($A26&lt;ImplementationYear,0,IF($A26&gt;(ImplementationYear+(Appraisal_Period-1)),0,'Reduction in car usage'!$D$48*$B26)))</f>
        <v>0</v>
      </c>
      <c r="S26" s="92"/>
      <c r="T26" s="94">
        <f>IF(Option2="No",0,IF($A26=ImplementationYear,('Project details'!$L$10-'Project details'!$D$10)*VLOOKUP(Year_cost_estimate,'Time-series parameters'!$B$11:$C$89,2,FALSE)*$B26*(1+Contingency),0))</f>
        <v>0</v>
      </c>
      <c r="U26" s="94">
        <f>IF(Option2="No",0,IF($A26&lt;ImplementationYear,0,IF($A26&gt;(ImplementationYear+(Appraisal_Period-1)),0,('Project details'!$L$11-'Project details'!$D$11)*VLOOKUP(Year_cost_estimate,'Time-series parameters'!$B$11:$C$89,2,0))*$B26))</f>
        <v>0</v>
      </c>
      <c r="V26" s="94">
        <f>IF(Option2="No",0,IF($A26=ImplementationYear,('Project details'!$L$12-'Project details'!$D$12)*VLOOKUP(Year_cost_estimate,'Time-series parameters'!$B$11:$C$89,2,FALSE)*$B26,0))</f>
        <v>0</v>
      </c>
      <c r="W26" s="97">
        <f>IF(Option2="No",0,IF($A26&lt;ImplementationYear,0,IF($A26&gt;(ImplementationYear+(Appraisal_Period-1)),0,Health!$E$21*$B26)))</f>
        <v>0</v>
      </c>
      <c r="X26" s="97">
        <f>IF(Option2="No",0,IF($A26&lt;ImplementationYear,0,IF($A26&gt;(ImplementationYear+(Appraisal_Period-1)),0,Health!$E$22*$B26)))</f>
        <v>0</v>
      </c>
      <c r="Y26" s="97">
        <f>IF(Option2="No",0,IF($A26&lt;ImplementationYear,0,IF($A26&gt;(ImplementationYear+(Appraisal_Period-1)),0,SUM('Travel time'!$E$22:$E$23)*$B26)))</f>
        <v>0</v>
      </c>
      <c r="Z26" s="97">
        <f>IF(Option2="No",0,IF($A26&lt;ImplementationYear,0,IF($A26&gt;(ImplementationYear+(Appraisal_Period-1)),0,SUM('Travel time'!$E$20:$E$21)*$B26)))</f>
        <v>0</v>
      </c>
      <c r="AA26" s="97">
        <f>IF(Option2="No",0,IF($A26&lt;ImplementationYear,0,IF($A26&gt;(ImplementationYear+(Appraisal_Period-1)),0,SUM(Quality!$E$22:$E$23)*$B26)))</f>
        <v>0</v>
      </c>
      <c r="AB26" s="97">
        <f>IF(Option2="No",0,IF($A26&lt;ImplementationYear,0,IF($A26&gt;(ImplementationYear+(Appraisal_Period-1)),0,SUM(Quality!$E$20:$E$21)*$B26)))</f>
        <v>0</v>
      </c>
      <c r="AC26" s="97">
        <f>IF(Option2="No",0,IF($A26&lt;ImplementationYear,0,IF($A26&gt;(ImplementationYear+(Appraisal_Period-1)),0,'Mode change'!$E$36*$B26)))</f>
        <v>0</v>
      </c>
      <c r="AD26" s="97">
        <f>IF(Option2="No",0,IF($A26&lt;ImplementationYear,0,IF($A26&gt;(ImplementationYear+(Appraisal_Period-1)),0,'Mode change'!$E$37*$B26)))</f>
        <v>0</v>
      </c>
      <c r="AE26" s="97">
        <f>IF(Option2="No",0,IF($A26&lt;ImplementationYear,0,IF($A26&gt;(ImplementationYear+(Appraisal_Period-1)),0,'Road safety'!$E$22*$B26)))</f>
        <v>0</v>
      </c>
      <c r="AF26" s="97">
        <f>IF(Option2="No",0,IF($A26&lt;ImplementationYear,0,IF($A26&gt;(ImplementationYear+(Appraisal_Period-1)),0,'Reduction in car usage'!$E$46*$B26)))</f>
        <v>0</v>
      </c>
      <c r="AG26" s="97">
        <f>IF(Option2="No",0,IF($A26&lt;ImplementationYear,0,IF($A26&gt;(ImplementationYear+(Appraisal_Period-1)),0,'Reduction in car usage'!$E$47*$B26)))</f>
        <v>0</v>
      </c>
      <c r="AH26" s="97">
        <f>IF(Option2="No",0,IF($A26&lt;ImplementationYear,0,IF($A26&gt;(ImplementationYear+(Appraisal_Period-1)),0,'Reduction in car usage'!$E$48*$B26)))</f>
        <v>0</v>
      </c>
      <c r="AJ26" s="94">
        <f>IF(Option3="No",0,IF($A26=ImplementationYear,('Project details'!$P$10-'Project details'!$D$10)*VLOOKUP(Year_cost_estimate,'Time-series parameters'!$B$11:$C$89,2,FALSE)*$B26*(1+Contingency),0))</f>
        <v>0</v>
      </c>
      <c r="AK26" s="94">
        <f>IF(Option3="No",0,IF($A26&lt;ImplementationYear,0,IF($A26&gt;(ImplementationYear+(Appraisal_Period-1)),0,('Project details'!$P$11-'Project details'!$D$11)*VLOOKUP(Year_cost_estimate,'Time-series parameters'!$B$11:$C$89,2,0))*$B26))</f>
        <v>0</v>
      </c>
      <c r="AL26" s="94">
        <f>IF(Option3="No",0,IF($A26=ImplementationYear,('Project details'!$P$12-'Project details'!$D$12)*VLOOKUP(Year_cost_estimate,'Time-series parameters'!$B$11:$C$89,2,FALSE)*$B26,0))</f>
        <v>0</v>
      </c>
      <c r="AM26" s="97">
        <f>IF(Option3="No",0,IF($A26&lt;ImplementationYear,0,IF($A26&gt;(ImplementationYear+(Appraisal_Period-1)),0,Health!$F$21*$B26)))</f>
        <v>0</v>
      </c>
      <c r="AN26" s="97">
        <f>IF(Option3="No",0,IF($A26&lt;ImplementationYear,0,IF($A26&gt;(ImplementationYear+(Appraisal_Period-1)),0,Health!$F$22*$B26)))</f>
        <v>0</v>
      </c>
      <c r="AO26" s="97">
        <f>IF(Option3="No",0,IF($A26&lt;ImplementationYear,0,IF($A26&gt;(ImplementationYear+(Appraisal_Period-1)),0,SUM('Travel time'!$F$22:$F$23)*$B26)))</f>
        <v>0</v>
      </c>
      <c r="AP26" s="97">
        <f>IF(Option3="No",0,IF($A26&lt;ImplementationYear,0,IF($A26&gt;(ImplementationYear+(Appraisal_Period-1)),0,SUM('Travel time'!$F$20:$F$21)*$B26)))</f>
        <v>0</v>
      </c>
      <c r="AQ26" s="97">
        <f>IF(Option3="No",0,IF($A26&lt;ImplementationYear,0,IF($A26&gt;(ImplementationYear+(Appraisal_Period-1)),0,SUM(Quality!$F$22:$F$23)*$B26)))</f>
        <v>0</v>
      </c>
      <c r="AR26" s="97">
        <f>IF(Option3="No",0,IF($A26&lt;ImplementationYear,0,IF($A26&gt;(ImplementationYear+(Appraisal_Period-1)),0,SUM(Quality!$F$20:$F$21)*$B26)))</f>
        <v>0</v>
      </c>
      <c r="AS26" s="97">
        <f>IF(Option3="No",0,IF($A26&lt;ImplementationYear,0,IF($A26&gt;(ImplementationYear+(Appraisal_Period-1)),0,'Mode change'!$F$36*$B26)))</f>
        <v>0</v>
      </c>
      <c r="AT26" s="97">
        <f>IF(Option3="No",0,IF($A26&lt;ImplementationYear,0,IF($A26&gt;(ImplementationYear+(Appraisal_Period-1)),0,'Mode change'!$F$37*$B26)))</f>
        <v>0</v>
      </c>
      <c r="AU26" s="97">
        <f>IF(Option3="No",0,IF($A26&lt;ImplementationYear,0,IF($A26&gt;(ImplementationYear+(Appraisal_Period-1)),0,'Road safety'!$F$22*$B26)))</f>
        <v>0</v>
      </c>
      <c r="AV26" s="97">
        <f>IF(Option3="No",0,IF($A26&lt;ImplementationYear,0,IF($A26&gt;(ImplementationYear+(Appraisal_Period-1)),0,'Reduction in car usage'!$F$46*$B26)))</f>
        <v>0</v>
      </c>
      <c r="AW26" s="97">
        <f>IF(Option3="No",0,IF($A26&lt;ImplementationYear,0,IF($A26&gt;(ImplementationYear+(Appraisal_Period-1)),0,'Reduction in car usage'!$F$47*$B26)))</f>
        <v>0</v>
      </c>
      <c r="AX26" s="97">
        <f>IF(Option3="No",0,IF($A26&lt;ImplementationYear,0,IF($A26&gt;(ImplementationYear+(Appraisal_Period-1)),0,'Reduction in car usage'!$F$48*$B26)))</f>
        <v>0</v>
      </c>
    </row>
    <row r="27" spans="1:50">
      <c r="A27" s="335">
        <v>2022</v>
      </c>
      <c r="B27" s="62">
        <f>VLOOKUP($A27,'Time-series parameters'!$E$11:$H$89,2,FALSE)</f>
        <v>0.39963737788574161</v>
      </c>
      <c r="C27" s="89"/>
      <c r="D27" s="94">
        <f>IF(Option1="No",0,IF($A27=ImplementationYear,('Project details'!$H$10-'Project details'!$D$10)*VLOOKUP(Year_cost_estimate,'Time-series parameters'!$B$11:$C$89,2,FALSE)*$B27*(1+Contingency),0))</f>
        <v>0</v>
      </c>
      <c r="E27" s="94">
        <f>IF(Option1="No",0,IF($A27&lt;ImplementationYear,0,IF($A27&gt;(ImplementationYear+(Appraisal_Period-1)),0,('Project details'!$H$11-'Project details'!$D$11)*VLOOKUP(Year_cost_estimate,'Time-series parameters'!$B$11:$C$89,2,0))*$B27))</f>
        <v>0</v>
      </c>
      <c r="F27" s="94">
        <f>IF(Option1="No",0,IF($A27=ImplementationYear,('Project details'!$H$12-'Project details'!$D$12)*VLOOKUP(Year_cost_estimate,'Time-series parameters'!$B$11:$C$89,2,FALSE)*$B27,0))</f>
        <v>0</v>
      </c>
      <c r="G27" s="97">
        <f>IF(Option1="No",0,IF($A27&lt;ImplementationYear,0,IF($A27&gt;(ImplementationYear+(Appraisal_Period-1)),0,Health!$D$21*$B27)))</f>
        <v>0</v>
      </c>
      <c r="H27" s="97">
        <f>IF(Option1="No",0,IF($A27&lt;ImplementationYear,0,IF($A27&gt;(ImplementationYear+(Appraisal_Period-1)),0,Health!$D$22*$B27)))</f>
        <v>0</v>
      </c>
      <c r="I27" s="97">
        <f>IF(Option1="No",0,IF($A27&lt;ImplementationYear,0,IF($A27&gt;(ImplementationYear+(Appraisal_Period-1)),0,SUM('Travel time'!$D$22:$D$23)*$B27)))</f>
        <v>0</v>
      </c>
      <c r="J27" s="97">
        <f>IF(Option1="No",0,IF($A27&lt;ImplementationYear,0,IF($A27&gt;(ImplementationYear+(Appraisal_Period-1)),0,SUM('Travel time'!$D$20:$D$21)*$B27)))</f>
        <v>0</v>
      </c>
      <c r="K27" s="97">
        <f>IF(Option1="No",0,IF($A27&lt;ImplementationYear,0,IF($A27&gt;(ImplementationYear+(Appraisal_Period-1)),0,SUM(Quality!$D$22:$D$23)*$B27)))</f>
        <v>0</v>
      </c>
      <c r="L27" s="97">
        <f>IF(Option1="No",0,IF($A27&lt;ImplementationYear,0,IF($A27&gt;(ImplementationYear+(Appraisal_Period-1)),0,SUM(Quality!$D$20:$D$21)*$B27)))</f>
        <v>0</v>
      </c>
      <c r="M27" s="97">
        <f>IF(Option1="No",0,IF($A27&lt;ImplementationYear,0,IF($A27&gt;(ImplementationYear+(Appraisal_Period-1)),0,'Mode change'!$D$36*$B27)))</f>
        <v>0</v>
      </c>
      <c r="N27" s="97">
        <f>IF(Option1="No",0,IF($A27&lt;ImplementationYear,0,IF($A27&gt;(ImplementationYear+(Appraisal_Period-1)),0,'Mode change'!$D$37*$B27)))</f>
        <v>0</v>
      </c>
      <c r="O27" s="97">
        <f>IF(Option1="No",0,IF($A27&lt;ImplementationYear,0,IF($A27&gt;(ImplementationYear+(Appraisal_Period-1)),0,'Road safety'!$D$22*$B27)))</f>
        <v>0</v>
      </c>
      <c r="P27" s="97">
        <f>IF(Option1="No",0,IF($A27&lt;ImplementationYear,0,IF($A27&gt;(ImplementationYear+(Appraisal_Period-1)),0,'Reduction in car usage'!$D$46*$B27)))</f>
        <v>0</v>
      </c>
      <c r="Q27" s="97">
        <f>IF(Option1="No",0,IF($A27&lt;ImplementationYear,0,IF($A27&gt;(ImplementationYear+(Appraisal_Period-1)),0,'Reduction in car usage'!$D$47*$B27)))</f>
        <v>0</v>
      </c>
      <c r="R27" s="97">
        <f>IF(Option1="No",0,IF($A27&lt;ImplementationYear,0,IF($A27&gt;(ImplementationYear+(Appraisal_Period-1)),0,'Reduction in car usage'!$D$48*$B27)))</f>
        <v>0</v>
      </c>
      <c r="S27" s="92"/>
      <c r="T27" s="94">
        <f>IF(Option2="No",0,IF($A27=ImplementationYear,('Project details'!$L$10-'Project details'!$D$10)*VLOOKUP(Year_cost_estimate,'Time-series parameters'!$B$11:$C$89,2,FALSE)*$B27*(1+Contingency),0))</f>
        <v>0</v>
      </c>
      <c r="U27" s="94">
        <f>IF(Option2="No",0,IF($A27&lt;ImplementationYear,0,IF($A27&gt;(ImplementationYear+(Appraisal_Period-1)),0,('Project details'!$L$11-'Project details'!$D$11)*VLOOKUP(Year_cost_estimate,'Time-series parameters'!$B$11:$C$89,2,0))*$B27))</f>
        <v>0</v>
      </c>
      <c r="V27" s="94">
        <f>IF(Option2="No",0,IF($A27=ImplementationYear,('Project details'!$L$12-'Project details'!$D$12)*VLOOKUP(Year_cost_estimate,'Time-series parameters'!$B$11:$C$89,2,FALSE)*$B27,0))</f>
        <v>0</v>
      </c>
      <c r="W27" s="97">
        <f>IF(Option2="No",0,IF($A27&lt;ImplementationYear,0,IF($A27&gt;(ImplementationYear+(Appraisal_Period-1)),0,Health!$E$21*$B27)))</f>
        <v>0</v>
      </c>
      <c r="X27" s="97">
        <f>IF(Option2="No",0,IF($A27&lt;ImplementationYear,0,IF($A27&gt;(ImplementationYear+(Appraisal_Period-1)),0,Health!$E$22*$B27)))</f>
        <v>0</v>
      </c>
      <c r="Y27" s="97">
        <f>IF(Option2="No",0,IF($A27&lt;ImplementationYear,0,IF($A27&gt;(ImplementationYear+(Appraisal_Period-1)),0,SUM('Travel time'!$E$22:$E$23)*$B27)))</f>
        <v>0</v>
      </c>
      <c r="Z27" s="97">
        <f>IF(Option2="No",0,IF($A27&lt;ImplementationYear,0,IF($A27&gt;(ImplementationYear+(Appraisal_Period-1)),0,SUM('Travel time'!$E$20:$E$21)*$B27)))</f>
        <v>0</v>
      </c>
      <c r="AA27" s="97">
        <f>IF(Option2="No",0,IF($A27&lt;ImplementationYear,0,IF($A27&gt;(ImplementationYear+(Appraisal_Period-1)),0,SUM(Quality!$E$22:$E$23)*$B27)))</f>
        <v>0</v>
      </c>
      <c r="AB27" s="97">
        <f>IF(Option2="No",0,IF($A27&lt;ImplementationYear,0,IF($A27&gt;(ImplementationYear+(Appraisal_Period-1)),0,SUM(Quality!$E$20:$E$21)*$B27)))</f>
        <v>0</v>
      </c>
      <c r="AC27" s="97">
        <f>IF(Option2="No",0,IF($A27&lt;ImplementationYear,0,IF($A27&gt;(ImplementationYear+(Appraisal_Period-1)),0,'Mode change'!$E$36*$B27)))</f>
        <v>0</v>
      </c>
      <c r="AD27" s="97">
        <f>IF(Option2="No",0,IF($A27&lt;ImplementationYear,0,IF($A27&gt;(ImplementationYear+(Appraisal_Period-1)),0,'Mode change'!$E$37*$B27)))</f>
        <v>0</v>
      </c>
      <c r="AE27" s="97">
        <f>IF(Option2="No",0,IF($A27&lt;ImplementationYear,0,IF($A27&gt;(ImplementationYear+(Appraisal_Period-1)),0,'Road safety'!$E$22*$B27)))</f>
        <v>0</v>
      </c>
      <c r="AF27" s="97">
        <f>IF(Option2="No",0,IF($A27&lt;ImplementationYear,0,IF($A27&gt;(ImplementationYear+(Appraisal_Period-1)),0,'Reduction in car usage'!$E$46*$B27)))</f>
        <v>0</v>
      </c>
      <c r="AG27" s="97">
        <f>IF(Option2="No",0,IF($A27&lt;ImplementationYear,0,IF($A27&gt;(ImplementationYear+(Appraisal_Period-1)),0,'Reduction in car usage'!$E$47*$B27)))</f>
        <v>0</v>
      </c>
      <c r="AH27" s="97">
        <f>IF(Option2="No",0,IF($A27&lt;ImplementationYear,0,IF($A27&gt;(ImplementationYear+(Appraisal_Period-1)),0,'Reduction in car usage'!$E$48*$B27)))</f>
        <v>0</v>
      </c>
      <c r="AJ27" s="94">
        <f>IF(Option3="No",0,IF($A27=ImplementationYear,('Project details'!$P$10-'Project details'!$D$10)*VLOOKUP(Year_cost_estimate,'Time-series parameters'!$B$11:$C$89,2,FALSE)*$B27*(1+Contingency),0))</f>
        <v>0</v>
      </c>
      <c r="AK27" s="94">
        <f>IF(Option3="No",0,IF($A27&lt;ImplementationYear,0,IF($A27&gt;(ImplementationYear+(Appraisal_Period-1)),0,('Project details'!$P$11-'Project details'!$D$11)*VLOOKUP(Year_cost_estimate,'Time-series parameters'!$B$11:$C$89,2,0))*$B27))</f>
        <v>0</v>
      </c>
      <c r="AL27" s="94">
        <f>IF(Option3="No",0,IF($A27=ImplementationYear,('Project details'!$P$12-'Project details'!$D$12)*VLOOKUP(Year_cost_estimate,'Time-series parameters'!$B$11:$C$89,2,FALSE)*$B27,0))</f>
        <v>0</v>
      </c>
      <c r="AM27" s="97">
        <f>IF(Option3="No",0,IF($A27&lt;ImplementationYear,0,IF($A27&gt;(ImplementationYear+(Appraisal_Period-1)),0,Health!$F$21*$B27)))</f>
        <v>0</v>
      </c>
      <c r="AN27" s="97">
        <f>IF(Option3="No",0,IF($A27&lt;ImplementationYear,0,IF($A27&gt;(ImplementationYear+(Appraisal_Period-1)),0,Health!$F$22*$B27)))</f>
        <v>0</v>
      </c>
      <c r="AO27" s="97">
        <f>IF(Option3="No",0,IF($A27&lt;ImplementationYear,0,IF($A27&gt;(ImplementationYear+(Appraisal_Period-1)),0,SUM('Travel time'!$F$22:$F$23)*$B27)))</f>
        <v>0</v>
      </c>
      <c r="AP27" s="97">
        <f>IF(Option3="No",0,IF($A27&lt;ImplementationYear,0,IF($A27&gt;(ImplementationYear+(Appraisal_Period-1)),0,SUM('Travel time'!$F$20:$F$21)*$B27)))</f>
        <v>0</v>
      </c>
      <c r="AQ27" s="97">
        <f>IF(Option3="No",0,IF($A27&lt;ImplementationYear,0,IF($A27&gt;(ImplementationYear+(Appraisal_Period-1)),0,SUM(Quality!$F$22:$F$23)*$B27)))</f>
        <v>0</v>
      </c>
      <c r="AR27" s="97">
        <f>IF(Option3="No",0,IF($A27&lt;ImplementationYear,0,IF($A27&gt;(ImplementationYear+(Appraisal_Period-1)),0,SUM(Quality!$F$20:$F$21)*$B27)))</f>
        <v>0</v>
      </c>
      <c r="AS27" s="97">
        <f>IF(Option3="No",0,IF($A27&lt;ImplementationYear,0,IF($A27&gt;(ImplementationYear+(Appraisal_Period-1)),0,'Mode change'!$F$36*$B27)))</f>
        <v>0</v>
      </c>
      <c r="AT27" s="97">
        <f>IF(Option3="No",0,IF($A27&lt;ImplementationYear,0,IF($A27&gt;(ImplementationYear+(Appraisal_Period-1)),0,'Mode change'!$F$37*$B27)))</f>
        <v>0</v>
      </c>
      <c r="AU27" s="97">
        <f>IF(Option3="No",0,IF($A27&lt;ImplementationYear,0,IF($A27&gt;(ImplementationYear+(Appraisal_Period-1)),0,'Road safety'!$F$22*$B27)))</f>
        <v>0</v>
      </c>
      <c r="AV27" s="97">
        <f>IF(Option3="No",0,IF($A27&lt;ImplementationYear,0,IF($A27&gt;(ImplementationYear+(Appraisal_Period-1)),0,'Reduction in car usage'!$F$46*$B27)))</f>
        <v>0</v>
      </c>
      <c r="AW27" s="97">
        <f>IF(Option3="No",0,IF($A27&lt;ImplementationYear,0,IF($A27&gt;(ImplementationYear+(Appraisal_Period-1)),0,'Reduction in car usage'!$F$47*$B27)))</f>
        <v>0</v>
      </c>
      <c r="AX27" s="97">
        <f>IF(Option3="No",0,IF($A27&lt;ImplementationYear,0,IF($A27&gt;(ImplementationYear+(Appraisal_Period-1)),0,'Reduction in car usage'!$F$48*$B27)))</f>
        <v>0</v>
      </c>
    </row>
    <row r="28" spans="1:50">
      <c r="A28" s="335">
        <v>2023</v>
      </c>
      <c r="B28" s="62">
        <f>VLOOKUP($A28,'Time-series parameters'!$E$11:$H$89,2,FALSE)</f>
        <v>0.3676663876548823</v>
      </c>
      <c r="C28" s="89"/>
      <c r="D28" s="94">
        <f>IF(Option1="No",0,IF($A28=ImplementationYear,('Project details'!$H$10-'Project details'!$D$10)*VLOOKUP(Year_cost_estimate,'Time-series parameters'!$B$11:$C$89,2,FALSE)*$B28*(1+Contingency),0))</f>
        <v>0</v>
      </c>
      <c r="E28" s="94">
        <f>IF(Option1="No",0,IF($A28&lt;ImplementationYear,0,IF($A28&gt;(ImplementationYear+(Appraisal_Period-1)),0,('Project details'!$H$11-'Project details'!$D$11)*VLOOKUP(Year_cost_estimate,'Time-series parameters'!$B$11:$C$89,2,0))*$B28))</f>
        <v>0</v>
      </c>
      <c r="F28" s="94">
        <f>IF(Option1="No",0,IF($A28=ImplementationYear,('Project details'!$H$12-'Project details'!$D$12)*VLOOKUP(Year_cost_estimate,'Time-series parameters'!$B$11:$C$89,2,FALSE)*$B28,0))</f>
        <v>0</v>
      </c>
      <c r="G28" s="97">
        <f>IF(Option1="No",0,IF($A28&lt;ImplementationYear,0,IF($A28&gt;(ImplementationYear+(Appraisal_Period-1)),0,Health!$D$21*$B28)))</f>
        <v>0</v>
      </c>
      <c r="H28" s="97">
        <f>IF(Option1="No",0,IF($A28&lt;ImplementationYear,0,IF($A28&gt;(ImplementationYear+(Appraisal_Period-1)),0,Health!$D$22*$B28)))</f>
        <v>0</v>
      </c>
      <c r="I28" s="97">
        <f>IF(Option1="No",0,IF($A28&lt;ImplementationYear,0,IF($A28&gt;(ImplementationYear+(Appraisal_Period-1)),0,SUM('Travel time'!$D$22:$D$23)*$B28)))</f>
        <v>0</v>
      </c>
      <c r="J28" s="97">
        <f>IF(Option1="No",0,IF($A28&lt;ImplementationYear,0,IF($A28&gt;(ImplementationYear+(Appraisal_Period-1)),0,SUM('Travel time'!$D$20:$D$21)*$B28)))</f>
        <v>0</v>
      </c>
      <c r="K28" s="97">
        <f>IF(Option1="No",0,IF($A28&lt;ImplementationYear,0,IF($A28&gt;(ImplementationYear+(Appraisal_Period-1)),0,SUM(Quality!$D$22:$D$23)*$B28)))</f>
        <v>0</v>
      </c>
      <c r="L28" s="97">
        <f>IF(Option1="No",0,IF($A28&lt;ImplementationYear,0,IF($A28&gt;(ImplementationYear+(Appraisal_Period-1)),0,SUM(Quality!$D$20:$D$21)*$B28)))</f>
        <v>0</v>
      </c>
      <c r="M28" s="97">
        <f>IF(Option1="No",0,IF($A28&lt;ImplementationYear,0,IF($A28&gt;(ImplementationYear+(Appraisal_Period-1)),0,'Mode change'!$D$36*$B28)))</f>
        <v>0</v>
      </c>
      <c r="N28" s="97">
        <f>IF(Option1="No",0,IF($A28&lt;ImplementationYear,0,IF($A28&gt;(ImplementationYear+(Appraisal_Period-1)),0,'Mode change'!$D$37*$B28)))</f>
        <v>0</v>
      </c>
      <c r="O28" s="97">
        <f>IF(Option1="No",0,IF($A28&lt;ImplementationYear,0,IF($A28&gt;(ImplementationYear+(Appraisal_Period-1)),0,'Road safety'!$D$22*$B28)))</f>
        <v>0</v>
      </c>
      <c r="P28" s="97">
        <f>IF(Option1="No",0,IF($A28&lt;ImplementationYear,0,IF($A28&gt;(ImplementationYear+(Appraisal_Period-1)),0,'Reduction in car usage'!$D$46*$B28)))</f>
        <v>0</v>
      </c>
      <c r="Q28" s="97">
        <f>IF(Option1="No",0,IF($A28&lt;ImplementationYear,0,IF($A28&gt;(ImplementationYear+(Appraisal_Period-1)),0,'Reduction in car usage'!$D$47*$B28)))</f>
        <v>0</v>
      </c>
      <c r="R28" s="97">
        <f>IF(Option1="No",0,IF($A28&lt;ImplementationYear,0,IF($A28&gt;(ImplementationYear+(Appraisal_Period-1)),0,'Reduction in car usage'!$D$48*$B28)))</f>
        <v>0</v>
      </c>
      <c r="S28" s="92"/>
      <c r="T28" s="94">
        <f>IF(Option2="No",0,IF($A28=ImplementationYear,('Project details'!$L$10-'Project details'!$D$10)*VLOOKUP(Year_cost_estimate,'Time-series parameters'!$B$11:$C$89,2,FALSE)*$B28*(1+Contingency),0))</f>
        <v>0</v>
      </c>
      <c r="U28" s="94">
        <f>IF(Option2="No",0,IF($A28&lt;ImplementationYear,0,IF($A28&gt;(ImplementationYear+(Appraisal_Period-1)),0,('Project details'!$L$11-'Project details'!$D$11)*VLOOKUP(Year_cost_estimate,'Time-series parameters'!$B$11:$C$89,2,0))*$B28))</f>
        <v>0</v>
      </c>
      <c r="V28" s="94">
        <f>IF(Option2="No",0,IF($A28=ImplementationYear,('Project details'!$L$12-'Project details'!$D$12)*VLOOKUP(Year_cost_estimate,'Time-series parameters'!$B$11:$C$89,2,FALSE)*$B28,0))</f>
        <v>0</v>
      </c>
      <c r="W28" s="97">
        <f>IF(Option2="No",0,IF($A28&lt;ImplementationYear,0,IF($A28&gt;(ImplementationYear+(Appraisal_Period-1)),0,Health!$E$21*$B28)))</f>
        <v>0</v>
      </c>
      <c r="X28" s="97">
        <f>IF(Option2="No",0,IF($A28&lt;ImplementationYear,0,IF($A28&gt;(ImplementationYear+(Appraisal_Period-1)),0,Health!$E$22*$B28)))</f>
        <v>0</v>
      </c>
      <c r="Y28" s="97">
        <f>IF(Option2="No",0,IF($A28&lt;ImplementationYear,0,IF($A28&gt;(ImplementationYear+(Appraisal_Period-1)),0,SUM('Travel time'!$E$22:$E$23)*$B28)))</f>
        <v>0</v>
      </c>
      <c r="Z28" s="97">
        <f>IF(Option2="No",0,IF($A28&lt;ImplementationYear,0,IF($A28&gt;(ImplementationYear+(Appraisal_Period-1)),0,SUM('Travel time'!$E$20:$E$21)*$B28)))</f>
        <v>0</v>
      </c>
      <c r="AA28" s="97">
        <f>IF(Option2="No",0,IF($A28&lt;ImplementationYear,0,IF($A28&gt;(ImplementationYear+(Appraisal_Period-1)),0,SUM(Quality!$E$22:$E$23)*$B28)))</f>
        <v>0</v>
      </c>
      <c r="AB28" s="97">
        <f>IF(Option2="No",0,IF($A28&lt;ImplementationYear,0,IF($A28&gt;(ImplementationYear+(Appraisal_Period-1)),0,SUM(Quality!$E$20:$E$21)*$B28)))</f>
        <v>0</v>
      </c>
      <c r="AC28" s="97">
        <f>IF(Option2="No",0,IF($A28&lt;ImplementationYear,0,IF($A28&gt;(ImplementationYear+(Appraisal_Period-1)),0,'Mode change'!$E$36*$B28)))</f>
        <v>0</v>
      </c>
      <c r="AD28" s="97">
        <f>IF(Option2="No",0,IF($A28&lt;ImplementationYear,0,IF($A28&gt;(ImplementationYear+(Appraisal_Period-1)),0,'Mode change'!$E$37*$B28)))</f>
        <v>0</v>
      </c>
      <c r="AE28" s="97">
        <f>IF(Option2="No",0,IF($A28&lt;ImplementationYear,0,IF($A28&gt;(ImplementationYear+(Appraisal_Period-1)),0,'Road safety'!$E$22*$B28)))</f>
        <v>0</v>
      </c>
      <c r="AF28" s="97">
        <f>IF(Option2="No",0,IF($A28&lt;ImplementationYear,0,IF($A28&gt;(ImplementationYear+(Appraisal_Period-1)),0,'Reduction in car usage'!$E$46*$B28)))</f>
        <v>0</v>
      </c>
      <c r="AG28" s="97">
        <f>IF(Option2="No",0,IF($A28&lt;ImplementationYear,0,IF($A28&gt;(ImplementationYear+(Appraisal_Period-1)),0,'Reduction in car usage'!$E$47*$B28)))</f>
        <v>0</v>
      </c>
      <c r="AH28" s="97">
        <f>IF(Option2="No",0,IF($A28&lt;ImplementationYear,0,IF($A28&gt;(ImplementationYear+(Appraisal_Period-1)),0,'Reduction in car usage'!$E$48*$B28)))</f>
        <v>0</v>
      </c>
      <c r="AJ28" s="94">
        <f>IF(Option3="No",0,IF($A28=ImplementationYear,('Project details'!$P$10-'Project details'!$D$10)*VLOOKUP(Year_cost_estimate,'Time-series parameters'!$B$11:$C$89,2,FALSE)*$B28*(1+Contingency),0))</f>
        <v>0</v>
      </c>
      <c r="AK28" s="94">
        <f>IF(Option3="No",0,IF($A28&lt;ImplementationYear,0,IF($A28&gt;(ImplementationYear+(Appraisal_Period-1)),0,('Project details'!$P$11-'Project details'!$D$11)*VLOOKUP(Year_cost_estimate,'Time-series parameters'!$B$11:$C$89,2,0))*$B28))</f>
        <v>0</v>
      </c>
      <c r="AL28" s="94">
        <f>IF(Option3="No",0,IF($A28=ImplementationYear,('Project details'!$P$12-'Project details'!$D$12)*VLOOKUP(Year_cost_estimate,'Time-series parameters'!$B$11:$C$89,2,FALSE)*$B28,0))</f>
        <v>0</v>
      </c>
      <c r="AM28" s="97">
        <f>IF(Option3="No",0,IF($A28&lt;ImplementationYear,0,IF($A28&gt;(ImplementationYear+(Appraisal_Period-1)),0,Health!$F$21*$B28)))</f>
        <v>0</v>
      </c>
      <c r="AN28" s="97">
        <f>IF(Option3="No",0,IF($A28&lt;ImplementationYear,0,IF($A28&gt;(ImplementationYear+(Appraisal_Period-1)),0,Health!$F$22*$B28)))</f>
        <v>0</v>
      </c>
      <c r="AO28" s="97">
        <f>IF(Option3="No",0,IF($A28&lt;ImplementationYear,0,IF($A28&gt;(ImplementationYear+(Appraisal_Period-1)),0,SUM('Travel time'!$F$22:$F$23)*$B28)))</f>
        <v>0</v>
      </c>
      <c r="AP28" s="97">
        <f>IF(Option3="No",0,IF($A28&lt;ImplementationYear,0,IF($A28&gt;(ImplementationYear+(Appraisal_Period-1)),0,SUM('Travel time'!$F$20:$F$21)*$B28)))</f>
        <v>0</v>
      </c>
      <c r="AQ28" s="97">
        <f>IF(Option3="No",0,IF($A28&lt;ImplementationYear,0,IF($A28&gt;(ImplementationYear+(Appraisal_Period-1)),0,SUM(Quality!$F$22:$F$23)*$B28)))</f>
        <v>0</v>
      </c>
      <c r="AR28" s="97">
        <f>IF(Option3="No",0,IF($A28&lt;ImplementationYear,0,IF($A28&gt;(ImplementationYear+(Appraisal_Period-1)),0,SUM(Quality!$F$20:$F$21)*$B28)))</f>
        <v>0</v>
      </c>
      <c r="AS28" s="97">
        <f>IF(Option3="No",0,IF($A28&lt;ImplementationYear,0,IF($A28&gt;(ImplementationYear+(Appraisal_Period-1)),0,'Mode change'!$F$36*$B28)))</f>
        <v>0</v>
      </c>
      <c r="AT28" s="97">
        <f>IF(Option3="No",0,IF($A28&lt;ImplementationYear,0,IF($A28&gt;(ImplementationYear+(Appraisal_Period-1)),0,'Mode change'!$F$37*$B28)))</f>
        <v>0</v>
      </c>
      <c r="AU28" s="97">
        <f>IF(Option3="No",0,IF($A28&lt;ImplementationYear,0,IF($A28&gt;(ImplementationYear+(Appraisal_Period-1)),0,'Road safety'!$F$22*$B28)))</f>
        <v>0</v>
      </c>
      <c r="AV28" s="97">
        <f>IF(Option3="No",0,IF($A28&lt;ImplementationYear,0,IF($A28&gt;(ImplementationYear+(Appraisal_Period-1)),0,'Reduction in car usage'!$F$46*$B28)))</f>
        <v>0</v>
      </c>
      <c r="AW28" s="97">
        <f>IF(Option3="No",0,IF($A28&lt;ImplementationYear,0,IF($A28&gt;(ImplementationYear+(Appraisal_Period-1)),0,'Reduction in car usage'!$F$47*$B28)))</f>
        <v>0</v>
      </c>
      <c r="AX28" s="97">
        <f>IF(Option3="No",0,IF($A28&lt;ImplementationYear,0,IF($A28&gt;(ImplementationYear+(Appraisal_Period-1)),0,'Reduction in car usage'!$F$48*$B28)))</f>
        <v>0</v>
      </c>
    </row>
    <row r="29" spans="1:50">
      <c r="A29" s="335">
        <v>2024</v>
      </c>
      <c r="B29" s="62">
        <f>VLOOKUP($A29,'Time-series parameters'!$E$11:$H$89,2,FALSE)</f>
        <v>0.33825307664249171</v>
      </c>
      <c r="C29" s="89"/>
      <c r="D29" s="94">
        <f>IF(Option1="No",0,IF($A29=ImplementationYear,('Project details'!$H$10-'Project details'!$D$10)*VLOOKUP(Year_cost_estimate,'Time-series parameters'!$B$11:$C$89,2,FALSE)*$B29*(1+Contingency),0))</f>
        <v>0</v>
      </c>
      <c r="E29" s="94">
        <f>IF(Option1="No",0,IF($A29&lt;ImplementationYear,0,IF($A29&gt;(ImplementationYear+(Appraisal_Period-1)),0,('Project details'!$H$11-'Project details'!$D$11)*VLOOKUP(Year_cost_estimate,'Time-series parameters'!$B$11:$C$89,2,0))*$B29))</f>
        <v>0</v>
      </c>
      <c r="F29" s="94">
        <f>IF(Option1="No",0,IF($A29=ImplementationYear,('Project details'!$H$12-'Project details'!$D$12)*VLOOKUP(Year_cost_estimate,'Time-series parameters'!$B$11:$C$89,2,FALSE)*$B29,0))</f>
        <v>0</v>
      </c>
      <c r="G29" s="97">
        <f>IF(Option1="No",0,IF($A29&lt;ImplementationYear,0,IF($A29&gt;(ImplementationYear+(Appraisal_Period-1)),0,Health!$D$21*$B29)))</f>
        <v>0</v>
      </c>
      <c r="H29" s="97">
        <f>IF(Option1="No",0,IF($A29&lt;ImplementationYear,0,IF($A29&gt;(ImplementationYear+(Appraisal_Period-1)),0,Health!$D$22*$B29)))</f>
        <v>0</v>
      </c>
      <c r="I29" s="97">
        <f>IF(Option1="No",0,IF($A29&lt;ImplementationYear,0,IF($A29&gt;(ImplementationYear+(Appraisal_Period-1)),0,SUM('Travel time'!$D$22:$D$23)*$B29)))</f>
        <v>0</v>
      </c>
      <c r="J29" s="97">
        <f>IF(Option1="No",0,IF($A29&lt;ImplementationYear,0,IF($A29&gt;(ImplementationYear+(Appraisal_Period-1)),0,SUM('Travel time'!$D$20:$D$21)*$B29)))</f>
        <v>0</v>
      </c>
      <c r="K29" s="97">
        <f>IF(Option1="No",0,IF($A29&lt;ImplementationYear,0,IF($A29&gt;(ImplementationYear+(Appraisal_Period-1)),0,SUM(Quality!$D$22:$D$23)*$B29)))</f>
        <v>0</v>
      </c>
      <c r="L29" s="97">
        <f>IF(Option1="No",0,IF($A29&lt;ImplementationYear,0,IF($A29&gt;(ImplementationYear+(Appraisal_Period-1)),0,SUM(Quality!$D$20:$D$21)*$B29)))</f>
        <v>0</v>
      </c>
      <c r="M29" s="97">
        <f>IF(Option1="No",0,IF($A29&lt;ImplementationYear,0,IF($A29&gt;(ImplementationYear+(Appraisal_Period-1)),0,'Mode change'!$D$36*$B29)))</f>
        <v>0</v>
      </c>
      <c r="N29" s="97">
        <f>IF(Option1="No",0,IF($A29&lt;ImplementationYear,0,IF($A29&gt;(ImplementationYear+(Appraisal_Period-1)),0,'Mode change'!$D$37*$B29)))</f>
        <v>0</v>
      </c>
      <c r="O29" s="97">
        <f>IF(Option1="No",0,IF($A29&lt;ImplementationYear,0,IF($A29&gt;(ImplementationYear+(Appraisal_Period-1)),0,'Road safety'!$D$22*$B29)))</f>
        <v>0</v>
      </c>
      <c r="P29" s="97">
        <f>IF(Option1="No",0,IF($A29&lt;ImplementationYear,0,IF($A29&gt;(ImplementationYear+(Appraisal_Period-1)),0,'Reduction in car usage'!$D$46*$B29)))</f>
        <v>0</v>
      </c>
      <c r="Q29" s="97">
        <f>IF(Option1="No",0,IF($A29&lt;ImplementationYear,0,IF($A29&gt;(ImplementationYear+(Appraisal_Period-1)),0,'Reduction in car usage'!$D$47*$B29)))</f>
        <v>0</v>
      </c>
      <c r="R29" s="97">
        <f>IF(Option1="No",0,IF($A29&lt;ImplementationYear,0,IF($A29&gt;(ImplementationYear+(Appraisal_Period-1)),0,'Reduction in car usage'!$D$48*$B29)))</f>
        <v>0</v>
      </c>
      <c r="S29" s="92"/>
      <c r="T29" s="94">
        <f>IF(Option2="No",0,IF($A29=ImplementationYear,('Project details'!$L$10-'Project details'!$D$10)*VLOOKUP(Year_cost_estimate,'Time-series parameters'!$B$11:$C$89,2,FALSE)*$B29*(1+Contingency),0))</f>
        <v>0</v>
      </c>
      <c r="U29" s="94">
        <f>IF(Option2="No",0,IF($A29&lt;ImplementationYear,0,IF($A29&gt;(ImplementationYear+(Appraisal_Period-1)),0,('Project details'!$L$11-'Project details'!$D$11)*VLOOKUP(Year_cost_estimate,'Time-series parameters'!$B$11:$C$89,2,0))*$B29))</f>
        <v>0</v>
      </c>
      <c r="V29" s="94">
        <f>IF(Option2="No",0,IF($A29=ImplementationYear,('Project details'!$L$12-'Project details'!$D$12)*VLOOKUP(Year_cost_estimate,'Time-series parameters'!$B$11:$C$89,2,FALSE)*$B29,0))</f>
        <v>0</v>
      </c>
      <c r="W29" s="97">
        <f>IF(Option2="No",0,IF($A29&lt;ImplementationYear,0,IF($A29&gt;(ImplementationYear+(Appraisal_Period-1)),0,Health!$E$21*$B29)))</f>
        <v>0</v>
      </c>
      <c r="X29" s="97">
        <f>IF(Option2="No",0,IF($A29&lt;ImplementationYear,0,IF($A29&gt;(ImplementationYear+(Appraisal_Period-1)),0,Health!$E$22*$B29)))</f>
        <v>0</v>
      </c>
      <c r="Y29" s="97">
        <f>IF(Option2="No",0,IF($A29&lt;ImplementationYear,0,IF($A29&gt;(ImplementationYear+(Appraisal_Period-1)),0,SUM('Travel time'!$E$22:$E$23)*$B29)))</f>
        <v>0</v>
      </c>
      <c r="Z29" s="97">
        <f>IF(Option2="No",0,IF($A29&lt;ImplementationYear,0,IF($A29&gt;(ImplementationYear+(Appraisal_Period-1)),0,SUM('Travel time'!$E$20:$E$21)*$B29)))</f>
        <v>0</v>
      </c>
      <c r="AA29" s="97">
        <f>IF(Option2="No",0,IF($A29&lt;ImplementationYear,0,IF($A29&gt;(ImplementationYear+(Appraisal_Period-1)),0,SUM(Quality!$E$22:$E$23)*$B29)))</f>
        <v>0</v>
      </c>
      <c r="AB29" s="97">
        <f>IF(Option2="No",0,IF($A29&lt;ImplementationYear,0,IF($A29&gt;(ImplementationYear+(Appraisal_Period-1)),0,SUM(Quality!$E$20:$E$21)*$B29)))</f>
        <v>0</v>
      </c>
      <c r="AC29" s="97">
        <f>IF(Option2="No",0,IF($A29&lt;ImplementationYear,0,IF($A29&gt;(ImplementationYear+(Appraisal_Period-1)),0,'Mode change'!$E$36*$B29)))</f>
        <v>0</v>
      </c>
      <c r="AD29" s="97">
        <f>IF(Option2="No",0,IF($A29&lt;ImplementationYear,0,IF($A29&gt;(ImplementationYear+(Appraisal_Period-1)),0,'Mode change'!$E$37*$B29)))</f>
        <v>0</v>
      </c>
      <c r="AE29" s="97">
        <f>IF(Option2="No",0,IF($A29&lt;ImplementationYear,0,IF($A29&gt;(ImplementationYear+(Appraisal_Period-1)),0,'Road safety'!$E$22*$B29)))</f>
        <v>0</v>
      </c>
      <c r="AF29" s="97">
        <f>IF(Option2="No",0,IF($A29&lt;ImplementationYear,0,IF($A29&gt;(ImplementationYear+(Appraisal_Period-1)),0,'Reduction in car usage'!$E$46*$B29)))</f>
        <v>0</v>
      </c>
      <c r="AG29" s="97">
        <f>IF(Option2="No",0,IF($A29&lt;ImplementationYear,0,IF($A29&gt;(ImplementationYear+(Appraisal_Period-1)),0,'Reduction in car usage'!$E$47*$B29)))</f>
        <v>0</v>
      </c>
      <c r="AH29" s="97">
        <f>IF(Option2="No",0,IF($A29&lt;ImplementationYear,0,IF($A29&gt;(ImplementationYear+(Appraisal_Period-1)),0,'Reduction in car usage'!$E$48*$B29)))</f>
        <v>0</v>
      </c>
      <c r="AJ29" s="94">
        <f>IF(Option3="No",0,IF($A29=ImplementationYear,('Project details'!$P$10-'Project details'!$D$10)*VLOOKUP(Year_cost_estimate,'Time-series parameters'!$B$11:$C$89,2,FALSE)*$B29*(1+Contingency),0))</f>
        <v>0</v>
      </c>
      <c r="AK29" s="94">
        <f>IF(Option3="No",0,IF($A29&lt;ImplementationYear,0,IF($A29&gt;(ImplementationYear+(Appraisal_Period-1)),0,('Project details'!$P$11-'Project details'!$D$11)*VLOOKUP(Year_cost_estimate,'Time-series parameters'!$B$11:$C$89,2,0))*$B29))</f>
        <v>0</v>
      </c>
      <c r="AL29" s="94">
        <f>IF(Option3="No",0,IF($A29=ImplementationYear,('Project details'!$P$12-'Project details'!$D$12)*VLOOKUP(Year_cost_estimate,'Time-series parameters'!$B$11:$C$89,2,FALSE)*$B29,0))</f>
        <v>0</v>
      </c>
      <c r="AM29" s="97">
        <f>IF(Option3="No",0,IF($A29&lt;ImplementationYear,0,IF($A29&gt;(ImplementationYear+(Appraisal_Period-1)),0,Health!$F$21*$B29)))</f>
        <v>0</v>
      </c>
      <c r="AN29" s="97">
        <f>IF(Option3="No",0,IF($A29&lt;ImplementationYear,0,IF($A29&gt;(ImplementationYear+(Appraisal_Period-1)),0,Health!$F$22*$B29)))</f>
        <v>0</v>
      </c>
      <c r="AO29" s="97">
        <f>IF(Option3="No",0,IF($A29&lt;ImplementationYear,0,IF($A29&gt;(ImplementationYear+(Appraisal_Period-1)),0,SUM('Travel time'!$F$22:$F$23)*$B29)))</f>
        <v>0</v>
      </c>
      <c r="AP29" s="97">
        <f>IF(Option3="No",0,IF($A29&lt;ImplementationYear,0,IF($A29&gt;(ImplementationYear+(Appraisal_Period-1)),0,SUM('Travel time'!$F$20:$F$21)*$B29)))</f>
        <v>0</v>
      </c>
      <c r="AQ29" s="97">
        <f>IF(Option3="No",0,IF($A29&lt;ImplementationYear,0,IF($A29&gt;(ImplementationYear+(Appraisal_Period-1)),0,SUM(Quality!$F$22:$F$23)*$B29)))</f>
        <v>0</v>
      </c>
      <c r="AR29" s="97">
        <f>IF(Option3="No",0,IF($A29&lt;ImplementationYear,0,IF($A29&gt;(ImplementationYear+(Appraisal_Period-1)),0,SUM(Quality!$F$20:$F$21)*$B29)))</f>
        <v>0</v>
      </c>
      <c r="AS29" s="97">
        <f>IF(Option3="No",0,IF($A29&lt;ImplementationYear,0,IF($A29&gt;(ImplementationYear+(Appraisal_Period-1)),0,'Mode change'!$F$36*$B29)))</f>
        <v>0</v>
      </c>
      <c r="AT29" s="97">
        <f>IF(Option3="No",0,IF($A29&lt;ImplementationYear,0,IF($A29&gt;(ImplementationYear+(Appraisal_Period-1)),0,'Mode change'!$F$37*$B29)))</f>
        <v>0</v>
      </c>
      <c r="AU29" s="97">
        <f>IF(Option3="No",0,IF($A29&lt;ImplementationYear,0,IF($A29&gt;(ImplementationYear+(Appraisal_Period-1)),0,'Road safety'!$F$22*$B29)))</f>
        <v>0</v>
      </c>
      <c r="AV29" s="97">
        <f>IF(Option3="No",0,IF($A29&lt;ImplementationYear,0,IF($A29&gt;(ImplementationYear+(Appraisal_Period-1)),0,'Reduction in car usage'!$F$46*$B29)))</f>
        <v>0</v>
      </c>
      <c r="AW29" s="97">
        <f>IF(Option3="No",0,IF($A29&lt;ImplementationYear,0,IF($A29&gt;(ImplementationYear+(Appraisal_Period-1)),0,'Reduction in car usage'!$F$47*$B29)))</f>
        <v>0</v>
      </c>
      <c r="AX29" s="97">
        <f>IF(Option3="No",0,IF($A29&lt;ImplementationYear,0,IF($A29&gt;(ImplementationYear+(Appraisal_Period-1)),0,'Reduction in car usage'!$F$48*$B29)))</f>
        <v>0</v>
      </c>
    </row>
    <row r="30" spans="1:50">
      <c r="A30" s="335">
        <v>2025</v>
      </c>
      <c r="B30" s="62">
        <f>VLOOKUP($A30,'Time-series parameters'!$E$11:$H$89,2,FALSE)</f>
        <v>0.31119283051109237</v>
      </c>
      <c r="C30" s="89"/>
      <c r="D30" s="94">
        <f>IF(Option1="No",0,IF($A30=ImplementationYear,('Project details'!$H$10-'Project details'!$D$10)*VLOOKUP(Year_cost_estimate,'Time-series parameters'!$B$11:$C$89,2,FALSE)*$B30*(1+Contingency),0))</f>
        <v>0</v>
      </c>
      <c r="E30" s="94">
        <f>IF(Option1="No",0,IF($A30&lt;ImplementationYear,0,IF($A30&gt;(ImplementationYear+(Appraisal_Period-1)),0,('Project details'!$H$11-'Project details'!$D$11)*VLOOKUP(Year_cost_estimate,'Time-series parameters'!$B$11:$C$89,2,0))*$B30))</f>
        <v>0</v>
      </c>
      <c r="F30" s="94">
        <f>IF(Option1="No",0,IF($A30=ImplementationYear,('Project details'!$H$12-'Project details'!$D$12)*VLOOKUP(Year_cost_estimate,'Time-series parameters'!$B$11:$C$89,2,FALSE)*$B30,0))</f>
        <v>0</v>
      </c>
      <c r="G30" s="97">
        <f>IF(Option1="No",0,IF($A30&lt;ImplementationYear,0,IF($A30&gt;(ImplementationYear+(Appraisal_Period-1)),0,Health!$D$21*$B30)))</f>
        <v>0</v>
      </c>
      <c r="H30" s="97">
        <f>IF(Option1="No",0,IF($A30&lt;ImplementationYear,0,IF($A30&gt;(ImplementationYear+(Appraisal_Period-1)),0,Health!$D$22*$B30)))</f>
        <v>0</v>
      </c>
      <c r="I30" s="97">
        <f>IF(Option1="No",0,IF($A30&lt;ImplementationYear,0,IF($A30&gt;(ImplementationYear+(Appraisal_Period-1)),0,SUM('Travel time'!$D$22:$D$23)*$B30)))</f>
        <v>0</v>
      </c>
      <c r="J30" s="97">
        <f>IF(Option1="No",0,IF($A30&lt;ImplementationYear,0,IF($A30&gt;(ImplementationYear+(Appraisal_Period-1)),0,SUM('Travel time'!$D$20:$D$21)*$B30)))</f>
        <v>0</v>
      </c>
      <c r="K30" s="97">
        <f>IF(Option1="No",0,IF($A30&lt;ImplementationYear,0,IF($A30&gt;(ImplementationYear+(Appraisal_Period-1)),0,SUM(Quality!$D$22:$D$23)*$B30)))</f>
        <v>0</v>
      </c>
      <c r="L30" s="97">
        <f>IF(Option1="No",0,IF($A30&lt;ImplementationYear,0,IF($A30&gt;(ImplementationYear+(Appraisal_Period-1)),0,SUM(Quality!$D$20:$D$21)*$B30)))</f>
        <v>0</v>
      </c>
      <c r="M30" s="97">
        <f>IF(Option1="No",0,IF($A30&lt;ImplementationYear,0,IF($A30&gt;(ImplementationYear+(Appraisal_Period-1)),0,'Mode change'!$D$36*$B30)))</f>
        <v>0</v>
      </c>
      <c r="N30" s="97">
        <f>IF(Option1="No",0,IF($A30&lt;ImplementationYear,0,IF($A30&gt;(ImplementationYear+(Appraisal_Period-1)),0,'Mode change'!$D$37*$B30)))</f>
        <v>0</v>
      </c>
      <c r="O30" s="97">
        <f>IF(Option1="No",0,IF($A30&lt;ImplementationYear,0,IF($A30&gt;(ImplementationYear+(Appraisal_Period-1)),0,'Road safety'!$D$22*$B30)))</f>
        <v>0</v>
      </c>
      <c r="P30" s="97">
        <f>IF(Option1="No",0,IF($A30&lt;ImplementationYear,0,IF($A30&gt;(ImplementationYear+(Appraisal_Period-1)),0,'Reduction in car usage'!$D$46*$B30)))</f>
        <v>0</v>
      </c>
      <c r="Q30" s="97">
        <f>IF(Option1="No",0,IF($A30&lt;ImplementationYear,0,IF($A30&gt;(ImplementationYear+(Appraisal_Period-1)),0,'Reduction in car usage'!$D$47*$B30)))</f>
        <v>0</v>
      </c>
      <c r="R30" s="97">
        <f>IF(Option1="No",0,IF($A30&lt;ImplementationYear,0,IF($A30&gt;(ImplementationYear+(Appraisal_Period-1)),0,'Reduction in car usage'!$D$48*$B30)))</f>
        <v>0</v>
      </c>
      <c r="S30" s="92"/>
      <c r="T30" s="94">
        <f>IF(Option2="No",0,IF($A30=ImplementationYear,('Project details'!$L$10-'Project details'!$D$10)*VLOOKUP(Year_cost_estimate,'Time-series parameters'!$B$11:$C$89,2,FALSE)*$B30*(1+Contingency),0))</f>
        <v>0</v>
      </c>
      <c r="U30" s="94">
        <f>IF(Option2="No",0,IF($A30&lt;ImplementationYear,0,IF($A30&gt;(ImplementationYear+(Appraisal_Period-1)),0,('Project details'!$L$11-'Project details'!$D$11)*VLOOKUP(Year_cost_estimate,'Time-series parameters'!$B$11:$C$89,2,0))*$B30))</f>
        <v>0</v>
      </c>
      <c r="V30" s="94">
        <f>IF(Option2="No",0,IF($A30=ImplementationYear,('Project details'!$L$12-'Project details'!$D$12)*VLOOKUP(Year_cost_estimate,'Time-series parameters'!$B$11:$C$89,2,FALSE)*$B30,0))</f>
        <v>0</v>
      </c>
      <c r="W30" s="97">
        <f>IF(Option2="No",0,IF($A30&lt;ImplementationYear,0,IF($A30&gt;(ImplementationYear+(Appraisal_Period-1)),0,Health!$E$21*$B30)))</f>
        <v>0</v>
      </c>
      <c r="X30" s="97">
        <f>IF(Option2="No",0,IF($A30&lt;ImplementationYear,0,IF($A30&gt;(ImplementationYear+(Appraisal_Period-1)),0,Health!$E$22*$B30)))</f>
        <v>0</v>
      </c>
      <c r="Y30" s="97">
        <f>IF(Option2="No",0,IF($A30&lt;ImplementationYear,0,IF($A30&gt;(ImplementationYear+(Appraisal_Period-1)),0,SUM('Travel time'!$E$22:$E$23)*$B30)))</f>
        <v>0</v>
      </c>
      <c r="Z30" s="97">
        <f>IF(Option2="No",0,IF($A30&lt;ImplementationYear,0,IF($A30&gt;(ImplementationYear+(Appraisal_Period-1)),0,SUM('Travel time'!$E$20:$E$21)*$B30)))</f>
        <v>0</v>
      </c>
      <c r="AA30" s="97">
        <f>IF(Option2="No",0,IF($A30&lt;ImplementationYear,0,IF($A30&gt;(ImplementationYear+(Appraisal_Period-1)),0,SUM(Quality!$E$22:$E$23)*$B30)))</f>
        <v>0</v>
      </c>
      <c r="AB30" s="97">
        <f>IF(Option2="No",0,IF($A30&lt;ImplementationYear,0,IF($A30&gt;(ImplementationYear+(Appraisal_Period-1)),0,SUM(Quality!$E$20:$E$21)*$B30)))</f>
        <v>0</v>
      </c>
      <c r="AC30" s="97">
        <f>IF(Option2="No",0,IF($A30&lt;ImplementationYear,0,IF($A30&gt;(ImplementationYear+(Appraisal_Period-1)),0,'Mode change'!$E$36*$B30)))</f>
        <v>0</v>
      </c>
      <c r="AD30" s="97">
        <f>IF(Option2="No",0,IF($A30&lt;ImplementationYear,0,IF($A30&gt;(ImplementationYear+(Appraisal_Period-1)),0,'Mode change'!$E$37*$B30)))</f>
        <v>0</v>
      </c>
      <c r="AE30" s="97">
        <f>IF(Option2="No",0,IF($A30&lt;ImplementationYear,0,IF($A30&gt;(ImplementationYear+(Appraisal_Period-1)),0,'Road safety'!$E$22*$B30)))</f>
        <v>0</v>
      </c>
      <c r="AF30" s="97">
        <f>IF(Option2="No",0,IF($A30&lt;ImplementationYear,0,IF($A30&gt;(ImplementationYear+(Appraisal_Period-1)),0,'Reduction in car usage'!$E$46*$B30)))</f>
        <v>0</v>
      </c>
      <c r="AG30" s="97">
        <f>IF(Option2="No",0,IF($A30&lt;ImplementationYear,0,IF($A30&gt;(ImplementationYear+(Appraisal_Period-1)),0,'Reduction in car usage'!$E$47*$B30)))</f>
        <v>0</v>
      </c>
      <c r="AH30" s="97">
        <f>IF(Option2="No",0,IF($A30&lt;ImplementationYear,0,IF($A30&gt;(ImplementationYear+(Appraisal_Period-1)),0,'Reduction in car usage'!$E$48*$B30)))</f>
        <v>0</v>
      </c>
      <c r="AJ30" s="94">
        <f>IF(Option3="No",0,IF($A30=ImplementationYear,('Project details'!$P$10-'Project details'!$D$10)*VLOOKUP(Year_cost_estimate,'Time-series parameters'!$B$11:$C$89,2,FALSE)*$B30*(1+Contingency),0))</f>
        <v>0</v>
      </c>
      <c r="AK30" s="94">
        <f>IF(Option3="No",0,IF($A30&lt;ImplementationYear,0,IF($A30&gt;(ImplementationYear+(Appraisal_Period-1)),0,('Project details'!$P$11-'Project details'!$D$11)*VLOOKUP(Year_cost_estimate,'Time-series parameters'!$B$11:$C$89,2,0))*$B30))</f>
        <v>0</v>
      </c>
      <c r="AL30" s="94">
        <f>IF(Option3="No",0,IF($A30=ImplementationYear,('Project details'!$P$12-'Project details'!$D$12)*VLOOKUP(Year_cost_estimate,'Time-series parameters'!$B$11:$C$89,2,FALSE)*$B30,0))</f>
        <v>0</v>
      </c>
      <c r="AM30" s="97">
        <f>IF(Option3="No",0,IF($A30&lt;ImplementationYear,0,IF($A30&gt;(ImplementationYear+(Appraisal_Period-1)),0,Health!$F$21*$B30)))</f>
        <v>0</v>
      </c>
      <c r="AN30" s="97">
        <f>IF(Option3="No",0,IF($A30&lt;ImplementationYear,0,IF($A30&gt;(ImplementationYear+(Appraisal_Period-1)),0,Health!$F$22*$B30)))</f>
        <v>0</v>
      </c>
      <c r="AO30" s="97">
        <f>IF(Option3="No",0,IF($A30&lt;ImplementationYear,0,IF($A30&gt;(ImplementationYear+(Appraisal_Period-1)),0,SUM('Travel time'!$F$22:$F$23)*$B30)))</f>
        <v>0</v>
      </c>
      <c r="AP30" s="97">
        <f>IF(Option3="No",0,IF($A30&lt;ImplementationYear,0,IF($A30&gt;(ImplementationYear+(Appraisal_Period-1)),0,SUM('Travel time'!$F$20:$F$21)*$B30)))</f>
        <v>0</v>
      </c>
      <c r="AQ30" s="97">
        <f>IF(Option3="No",0,IF($A30&lt;ImplementationYear,0,IF($A30&gt;(ImplementationYear+(Appraisal_Period-1)),0,SUM(Quality!$F$22:$F$23)*$B30)))</f>
        <v>0</v>
      </c>
      <c r="AR30" s="97">
        <f>IF(Option3="No",0,IF($A30&lt;ImplementationYear,0,IF($A30&gt;(ImplementationYear+(Appraisal_Period-1)),0,SUM(Quality!$F$20:$F$21)*$B30)))</f>
        <v>0</v>
      </c>
      <c r="AS30" s="97">
        <f>IF(Option3="No",0,IF($A30&lt;ImplementationYear,0,IF($A30&gt;(ImplementationYear+(Appraisal_Period-1)),0,'Mode change'!$F$36*$B30)))</f>
        <v>0</v>
      </c>
      <c r="AT30" s="97">
        <f>IF(Option3="No",0,IF($A30&lt;ImplementationYear,0,IF($A30&gt;(ImplementationYear+(Appraisal_Period-1)),0,'Mode change'!$F$37*$B30)))</f>
        <v>0</v>
      </c>
      <c r="AU30" s="97">
        <f>IF(Option3="No",0,IF($A30&lt;ImplementationYear,0,IF($A30&gt;(ImplementationYear+(Appraisal_Period-1)),0,'Road safety'!$F$22*$B30)))</f>
        <v>0</v>
      </c>
      <c r="AV30" s="97">
        <f>IF(Option3="No",0,IF($A30&lt;ImplementationYear,0,IF($A30&gt;(ImplementationYear+(Appraisal_Period-1)),0,'Reduction in car usage'!$F$46*$B30)))</f>
        <v>0</v>
      </c>
      <c r="AW30" s="97">
        <f>IF(Option3="No",0,IF($A30&lt;ImplementationYear,0,IF($A30&gt;(ImplementationYear+(Appraisal_Period-1)),0,'Reduction in car usage'!$F$47*$B30)))</f>
        <v>0</v>
      </c>
      <c r="AX30" s="97">
        <f>IF(Option3="No",0,IF($A30&lt;ImplementationYear,0,IF($A30&gt;(ImplementationYear+(Appraisal_Period-1)),0,'Reduction in car usage'!$F$48*$B30)))</f>
        <v>0</v>
      </c>
    </row>
    <row r="31" spans="1:50">
      <c r="A31" s="335">
        <v>2026</v>
      </c>
      <c r="B31" s="62">
        <f>VLOOKUP($A31,'Time-series parameters'!$E$11:$H$89,2,FALSE)</f>
        <v>0.28629740407020499</v>
      </c>
      <c r="C31" s="89"/>
      <c r="D31" s="94">
        <f>IF(Option1="No",0,IF($A31=ImplementationYear,('Project details'!$H$10-'Project details'!$D$10)*VLOOKUP(Year_cost_estimate,'Time-series parameters'!$B$11:$C$89,2,FALSE)*$B31*(1+Contingency),0))</f>
        <v>0</v>
      </c>
      <c r="E31" s="94">
        <f>IF(Option1="No",0,IF($A31&lt;ImplementationYear,0,IF($A31&gt;(ImplementationYear+(Appraisal_Period-1)),0,('Project details'!$H$11-'Project details'!$D$11)*VLOOKUP(Year_cost_estimate,'Time-series parameters'!$B$11:$C$89,2,0))*$B31))</f>
        <v>0</v>
      </c>
      <c r="F31" s="94">
        <f>IF(Option1="No",0,IF($A31=ImplementationYear,('Project details'!$H$12-'Project details'!$D$12)*VLOOKUP(Year_cost_estimate,'Time-series parameters'!$B$11:$C$89,2,FALSE)*$B31,0))</f>
        <v>0</v>
      </c>
      <c r="G31" s="97">
        <f>IF(Option1="No",0,IF($A31&lt;ImplementationYear,0,IF($A31&gt;(ImplementationYear+(Appraisal_Period-1)),0,Health!$D$21*$B31)))</f>
        <v>0</v>
      </c>
      <c r="H31" s="97">
        <f>IF(Option1="No",0,IF($A31&lt;ImplementationYear,0,IF($A31&gt;(ImplementationYear+(Appraisal_Period-1)),0,Health!$D$22*$B31)))</f>
        <v>0</v>
      </c>
      <c r="I31" s="97">
        <f>IF(Option1="No",0,IF($A31&lt;ImplementationYear,0,IF($A31&gt;(ImplementationYear+(Appraisal_Period-1)),0,SUM('Travel time'!$D$22:$D$23)*$B31)))</f>
        <v>0</v>
      </c>
      <c r="J31" s="97">
        <f>IF(Option1="No",0,IF($A31&lt;ImplementationYear,0,IF($A31&gt;(ImplementationYear+(Appraisal_Period-1)),0,SUM('Travel time'!$D$20:$D$21)*$B31)))</f>
        <v>0</v>
      </c>
      <c r="K31" s="97">
        <f>IF(Option1="No",0,IF($A31&lt;ImplementationYear,0,IF($A31&gt;(ImplementationYear+(Appraisal_Period-1)),0,SUM(Quality!$D$22:$D$23)*$B31)))</f>
        <v>0</v>
      </c>
      <c r="L31" s="97">
        <f>IF(Option1="No",0,IF($A31&lt;ImplementationYear,0,IF($A31&gt;(ImplementationYear+(Appraisal_Period-1)),0,SUM(Quality!$D$20:$D$21)*$B31)))</f>
        <v>0</v>
      </c>
      <c r="M31" s="97">
        <f>IF(Option1="No",0,IF($A31&lt;ImplementationYear,0,IF($A31&gt;(ImplementationYear+(Appraisal_Period-1)),0,'Mode change'!$D$36*$B31)))</f>
        <v>0</v>
      </c>
      <c r="N31" s="97">
        <f>IF(Option1="No",0,IF($A31&lt;ImplementationYear,0,IF($A31&gt;(ImplementationYear+(Appraisal_Period-1)),0,'Mode change'!$D$37*$B31)))</f>
        <v>0</v>
      </c>
      <c r="O31" s="97">
        <f>IF(Option1="No",0,IF($A31&lt;ImplementationYear,0,IF($A31&gt;(ImplementationYear+(Appraisal_Period-1)),0,'Road safety'!$D$22*$B31)))</f>
        <v>0</v>
      </c>
      <c r="P31" s="97">
        <f>IF(Option1="No",0,IF($A31&lt;ImplementationYear,0,IF($A31&gt;(ImplementationYear+(Appraisal_Period-1)),0,'Reduction in car usage'!$D$46*$B31)))</f>
        <v>0</v>
      </c>
      <c r="Q31" s="97">
        <f>IF(Option1="No",0,IF($A31&lt;ImplementationYear,0,IF($A31&gt;(ImplementationYear+(Appraisal_Period-1)),0,'Reduction in car usage'!$D$47*$B31)))</f>
        <v>0</v>
      </c>
      <c r="R31" s="97">
        <f>IF(Option1="No",0,IF($A31&lt;ImplementationYear,0,IF($A31&gt;(ImplementationYear+(Appraisal_Period-1)),0,'Reduction in car usage'!$D$48*$B31)))</f>
        <v>0</v>
      </c>
      <c r="S31" s="92"/>
      <c r="T31" s="94">
        <f>IF(Option2="No",0,IF($A31=ImplementationYear,('Project details'!$L$10-'Project details'!$D$10)*VLOOKUP(Year_cost_estimate,'Time-series parameters'!$B$11:$C$89,2,FALSE)*$B31*(1+Contingency),0))</f>
        <v>0</v>
      </c>
      <c r="U31" s="94">
        <f>IF(Option2="No",0,IF($A31&lt;ImplementationYear,0,IF($A31&gt;(ImplementationYear+(Appraisal_Period-1)),0,('Project details'!$L$11-'Project details'!$D$11)*VLOOKUP(Year_cost_estimate,'Time-series parameters'!$B$11:$C$89,2,0))*$B31))</f>
        <v>0</v>
      </c>
      <c r="V31" s="94">
        <f>IF(Option2="No",0,IF($A31=ImplementationYear,('Project details'!$L$12-'Project details'!$D$12)*VLOOKUP(Year_cost_estimate,'Time-series parameters'!$B$11:$C$89,2,FALSE)*$B31,0))</f>
        <v>0</v>
      </c>
      <c r="W31" s="97">
        <f>IF(Option2="No",0,IF($A31&lt;ImplementationYear,0,IF($A31&gt;(ImplementationYear+(Appraisal_Period-1)),0,Health!$E$21*$B31)))</f>
        <v>0</v>
      </c>
      <c r="X31" s="97">
        <f>IF(Option2="No",0,IF($A31&lt;ImplementationYear,0,IF($A31&gt;(ImplementationYear+(Appraisal_Period-1)),0,Health!$E$22*$B31)))</f>
        <v>0</v>
      </c>
      <c r="Y31" s="97">
        <f>IF(Option2="No",0,IF($A31&lt;ImplementationYear,0,IF($A31&gt;(ImplementationYear+(Appraisal_Period-1)),0,SUM('Travel time'!$E$22:$E$23)*$B31)))</f>
        <v>0</v>
      </c>
      <c r="Z31" s="97">
        <f>IF(Option2="No",0,IF($A31&lt;ImplementationYear,0,IF($A31&gt;(ImplementationYear+(Appraisal_Period-1)),0,SUM('Travel time'!$E$20:$E$21)*$B31)))</f>
        <v>0</v>
      </c>
      <c r="AA31" s="97">
        <f>IF(Option2="No",0,IF($A31&lt;ImplementationYear,0,IF($A31&gt;(ImplementationYear+(Appraisal_Period-1)),0,SUM(Quality!$E$22:$E$23)*$B31)))</f>
        <v>0</v>
      </c>
      <c r="AB31" s="97">
        <f>IF(Option2="No",0,IF($A31&lt;ImplementationYear,0,IF($A31&gt;(ImplementationYear+(Appraisal_Period-1)),0,SUM(Quality!$E$20:$E$21)*$B31)))</f>
        <v>0</v>
      </c>
      <c r="AC31" s="97">
        <f>IF(Option2="No",0,IF($A31&lt;ImplementationYear,0,IF($A31&gt;(ImplementationYear+(Appraisal_Period-1)),0,'Mode change'!$E$36*$B31)))</f>
        <v>0</v>
      </c>
      <c r="AD31" s="97">
        <f>IF(Option2="No",0,IF($A31&lt;ImplementationYear,0,IF($A31&gt;(ImplementationYear+(Appraisal_Period-1)),0,'Mode change'!$E$37*$B31)))</f>
        <v>0</v>
      </c>
      <c r="AE31" s="97">
        <f>IF(Option2="No",0,IF($A31&lt;ImplementationYear,0,IF($A31&gt;(ImplementationYear+(Appraisal_Period-1)),0,'Road safety'!$E$22*$B31)))</f>
        <v>0</v>
      </c>
      <c r="AF31" s="97">
        <f>IF(Option2="No",0,IF($A31&lt;ImplementationYear,0,IF($A31&gt;(ImplementationYear+(Appraisal_Period-1)),0,'Reduction in car usage'!$E$46*$B31)))</f>
        <v>0</v>
      </c>
      <c r="AG31" s="97">
        <f>IF(Option2="No",0,IF($A31&lt;ImplementationYear,0,IF($A31&gt;(ImplementationYear+(Appraisal_Period-1)),0,'Reduction in car usage'!$E$47*$B31)))</f>
        <v>0</v>
      </c>
      <c r="AH31" s="97">
        <f>IF(Option2="No",0,IF($A31&lt;ImplementationYear,0,IF($A31&gt;(ImplementationYear+(Appraisal_Period-1)),0,'Reduction in car usage'!$E$48*$B31)))</f>
        <v>0</v>
      </c>
      <c r="AJ31" s="94">
        <f>IF(Option3="No",0,IF($A31=ImplementationYear,('Project details'!$P$10-'Project details'!$D$10)*VLOOKUP(Year_cost_estimate,'Time-series parameters'!$B$11:$C$89,2,FALSE)*$B31*(1+Contingency),0))</f>
        <v>0</v>
      </c>
      <c r="AK31" s="94">
        <f>IF(Option3="No",0,IF($A31&lt;ImplementationYear,0,IF($A31&gt;(ImplementationYear+(Appraisal_Period-1)),0,('Project details'!$P$11-'Project details'!$D$11)*VLOOKUP(Year_cost_estimate,'Time-series parameters'!$B$11:$C$89,2,0))*$B31))</f>
        <v>0</v>
      </c>
      <c r="AL31" s="94">
        <f>IF(Option3="No",0,IF($A31=ImplementationYear,('Project details'!$P$12-'Project details'!$D$12)*VLOOKUP(Year_cost_estimate,'Time-series parameters'!$B$11:$C$89,2,FALSE)*$B31,0))</f>
        <v>0</v>
      </c>
      <c r="AM31" s="97">
        <f>IF(Option3="No",0,IF($A31&lt;ImplementationYear,0,IF($A31&gt;(ImplementationYear+(Appraisal_Period-1)),0,Health!$F$21*$B31)))</f>
        <v>0</v>
      </c>
      <c r="AN31" s="97">
        <f>IF(Option3="No",0,IF($A31&lt;ImplementationYear,0,IF($A31&gt;(ImplementationYear+(Appraisal_Period-1)),0,Health!$F$22*$B31)))</f>
        <v>0</v>
      </c>
      <c r="AO31" s="97">
        <f>IF(Option3="No",0,IF($A31&lt;ImplementationYear,0,IF($A31&gt;(ImplementationYear+(Appraisal_Period-1)),0,SUM('Travel time'!$F$22:$F$23)*$B31)))</f>
        <v>0</v>
      </c>
      <c r="AP31" s="97">
        <f>IF(Option3="No",0,IF($A31&lt;ImplementationYear,0,IF($A31&gt;(ImplementationYear+(Appraisal_Period-1)),0,SUM('Travel time'!$F$20:$F$21)*$B31)))</f>
        <v>0</v>
      </c>
      <c r="AQ31" s="97">
        <f>IF(Option3="No",0,IF($A31&lt;ImplementationYear,0,IF($A31&gt;(ImplementationYear+(Appraisal_Period-1)),0,SUM(Quality!$F$22:$F$23)*$B31)))</f>
        <v>0</v>
      </c>
      <c r="AR31" s="97">
        <f>IF(Option3="No",0,IF($A31&lt;ImplementationYear,0,IF($A31&gt;(ImplementationYear+(Appraisal_Period-1)),0,SUM(Quality!$F$20:$F$21)*$B31)))</f>
        <v>0</v>
      </c>
      <c r="AS31" s="97">
        <f>IF(Option3="No",0,IF($A31&lt;ImplementationYear,0,IF($A31&gt;(ImplementationYear+(Appraisal_Period-1)),0,'Mode change'!$F$36*$B31)))</f>
        <v>0</v>
      </c>
      <c r="AT31" s="97">
        <f>IF(Option3="No",0,IF($A31&lt;ImplementationYear,0,IF($A31&gt;(ImplementationYear+(Appraisal_Period-1)),0,'Mode change'!$F$37*$B31)))</f>
        <v>0</v>
      </c>
      <c r="AU31" s="97">
        <f>IF(Option3="No",0,IF($A31&lt;ImplementationYear,0,IF($A31&gt;(ImplementationYear+(Appraisal_Period-1)),0,'Road safety'!$F$22*$B31)))</f>
        <v>0</v>
      </c>
      <c r="AV31" s="97">
        <f>IF(Option3="No",0,IF($A31&lt;ImplementationYear,0,IF($A31&gt;(ImplementationYear+(Appraisal_Period-1)),0,'Reduction in car usage'!$F$46*$B31)))</f>
        <v>0</v>
      </c>
      <c r="AW31" s="97">
        <f>IF(Option3="No",0,IF($A31&lt;ImplementationYear,0,IF($A31&gt;(ImplementationYear+(Appraisal_Period-1)),0,'Reduction in car usage'!$F$47*$B31)))</f>
        <v>0</v>
      </c>
      <c r="AX31" s="97">
        <f>IF(Option3="No",0,IF($A31&lt;ImplementationYear,0,IF($A31&gt;(ImplementationYear+(Appraisal_Period-1)),0,'Reduction in car usage'!$F$48*$B31)))</f>
        <v>0</v>
      </c>
    </row>
    <row r="32" spans="1:50">
      <c r="A32" s="335">
        <v>2027</v>
      </c>
      <c r="B32" s="62">
        <f>VLOOKUP($A32,'Time-series parameters'!$E$11:$H$89,2,FALSE)</f>
        <v>0.26339361174458858</v>
      </c>
      <c r="C32" s="89"/>
      <c r="D32" s="94">
        <f>IF(Option1="No",0,IF($A32=ImplementationYear,('Project details'!$H$10-'Project details'!$D$10)*VLOOKUP(Year_cost_estimate,'Time-series parameters'!$B$11:$C$89,2,FALSE)*$B32*(1+Contingency),0))</f>
        <v>0</v>
      </c>
      <c r="E32" s="94">
        <f>IF(Option1="No",0,IF($A32&lt;ImplementationYear,0,IF($A32&gt;(ImplementationYear+(Appraisal_Period-1)),0,('Project details'!$H$11-'Project details'!$D$11)*VLOOKUP(Year_cost_estimate,'Time-series parameters'!$B$11:$C$89,2,0))*$B32))</f>
        <v>0</v>
      </c>
      <c r="F32" s="94">
        <f>IF(Option1="No",0,IF($A32=ImplementationYear,('Project details'!$H$12-'Project details'!$D$12)*VLOOKUP(Year_cost_estimate,'Time-series parameters'!$B$11:$C$89,2,FALSE)*$B32,0))</f>
        <v>0</v>
      </c>
      <c r="G32" s="97">
        <f>IF(Option1="No",0,IF($A32&lt;ImplementationYear,0,IF($A32&gt;(ImplementationYear+(Appraisal_Period-1)),0,Health!$D$21*$B32)))</f>
        <v>0</v>
      </c>
      <c r="H32" s="97">
        <f>IF(Option1="No",0,IF($A32&lt;ImplementationYear,0,IF($A32&gt;(ImplementationYear+(Appraisal_Period-1)),0,Health!$D$22*$B32)))</f>
        <v>0</v>
      </c>
      <c r="I32" s="97">
        <f>IF(Option1="No",0,IF($A32&lt;ImplementationYear,0,IF($A32&gt;(ImplementationYear+(Appraisal_Period-1)),0,SUM('Travel time'!$D$22:$D$23)*$B32)))</f>
        <v>0</v>
      </c>
      <c r="J32" s="97">
        <f>IF(Option1="No",0,IF($A32&lt;ImplementationYear,0,IF($A32&gt;(ImplementationYear+(Appraisal_Period-1)),0,SUM('Travel time'!$D$20:$D$21)*$B32)))</f>
        <v>0</v>
      </c>
      <c r="K32" s="97">
        <f>IF(Option1="No",0,IF($A32&lt;ImplementationYear,0,IF($A32&gt;(ImplementationYear+(Appraisal_Period-1)),0,SUM(Quality!$D$22:$D$23)*$B32)))</f>
        <v>0</v>
      </c>
      <c r="L32" s="97">
        <f>IF(Option1="No",0,IF($A32&lt;ImplementationYear,0,IF($A32&gt;(ImplementationYear+(Appraisal_Period-1)),0,SUM(Quality!$D$20:$D$21)*$B32)))</f>
        <v>0</v>
      </c>
      <c r="M32" s="97">
        <f>IF(Option1="No",0,IF($A32&lt;ImplementationYear,0,IF($A32&gt;(ImplementationYear+(Appraisal_Period-1)),0,'Mode change'!$D$36*$B32)))</f>
        <v>0</v>
      </c>
      <c r="N32" s="97">
        <f>IF(Option1="No",0,IF($A32&lt;ImplementationYear,0,IF($A32&gt;(ImplementationYear+(Appraisal_Period-1)),0,'Mode change'!$D$37*$B32)))</f>
        <v>0</v>
      </c>
      <c r="O32" s="97">
        <f>IF(Option1="No",0,IF($A32&lt;ImplementationYear,0,IF($A32&gt;(ImplementationYear+(Appraisal_Period-1)),0,'Road safety'!$D$22*$B32)))</f>
        <v>0</v>
      </c>
      <c r="P32" s="97">
        <f>IF(Option1="No",0,IF($A32&lt;ImplementationYear,0,IF($A32&gt;(ImplementationYear+(Appraisal_Period-1)),0,'Reduction in car usage'!$D$46*$B32)))</f>
        <v>0</v>
      </c>
      <c r="Q32" s="97">
        <f>IF(Option1="No",0,IF($A32&lt;ImplementationYear,0,IF($A32&gt;(ImplementationYear+(Appraisal_Period-1)),0,'Reduction in car usage'!$D$47*$B32)))</f>
        <v>0</v>
      </c>
      <c r="R32" s="97">
        <f>IF(Option1="No",0,IF($A32&lt;ImplementationYear,0,IF($A32&gt;(ImplementationYear+(Appraisal_Period-1)),0,'Reduction in car usage'!$D$48*$B32)))</f>
        <v>0</v>
      </c>
      <c r="S32" s="92"/>
      <c r="T32" s="94">
        <f>IF(Option2="No",0,IF($A32=ImplementationYear,('Project details'!$L$10-'Project details'!$D$10)*VLOOKUP(Year_cost_estimate,'Time-series parameters'!$B$11:$C$89,2,FALSE)*$B32*(1+Contingency),0))</f>
        <v>0</v>
      </c>
      <c r="U32" s="94">
        <f>IF(Option2="No",0,IF($A32&lt;ImplementationYear,0,IF($A32&gt;(ImplementationYear+(Appraisal_Period-1)),0,('Project details'!$L$11-'Project details'!$D$11)*VLOOKUP(Year_cost_estimate,'Time-series parameters'!$B$11:$C$89,2,0))*$B32))</f>
        <v>0</v>
      </c>
      <c r="V32" s="94">
        <f>IF(Option2="No",0,IF($A32=ImplementationYear,('Project details'!$L$12-'Project details'!$D$12)*VLOOKUP(Year_cost_estimate,'Time-series parameters'!$B$11:$C$89,2,FALSE)*$B32,0))</f>
        <v>0</v>
      </c>
      <c r="W32" s="97">
        <f>IF(Option2="No",0,IF($A32&lt;ImplementationYear,0,IF($A32&gt;(ImplementationYear+(Appraisal_Period-1)),0,Health!$E$21*$B32)))</f>
        <v>0</v>
      </c>
      <c r="X32" s="97">
        <f>IF(Option2="No",0,IF($A32&lt;ImplementationYear,0,IF($A32&gt;(ImplementationYear+(Appraisal_Period-1)),0,Health!$E$22*$B32)))</f>
        <v>0</v>
      </c>
      <c r="Y32" s="97">
        <f>IF(Option2="No",0,IF($A32&lt;ImplementationYear,0,IF($A32&gt;(ImplementationYear+(Appraisal_Period-1)),0,SUM('Travel time'!$E$22:$E$23)*$B32)))</f>
        <v>0</v>
      </c>
      <c r="Z32" s="97">
        <f>IF(Option2="No",0,IF($A32&lt;ImplementationYear,0,IF($A32&gt;(ImplementationYear+(Appraisal_Period-1)),0,SUM('Travel time'!$E$20:$E$21)*$B32)))</f>
        <v>0</v>
      </c>
      <c r="AA32" s="97">
        <f>IF(Option2="No",0,IF($A32&lt;ImplementationYear,0,IF($A32&gt;(ImplementationYear+(Appraisal_Period-1)),0,SUM(Quality!$E$22:$E$23)*$B32)))</f>
        <v>0</v>
      </c>
      <c r="AB32" s="97">
        <f>IF(Option2="No",0,IF($A32&lt;ImplementationYear,0,IF($A32&gt;(ImplementationYear+(Appraisal_Period-1)),0,SUM(Quality!$E$20:$E$21)*$B32)))</f>
        <v>0</v>
      </c>
      <c r="AC32" s="97">
        <f>IF(Option2="No",0,IF($A32&lt;ImplementationYear,0,IF($A32&gt;(ImplementationYear+(Appraisal_Period-1)),0,'Mode change'!$E$36*$B32)))</f>
        <v>0</v>
      </c>
      <c r="AD32" s="97">
        <f>IF(Option2="No",0,IF($A32&lt;ImplementationYear,0,IF($A32&gt;(ImplementationYear+(Appraisal_Period-1)),0,'Mode change'!$E$37*$B32)))</f>
        <v>0</v>
      </c>
      <c r="AE32" s="97">
        <f>IF(Option2="No",0,IF($A32&lt;ImplementationYear,0,IF($A32&gt;(ImplementationYear+(Appraisal_Period-1)),0,'Road safety'!$E$22*$B32)))</f>
        <v>0</v>
      </c>
      <c r="AF32" s="97">
        <f>IF(Option2="No",0,IF($A32&lt;ImplementationYear,0,IF($A32&gt;(ImplementationYear+(Appraisal_Period-1)),0,'Reduction in car usage'!$E$46*$B32)))</f>
        <v>0</v>
      </c>
      <c r="AG32" s="97">
        <f>IF(Option2="No",0,IF($A32&lt;ImplementationYear,0,IF($A32&gt;(ImplementationYear+(Appraisal_Period-1)),0,'Reduction in car usage'!$E$47*$B32)))</f>
        <v>0</v>
      </c>
      <c r="AH32" s="97">
        <f>IF(Option2="No",0,IF($A32&lt;ImplementationYear,0,IF($A32&gt;(ImplementationYear+(Appraisal_Period-1)),0,'Reduction in car usage'!$E$48*$B32)))</f>
        <v>0</v>
      </c>
      <c r="AJ32" s="94">
        <f>IF(Option3="No",0,IF($A32=ImplementationYear,('Project details'!$P$10-'Project details'!$D$10)*VLOOKUP(Year_cost_estimate,'Time-series parameters'!$B$11:$C$89,2,FALSE)*$B32*(1+Contingency),0))</f>
        <v>0</v>
      </c>
      <c r="AK32" s="94">
        <f>IF(Option3="No",0,IF($A32&lt;ImplementationYear,0,IF($A32&gt;(ImplementationYear+(Appraisal_Period-1)),0,('Project details'!$P$11-'Project details'!$D$11)*VLOOKUP(Year_cost_estimate,'Time-series parameters'!$B$11:$C$89,2,0))*$B32))</f>
        <v>0</v>
      </c>
      <c r="AL32" s="94">
        <f>IF(Option3="No",0,IF($A32=ImplementationYear,('Project details'!$P$12-'Project details'!$D$12)*VLOOKUP(Year_cost_estimate,'Time-series parameters'!$B$11:$C$89,2,FALSE)*$B32,0))</f>
        <v>0</v>
      </c>
      <c r="AM32" s="97">
        <f>IF(Option3="No",0,IF($A32&lt;ImplementationYear,0,IF($A32&gt;(ImplementationYear+(Appraisal_Period-1)),0,Health!$F$21*$B32)))</f>
        <v>0</v>
      </c>
      <c r="AN32" s="97">
        <f>IF(Option3="No",0,IF($A32&lt;ImplementationYear,0,IF($A32&gt;(ImplementationYear+(Appraisal_Period-1)),0,Health!$F$22*$B32)))</f>
        <v>0</v>
      </c>
      <c r="AO32" s="97">
        <f>IF(Option3="No",0,IF($A32&lt;ImplementationYear,0,IF($A32&gt;(ImplementationYear+(Appraisal_Period-1)),0,SUM('Travel time'!$F$22:$F$23)*$B32)))</f>
        <v>0</v>
      </c>
      <c r="AP32" s="97">
        <f>IF(Option3="No",0,IF($A32&lt;ImplementationYear,0,IF($A32&gt;(ImplementationYear+(Appraisal_Period-1)),0,SUM('Travel time'!$F$20:$F$21)*$B32)))</f>
        <v>0</v>
      </c>
      <c r="AQ32" s="97">
        <f>IF(Option3="No",0,IF($A32&lt;ImplementationYear,0,IF($A32&gt;(ImplementationYear+(Appraisal_Period-1)),0,SUM(Quality!$F$22:$F$23)*$B32)))</f>
        <v>0</v>
      </c>
      <c r="AR32" s="97">
        <f>IF(Option3="No",0,IF($A32&lt;ImplementationYear,0,IF($A32&gt;(ImplementationYear+(Appraisal_Period-1)),0,SUM(Quality!$F$20:$F$21)*$B32)))</f>
        <v>0</v>
      </c>
      <c r="AS32" s="97">
        <f>IF(Option3="No",0,IF($A32&lt;ImplementationYear,0,IF($A32&gt;(ImplementationYear+(Appraisal_Period-1)),0,'Mode change'!$F$36*$B32)))</f>
        <v>0</v>
      </c>
      <c r="AT32" s="97">
        <f>IF(Option3="No",0,IF($A32&lt;ImplementationYear,0,IF($A32&gt;(ImplementationYear+(Appraisal_Period-1)),0,'Mode change'!$F$37*$B32)))</f>
        <v>0</v>
      </c>
      <c r="AU32" s="97">
        <f>IF(Option3="No",0,IF($A32&lt;ImplementationYear,0,IF($A32&gt;(ImplementationYear+(Appraisal_Period-1)),0,'Road safety'!$F$22*$B32)))</f>
        <v>0</v>
      </c>
      <c r="AV32" s="97">
        <f>IF(Option3="No",0,IF($A32&lt;ImplementationYear,0,IF($A32&gt;(ImplementationYear+(Appraisal_Period-1)),0,'Reduction in car usage'!$F$46*$B32)))</f>
        <v>0</v>
      </c>
      <c r="AW32" s="97">
        <f>IF(Option3="No",0,IF($A32&lt;ImplementationYear,0,IF($A32&gt;(ImplementationYear+(Appraisal_Period-1)),0,'Reduction in car usage'!$F$47*$B32)))</f>
        <v>0</v>
      </c>
      <c r="AX32" s="97">
        <f>IF(Option3="No",0,IF($A32&lt;ImplementationYear,0,IF($A32&gt;(ImplementationYear+(Appraisal_Period-1)),0,'Reduction in car usage'!$F$48*$B32)))</f>
        <v>0</v>
      </c>
    </row>
    <row r="33" spans="1:50">
      <c r="A33" s="335">
        <v>2028</v>
      </c>
      <c r="B33" s="62">
        <f>VLOOKUP($A33,'Time-series parameters'!$E$11:$H$89,2,FALSE)</f>
        <v>0.24232212280502149</v>
      </c>
      <c r="C33" s="89"/>
      <c r="D33" s="94">
        <f>IF(Option1="No",0,IF($A33=ImplementationYear,('Project details'!$H$10-'Project details'!$D$10)*VLOOKUP(Year_cost_estimate,'Time-series parameters'!$B$11:$C$89,2,FALSE)*$B33*(1+Contingency),0))</f>
        <v>0</v>
      </c>
      <c r="E33" s="94">
        <f>IF(Option1="No",0,IF($A33&lt;ImplementationYear,0,IF($A33&gt;(ImplementationYear+(Appraisal_Period-1)),0,('Project details'!$H$11-'Project details'!$D$11)*VLOOKUP(Year_cost_estimate,'Time-series parameters'!$B$11:$C$89,2,0))*$B33))</f>
        <v>0</v>
      </c>
      <c r="F33" s="94">
        <f>IF(Option1="No",0,IF($A33=ImplementationYear,('Project details'!$H$12-'Project details'!$D$12)*VLOOKUP(Year_cost_estimate,'Time-series parameters'!$B$11:$C$89,2,FALSE)*$B33,0))</f>
        <v>0</v>
      </c>
      <c r="G33" s="97">
        <f>IF(Option1="No",0,IF($A33&lt;ImplementationYear,0,IF($A33&gt;(ImplementationYear+(Appraisal_Period-1)),0,Health!$D$21*$B33)))</f>
        <v>0</v>
      </c>
      <c r="H33" s="97">
        <f>IF(Option1="No",0,IF($A33&lt;ImplementationYear,0,IF($A33&gt;(ImplementationYear+(Appraisal_Period-1)),0,Health!$D$22*$B33)))</f>
        <v>0</v>
      </c>
      <c r="I33" s="97">
        <f>IF(Option1="No",0,IF($A33&lt;ImplementationYear,0,IF($A33&gt;(ImplementationYear+(Appraisal_Period-1)),0,SUM('Travel time'!$D$22:$D$23)*$B33)))</f>
        <v>0</v>
      </c>
      <c r="J33" s="97">
        <f>IF(Option1="No",0,IF($A33&lt;ImplementationYear,0,IF($A33&gt;(ImplementationYear+(Appraisal_Period-1)),0,SUM('Travel time'!$D$20:$D$21)*$B33)))</f>
        <v>0</v>
      </c>
      <c r="K33" s="97">
        <f>IF(Option1="No",0,IF($A33&lt;ImplementationYear,0,IF($A33&gt;(ImplementationYear+(Appraisal_Period-1)),0,SUM(Quality!$D$22:$D$23)*$B33)))</f>
        <v>0</v>
      </c>
      <c r="L33" s="97">
        <f>IF(Option1="No",0,IF($A33&lt;ImplementationYear,0,IF($A33&gt;(ImplementationYear+(Appraisal_Period-1)),0,SUM(Quality!$D$20:$D$21)*$B33)))</f>
        <v>0</v>
      </c>
      <c r="M33" s="97">
        <f>IF(Option1="No",0,IF($A33&lt;ImplementationYear,0,IF($A33&gt;(ImplementationYear+(Appraisal_Period-1)),0,'Mode change'!$D$36*$B33)))</f>
        <v>0</v>
      </c>
      <c r="N33" s="97">
        <f>IF(Option1="No",0,IF($A33&lt;ImplementationYear,0,IF($A33&gt;(ImplementationYear+(Appraisal_Period-1)),0,'Mode change'!$D$37*$B33)))</f>
        <v>0</v>
      </c>
      <c r="O33" s="97">
        <f>IF(Option1="No",0,IF($A33&lt;ImplementationYear,0,IF($A33&gt;(ImplementationYear+(Appraisal_Period-1)),0,'Road safety'!$D$22*$B33)))</f>
        <v>0</v>
      </c>
      <c r="P33" s="97">
        <f>IF(Option1="No",0,IF($A33&lt;ImplementationYear,0,IF($A33&gt;(ImplementationYear+(Appraisal_Period-1)),0,'Reduction in car usage'!$D$46*$B33)))</f>
        <v>0</v>
      </c>
      <c r="Q33" s="97">
        <f>IF(Option1="No",0,IF($A33&lt;ImplementationYear,0,IF($A33&gt;(ImplementationYear+(Appraisal_Period-1)),0,'Reduction in car usage'!$D$47*$B33)))</f>
        <v>0</v>
      </c>
      <c r="R33" s="97">
        <f>IF(Option1="No",0,IF($A33&lt;ImplementationYear,0,IF($A33&gt;(ImplementationYear+(Appraisal_Period-1)),0,'Reduction in car usage'!$D$48*$B33)))</f>
        <v>0</v>
      </c>
      <c r="S33" s="92"/>
      <c r="T33" s="94">
        <f>IF(Option2="No",0,IF($A33=ImplementationYear,('Project details'!$L$10-'Project details'!$D$10)*VLOOKUP(Year_cost_estimate,'Time-series parameters'!$B$11:$C$89,2,FALSE)*$B33*(1+Contingency),0))</f>
        <v>0</v>
      </c>
      <c r="U33" s="94">
        <f>IF(Option2="No",0,IF($A33&lt;ImplementationYear,0,IF($A33&gt;(ImplementationYear+(Appraisal_Period-1)),0,('Project details'!$L$11-'Project details'!$D$11)*VLOOKUP(Year_cost_estimate,'Time-series parameters'!$B$11:$C$89,2,0))*$B33))</f>
        <v>0</v>
      </c>
      <c r="V33" s="94">
        <f>IF(Option2="No",0,IF($A33=ImplementationYear,('Project details'!$L$12-'Project details'!$D$12)*VLOOKUP(Year_cost_estimate,'Time-series parameters'!$B$11:$C$89,2,FALSE)*$B33,0))</f>
        <v>0</v>
      </c>
      <c r="W33" s="97">
        <f>IF(Option2="No",0,IF($A33&lt;ImplementationYear,0,IF($A33&gt;(ImplementationYear+(Appraisal_Period-1)),0,Health!$E$21*$B33)))</f>
        <v>0</v>
      </c>
      <c r="X33" s="97">
        <f>IF(Option2="No",0,IF($A33&lt;ImplementationYear,0,IF($A33&gt;(ImplementationYear+(Appraisal_Period-1)),0,Health!$E$22*$B33)))</f>
        <v>0</v>
      </c>
      <c r="Y33" s="97">
        <f>IF(Option2="No",0,IF($A33&lt;ImplementationYear,0,IF($A33&gt;(ImplementationYear+(Appraisal_Period-1)),0,SUM('Travel time'!$E$22:$E$23)*$B33)))</f>
        <v>0</v>
      </c>
      <c r="Z33" s="97">
        <f>IF(Option2="No",0,IF($A33&lt;ImplementationYear,0,IF($A33&gt;(ImplementationYear+(Appraisal_Period-1)),0,SUM('Travel time'!$E$20:$E$21)*$B33)))</f>
        <v>0</v>
      </c>
      <c r="AA33" s="97">
        <f>IF(Option2="No",0,IF($A33&lt;ImplementationYear,0,IF($A33&gt;(ImplementationYear+(Appraisal_Period-1)),0,SUM(Quality!$E$22:$E$23)*$B33)))</f>
        <v>0</v>
      </c>
      <c r="AB33" s="97">
        <f>IF(Option2="No",0,IF($A33&lt;ImplementationYear,0,IF($A33&gt;(ImplementationYear+(Appraisal_Period-1)),0,SUM(Quality!$E$20:$E$21)*$B33)))</f>
        <v>0</v>
      </c>
      <c r="AC33" s="97">
        <f>IF(Option2="No",0,IF($A33&lt;ImplementationYear,0,IF($A33&gt;(ImplementationYear+(Appraisal_Period-1)),0,'Mode change'!$E$36*$B33)))</f>
        <v>0</v>
      </c>
      <c r="AD33" s="97">
        <f>IF(Option2="No",0,IF($A33&lt;ImplementationYear,0,IF($A33&gt;(ImplementationYear+(Appraisal_Period-1)),0,'Mode change'!$E$37*$B33)))</f>
        <v>0</v>
      </c>
      <c r="AE33" s="97">
        <f>IF(Option2="No",0,IF($A33&lt;ImplementationYear,0,IF($A33&gt;(ImplementationYear+(Appraisal_Period-1)),0,'Road safety'!$E$22*$B33)))</f>
        <v>0</v>
      </c>
      <c r="AF33" s="97">
        <f>IF(Option2="No",0,IF($A33&lt;ImplementationYear,0,IF($A33&gt;(ImplementationYear+(Appraisal_Period-1)),0,'Reduction in car usage'!$E$46*$B33)))</f>
        <v>0</v>
      </c>
      <c r="AG33" s="97">
        <f>IF(Option2="No",0,IF($A33&lt;ImplementationYear,0,IF($A33&gt;(ImplementationYear+(Appraisal_Period-1)),0,'Reduction in car usage'!$E$47*$B33)))</f>
        <v>0</v>
      </c>
      <c r="AH33" s="97">
        <f>IF(Option2="No",0,IF($A33&lt;ImplementationYear,0,IF($A33&gt;(ImplementationYear+(Appraisal_Period-1)),0,'Reduction in car usage'!$E$48*$B33)))</f>
        <v>0</v>
      </c>
      <c r="AJ33" s="94">
        <f>IF(Option3="No",0,IF($A33=ImplementationYear,('Project details'!$P$10-'Project details'!$D$10)*VLOOKUP(Year_cost_estimate,'Time-series parameters'!$B$11:$C$89,2,FALSE)*$B33*(1+Contingency),0))</f>
        <v>0</v>
      </c>
      <c r="AK33" s="94">
        <f>IF(Option3="No",0,IF($A33&lt;ImplementationYear,0,IF($A33&gt;(ImplementationYear+(Appraisal_Period-1)),0,('Project details'!$P$11-'Project details'!$D$11)*VLOOKUP(Year_cost_estimate,'Time-series parameters'!$B$11:$C$89,2,0))*$B33))</f>
        <v>0</v>
      </c>
      <c r="AL33" s="94">
        <f>IF(Option3="No",0,IF($A33=ImplementationYear,('Project details'!$P$12-'Project details'!$D$12)*VLOOKUP(Year_cost_estimate,'Time-series parameters'!$B$11:$C$89,2,FALSE)*$B33,0))</f>
        <v>0</v>
      </c>
      <c r="AM33" s="97">
        <f>IF(Option3="No",0,IF($A33&lt;ImplementationYear,0,IF($A33&gt;(ImplementationYear+(Appraisal_Period-1)),0,Health!$F$21*$B33)))</f>
        <v>0</v>
      </c>
      <c r="AN33" s="97">
        <f>IF(Option3="No",0,IF($A33&lt;ImplementationYear,0,IF($A33&gt;(ImplementationYear+(Appraisal_Period-1)),0,Health!$F$22*$B33)))</f>
        <v>0</v>
      </c>
      <c r="AO33" s="97">
        <f>IF(Option3="No",0,IF($A33&lt;ImplementationYear,0,IF($A33&gt;(ImplementationYear+(Appraisal_Period-1)),0,SUM('Travel time'!$F$22:$F$23)*$B33)))</f>
        <v>0</v>
      </c>
      <c r="AP33" s="97">
        <f>IF(Option3="No",0,IF($A33&lt;ImplementationYear,0,IF($A33&gt;(ImplementationYear+(Appraisal_Period-1)),0,SUM('Travel time'!$F$20:$F$21)*$B33)))</f>
        <v>0</v>
      </c>
      <c r="AQ33" s="97">
        <f>IF(Option3="No",0,IF($A33&lt;ImplementationYear,0,IF($A33&gt;(ImplementationYear+(Appraisal_Period-1)),0,SUM(Quality!$F$22:$F$23)*$B33)))</f>
        <v>0</v>
      </c>
      <c r="AR33" s="97">
        <f>IF(Option3="No",0,IF($A33&lt;ImplementationYear,0,IF($A33&gt;(ImplementationYear+(Appraisal_Period-1)),0,SUM(Quality!$F$20:$F$21)*$B33)))</f>
        <v>0</v>
      </c>
      <c r="AS33" s="97">
        <f>IF(Option3="No",0,IF($A33&lt;ImplementationYear,0,IF($A33&gt;(ImplementationYear+(Appraisal_Period-1)),0,'Mode change'!$F$36*$B33)))</f>
        <v>0</v>
      </c>
      <c r="AT33" s="97">
        <f>IF(Option3="No",0,IF($A33&lt;ImplementationYear,0,IF($A33&gt;(ImplementationYear+(Appraisal_Period-1)),0,'Mode change'!$F$37*$B33)))</f>
        <v>0</v>
      </c>
      <c r="AU33" s="97">
        <f>IF(Option3="No",0,IF($A33&lt;ImplementationYear,0,IF($A33&gt;(ImplementationYear+(Appraisal_Period-1)),0,'Road safety'!$F$22*$B33)))</f>
        <v>0</v>
      </c>
      <c r="AV33" s="97">
        <f>IF(Option3="No",0,IF($A33&lt;ImplementationYear,0,IF($A33&gt;(ImplementationYear+(Appraisal_Period-1)),0,'Reduction in car usage'!$F$46*$B33)))</f>
        <v>0</v>
      </c>
      <c r="AW33" s="97">
        <f>IF(Option3="No",0,IF($A33&lt;ImplementationYear,0,IF($A33&gt;(ImplementationYear+(Appraisal_Period-1)),0,'Reduction in car usage'!$F$47*$B33)))</f>
        <v>0</v>
      </c>
      <c r="AX33" s="97">
        <f>IF(Option3="No",0,IF($A33&lt;ImplementationYear,0,IF($A33&gt;(ImplementationYear+(Appraisal_Period-1)),0,'Reduction in car usage'!$F$48*$B33)))</f>
        <v>0</v>
      </c>
    </row>
    <row r="34" spans="1:50">
      <c r="A34" s="335">
        <v>2029</v>
      </c>
      <c r="B34" s="62">
        <f>VLOOKUP($A34,'Time-series parameters'!$E$11:$H$89,2,FALSE)</f>
        <v>0.22293635298061978</v>
      </c>
      <c r="C34" s="89"/>
      <c r="D34" s="94">
        <f>IF(Option1="No",0,IF($A34=ImplementationYear,('Project details'!$H$10-'Project details'!$D$10)*VLOOKUP(Year_cost_estimate,'Time-series parameters'!$B$11:$C$89,2,FALSE)*$B34*(1+Contingency),0))</f>
        <v>0</v>
      </c>
      <c r="E34" s="94">
        <f>IF(Option1="No",0,IF($A34&lt;ImplementationYear,0,IF($A34&gt;(ImplementationYear+(Appraisal_Period-1)),0,('Project details'!$H$11-'Project details'!$D$11)*VLOOKUP(Year_cost_estimate,'Time-series parameters'!$B$11:$C$89,2,0))*$B34))</f>
        <v>0</v>
      </c>
      <c r="F34" s="94">
        <f>IF(Option1="No",0,IF($A34=ImplementationYear,('Project details'!$H$12-'Project details'!$D$12)*VLOOKUP(Year_cost_estimate,'Time-series parameters'!$B$11:$C$89,2,FALSE)*$B34,0))</f>
        <v>0</v>
      </c>
      <c r="G34" s="97">
        <f>IF(Option1="No",0,IF($A34&lt;ImplementationYear,0,IF($A34&gt;(ImplementationYear+(Appraisal_Period-1)),0,Health!$D$21*$B34)))</f>
        <v>0</v>
      </c>
      <c r="H34" s="97">
        <f>IF(Option1="No",0,IF($A34&lt;ImplementationYear,0,IF($A34&gt;(ImplementationYear+(Appraisal_Period-1)),0,Health!$D$22*$B34)))</f>
        <v>0</v>
      </c>
      <c r="I34" s="97">
        <f>IF(Option1="No",0,IF($A34&lt;ImplementationYear,0,IF($A34&gt;(ImplementationYear+(Appraisal_Period-1)),0,SUM('Travel time'!$D$22:$D$23)*$B34)))</f>
        <v>0</v>
      </c>
      <c r="J34" s="97">
        <f>IF(Option1="No",0,IF($A34&lt;ImplementationYear,0,IF($A34&gt;(ImplementationYear+(Appraisal_Period-1)),0,SUM('Travel time'!$D$20:$D$21)*$B34)))</f>
        <v>0</v>
      </c>
      <c r="K34" s="97">
        <f>IF(Option1="No",0,IF($A34&lt;ImplementationYear,0,IF($A34&gt;(ImplementationYear+(Appraisal_Period-1)),0,SUM(Quality!$D$22:$D$23)*$B34)))</f>
        <v>0</v>
      </c>
      <c r="L34" s="97">
        <f>IF(Option1="No",0,IF($A34&lt;ImplementationYear,0,IF($A34&gt;(ImplementationYear+(Appraisal_Period-1)),0,SUM(Quality!$D$20:$D$21)*$B34)))</f>
        <v>0</v>
      </c>
      <c r="M34" s="97">
        <f>IF(Option1="No",0,IF($A34&lt;ImplementationYear,0,IF($A34&gt;(ImplementationYear+(Appraisal_Period-1)),0,'Mode change'!$D$36*$B34)))</f>
        <v>0</v>
      </c>
      <c r="N34" s="97">
        <f>IF(Option1="No",0,IF($A34&lt;ImplementationYear,0,IF($A34&gt;(ImplementationYear+(Appraisal_Period-1)),0,'Mode change'!$D$37*$B34)))</f>
        <v>0</v>
      </c>
      <c r="O34" s="97">
        <f>IF(Option1="No",0,IF($A34&lt;ImplementationYear,0,IF($A34&gt;(ImplementationYear+(Appraisal_Period-1)),0,'Road safety'!$D$22*$B34)))</f>
        <v>0</v>
      </c>
      <c r="P34" s="97">
        <f>IF(Option1="No",0,IF($A34&lt;ImplementationYear,0,IF($A34&gt;(ImplementationYear+(Appraisal_Period-1)),0,'Reduction in car usage'!$D$46*$B34)))</f>
        <v>0</v>
      </c>
      <c r="Q34" s="97">
        <f>IF(Option1="No",0,IF($A34&lt;ImplementationYear,0,IF($A34&gt;(ImplementationYear+(Appraisal_Period-1)),0,'Reduction in car usage'!$D$47*$B34)))</f>
        <v>0</v>
      </c>
      <c r="R34" s="97">
        <f>IF(Option1="No",0,IF($A34&lt;ImplementationYear,0,IF($A34&gt;(ImplementationYear+(Appraisal_Period-1)),0,'Reduction in car usage'!$D$48*$B34)))</f>
        <v>0</v>
      </c>
      <c r="S34" s="92"/>
      <c r="T34" s="94">
        <f>IF(Option2="No",0,IF($A34=ImplementationYear,('Project details'!$L$10-'Project details'!$D$10)*VLOOKUP(Year_cost_estimate,'Time-series parameters'!$B$11:$C$89,2,FALSE)*$B34*(1+Contingency),0))</f>
        <v>0</v>
      </c>
      <c r="U34" s="94">
        <f>IF(Option2="No",0,IF($A34&lt;ImplementationYear,0,IF($A34&gt;(ImplementationYear+(Appraisal_Period-1)),0,('Project details'!$L$11-'Project details'!$D$11)*VLOOKUP(Year_cost_estimate,'Time-series parameters'!$B$11:$C$89,2,0))*$B34))</f>
        <v>0</v>
      </c>
      <c r="V34" s="94">
        <f>IF(Option2="No",0,IF($A34=ImplementationYear,('Project details'!$L$12-'Project details'!$D$12)*VLOOKUP(Year_cost_estimate,'Time-series parameters'!$B$11:$C$89,2,FALSE)*$B34,0))</f>
        <v>0</v>
      </c>
      <c r="W34" s="97">
        <f>IF(Option2="No",0,IF($A34&lt;ImplementationYear,0,IF($A34&gt;(ImplementationYear+(Appraisal_Period-1)),0,Health!$E$21*$B34)))</f>
        <v>0</v>
      </c>
      <c r="X34" s="97">
        <f>IF(Option2="No",0,IF($A34&lt;ImplementationYear,0,IF($A34&gt;(ImplementationYear+(Appraisal_Period-1)),0,Health!$E$22*$B34)))</f>
        <v>0</v>
      </c>
      <c r="Y34" s="97">
        <f>IF(Option2="No",0,IF($A34&lt;ImplementationYear,0,IF($A34&gt;(ImplementationYear+(Appraisal_Period-1)),0,SUM('Travel time'!$E$22:$E$23)*$B34)))</f>
        <v>0</v>
      </c>
      <c r="Z34" s="97">
        <f>IF(Option2="No",0,IF($A34&lt;ImplementationYear,0,IF($A34&gt;(ImplementationYear+(Appraisal_Period-1)),0,SUM('Travel time'!$E$20:$E$21)*$B34)))</f>
        <v>0</v>
      </c>
      <c r="AA34" s="97">
        <f>IF(Option2="No",0,IF($A34&lt;ImplementationYear,0,IF($A34&gt;(ImplementationYear+(Appraisal_Period-1)),0,SUM(Quality!$E$22:$E$23)*$B34)))</f>
        <v>0</v>
      </c>
      <c r="AB34" s="97">
        <f>IF(Option2="No",0,IF($A34&lt;ImplementationYear,0,IF($A34&gt;(ImplementationYear+(Appraisal_Period-1)),0,SUM(Quality!$E$20:$E$21)*$B34)))</f>
        <v>0</v>
      </c>
      <c r="AC34" s="97">
        <f>IF(Option2="No",0,IF($A34&lt;ImplementationYear,0,IF($A34&gt;(ImplementationYear+(Appraisal_Period-1)),0,'Mode change'!$E$36*$B34)))</f>
        <v>0</v>
      </c>
      <c r="AD34" s="97">
        <f>IF(Option2="No",0,IF($A34&lt;ImplementationYear,0,IF($A34&gt;(ImplementationYear+(Appraisal_Period-1)),0,'Mode change'!$E$37*$B34)))</f>
        <v>0</v>
      </c>
      <c r="AE34" s="97">
        <f>IF(Option2="No",0,IF($A34&lt;ImplementationYear,0,IF($A34&gt;(ImplementationYear+(Appraisal_Period-1)),0,'Road safety'!$E$22*$B34)))</f>
        <v>0</v>
      </c>
      <c r="AF34" s="97">
        <f>IF(Option2="No",0,IF($A34&lt;ImplementationYear,0,IF($A34&gt;(ImplementationYear+(Appraisal_Period-1)),0,'Reduction in car usage'!$E$46*$B34)))</f>
        <v>0</v>
      </c>
      <c r="AG34" s="97">
        <f>IF(Option2="No",0,IF($A34&lt;ImplementationYear,0,IF($A34&gt;(ImplementationYear+(Appraisal_Period-1)),0,'Reduction in car usage'!$E$47*$B34)))</f>
        <v>0</v>
      </c>
      <c r="AH34" s="97">
        <f>IF(Option2="No",0,IF($A34&lt;ImplementationYear,0,IF($A34&gt;(ImplementationYear+(Appraisal_Period-1)),0,'Reduction in car usage'!$E$48*$B34)))</f>
        <v>0</v>
      </c>
      <c r="AJ34" s="94">
        <f>IF(Option3="No",0,IF($A34=ImplementationYear,('Project details'!$P$10-'Project details'!$D$10)*VLOOKUP(Year_cost_estimate,'Time-series parameters'!$B$11:$C$89,2,FALSE)*$B34*(1+Contingency),0))</f>
        <v>0</v>
      </c>
      <c r="AK34" s="94">
        <f>IF(Option3="No",0,IF($A34&lt;ImplementationYear,0,IF($A34&gt;(ImplementationYear+(Appraisal_Period-1)),0,('Project details'!$P$11-'Project details'!$D$11)*VLOOKUP(Year_cost_estimate,'Time-series parameters'!$B$11:$C$89,2,0))*$B34))</f>
        <v>0</v>
      </c>
      <c r="AL34" s="94">
        <f>IF(Option3="No",0,IF($A34=ImplementationYear,('Project details'!$P$12-'Project details'!$D$12)*VLOOKUP(Year_cost_estimate,'Time-series parameters'!$B$11:$C$89,2,FALSE)*$B34,0))</f>
        <v>0</v>
      </c>
      <c r="AM34" s="97">
        <f>IF(Option3="No",0,IF($A34&lt;ImplementationYear,0,IF($A34&gt;(ImplementationYear+(Appraisal_Period-1)),0,Health!$F$21*$B34)))</f>
        <v>0</v>
      </c>
      <c r="AN34" s="97">
        <f>IF(Option3="No",0,IF($A34&lt;ImplementationYear,0,IF($A34&gt;(ImplementationYear+(Appraisal_Period-1)),0,Health!$F$22*$B34)))</f>
        <v>0</v>
      </c>
      <c r="AO34" s="97">
        <f>IF(Option3="No",0,IF($A34&lt;ImplementationYear,0,IF($A34&gt;(ImplementationYear+(Appraisal_Period-1)),0,SUM('Travel time'!$F$22:$F$23)*$B34)))</f>
        <v>0</v>
      </c>
      <c r="AP34" s="97">
        <f>IF(Option3="No",0,IF($A34&lt;ImplementationYear,0,IF($A34&gt;(ImplementationYear+(Appraisal_Period-1)),0,SUM('Travel time'!$F$20:$F$21)*$B34)))</f>
        <v>0</v>
      </c>
      <c r="AQ34" s="97">
        <f>IF(Option3="No",0,IF($A34&lt;ImplementationYear,0,IF($A34&gt;(ImplementationYear+(Appraisal_Period-1)),0,SUM(Quality!$F$22:$F$23)*$B34)))</f>
        <v>0</v>
      </c>
      <c r="AR34" s="97">
        <f>IF(Option3="No",0,IF($A34&lt;ImplementationYear,0,IF($A34&gt;(ImplementationYear+(Appraisal_Period-1)),0,SUM(Quality!$F$20:$F$21)*$B34)))</f>
        <v>0</v>
      </c>
      <c r="AS34" s="97">
        <f>IF(Option3="No",0,IF($A34&lt;ImplementationYear,0,IF($A34&gt;(ImplementationYear+(Appraisal_Period-1)),0,'Mode change'!$F$36*$B34)))</f>
        <v>0</v>
      </c>
      <c r="AT34" s="97">
        <f>IF(Option3="No",0,IF($A34&lt;ImplementationYear,0,IF($A34&gt;(ImplementationYear+(Appraisal_Period-1)),0,'Mode change'!$F$37*$B34)))</f>
        <v>0</v>
      </c>
      <c r="AU34" s="97">
        <f>IF(Option3="No",0,IF($A34&lt;ImplementationYear,0,IF($A34&gt;(ImplementationYear+(Appraisal_Period-1)),0,'Road safety'!$F$22*$B34)))</f>
        <v>0</v>
      </c>
      <c r="AV34" s="97">
        <f>IF(Option3="No",0,IF($A34&lt;ImplementationYear,0,IF($A34&gt;(ImplementationYear+(Appraisal_Period-1)),0,'Reduction in car usage'!$F$46*$B34)))</f>
        <v>0</v>
      </c>
      <c r="AW34" s="97">
        <f>IF(Option3="No",0,IF($A34&lt;ImplementationYear,0,IF($A34&gt;(ImplementationYear+(Appraisal_Period-1)),0,'Reduction in car usage'!$F$47*$B34)))</f>
        <v>0</v>
      </c>
      <c r="AX34" s="97">
        <f>IF(Option3="No",0,IF($A34&lt;ImplementationYear,0,IF($A34&gt;(ImplementationYear+(Appraisal_Period-1)),0,'Reduction in car usage'!$F$48*$B34)))</f>
        <v>0</v>
      </c>
    </row>
    <row r="35" spans="1:50">
      <c r="A35" s="335">
        <v>2030</v>
      </c>
      <c r="B35" s="62">
        <f>VLOOKUP($A35,'Time-series parameters'!$E$11:$H$89,2,FALSE)</f>
        <v>0.20510144474217021</v>
      </c>
      <c r="C35" s="89"/>
      <c r="D35" s="94">
        <f>IF(Option1="No",0,IF($A35=ImplementationYear,('Project details'!$H$10-'Project details'!$D$10)*VLOOKUP(Year_cost_estimate,'Time-series parameters'!$B$11:$C$89,2,FALSE)*$B35*(1+Contingency),0))</f>
        <v>0</v>
      </c>
      <c r="E35" s="94">
        <f>IF(Option1="No",0,IF($A35&lt;ImplementationYear,0,IF($A35&gt;(ImplementationYear+(Appraisal_Period-1)),0,('Project details'!$H$11-'Project details'!$D$11)*VLOOKUP(Year_cost_estimate,'Time-series parameters'!$B$11:$C$89,2,0))*$B35))</f>
        <v>0</v>
      </c>
      <c r="F35" s="94">
        <f>IF(Option1="No",0,IF($A35=ImplementationYear,('Project details'!$H$12-'Project details'!$D$12)*VLOOKUP(Year_cost_estimate,'Time-series parameters'!$B$11:$C$89,2,FALSE)*$B35,0))</f>
        <v>0</v>
      </c>
      <c r="G35" s="97">
        <f>IF(Option1="No",0,IF($A35&lt;ImplementationYear,0,IF($A35&gt;(ImplementationYear+(Appraisal_Period-1)),0,Health!$D$21*$B35)))</f>
        <v>0</v>
      </c>
      <c r="H35" s="97">
        <f>IF(Option1="No",0,IF($A35&lt;ImplementationYear,0,IF($A35&gt;(ImplementationYear+(Appraisal_Period-1)),0,Health!$D$22*$B35)))</f>
        <v>0</v>
      </c>
      <c r="I35" s="97">
        <f>IF(Option1="No",0,IF($A35&lt;ImplementationYear,0,IF($A35&gt;(ImplementationYear+(Appraisal_Period-1)),0,SUM('Travel time'!$D$22:$D$23)*$B35)))</f>
        <v>0</v>
      </c>
      <c r="J35" s="97">
        <f>IF(Option1="No",0,IF($A35&lt;ImplementationYear,0,IF($A35&gt;(ImplementationYear+(Appraisal_Period-1)),0,SUM('Travel time'!$D$20:$D$21)*$B35)))</f>
        <v>0</v>
      </c>
      <c r="K35" s="97">
        <f>IF(Option1="No",0,IF($A35&lt;ImplementationYear,0,IF($A35&gt;(ImplementationYear+(Appraisal_Period-1)),0,SUM(Quality!$D$22:$D$23)*$B35)))</f>
        <v>0</v>
      </c>
      <c r="L35" s="97">
        <f>IF(Option1="No",0,IF($A35&lt;ImplementationYear,0,IF($A35&gt;(ImplementationYear+(Appraisal_Period-1)),0,SUM(Quality!$D$20:$D$21)*$B35)))</f>
        <v>0</v>
      </c>
      <c r="M35" s="97">
        <f>IF(Option1="No",0,IF($A35&lt;ImplementationYear,0,IF($A35&gt;(ImplementationYear+(Appraisal_Period-1)),0,'Mode change'!$D$36*$B35)))</f>
        <v>0</v>
      </c>
      <c r="N35" s="97">
        <f>IF(Option1="No",0,IF($A35&lt;ImplementationYear,0,IF($A35&gt;(ImplementationYear+(Appraisal_Period-1)),0,'Mode change'!$D$37*$B35)))</f>
        <v>0</v>
      </c>
      <c r="O35" s="97">
        <f>IF(Option1="No",0,IF($A35&lt;ImplementationYear,0,IF($A35&gt;(ImplementationYear+(Appraisal_Period-1)),0,'Road safety'!$D$22*$B35)))</f>
        <v>0</v>
      </c>
      <c r="P35" s="97">
        <f>IF(Option1="No",0,IF($A35&lt;ImplementationYear,0,IF($A35&gt;(ImplementationYear+(Appraisal_Period-1)),0,'Reduction in car usage'!$D$46*$B35)))</f>
        <v>0</v>
      </c>
      <c r="Q35" s="97">
        <f>IF(Option1="No",0,IF($A35&lt;ImplementationYear,0,IF($A35&gt;(ImplementationYear+(Appraisal_Period-1)),0,'Reduction in car usage'!$D$47*$B35)))</f>
        <v>0</v>
      </c>
      <c r="R35" s="97">
        <f>IF(Option1="No",0,IF($A35&lt;ImplementationYear,0,IF($A35&gt;(ImplementationYear+(Appraisal_Period-1)),0,'Reduction in car usage'!$D$48*$B35)))</f>
        <v>0</v>
      </c>
      <c r="S35" s="92"/>
      <c r="T35" s="94">
        <f>IF(Option2="No",0,IF($A35=ImplementationYear,('Project details'!$L$10-'Project details'!$D$10)*VLOOKUP(Year_cost_estimate,'Time-series parameters'!$B$11:$C$89,2,FALSE)*$B35*(1+Contingency),0))</f>
        <v>0</v>
      </c>
      <c r="U35" s="94">
        <f>IF(Option2="No",0,IF($A35&lt;ImplementationYear,0,IF($A35&gt;(ImplementationYear+(Appraisal_Period-1)),0,('Project details'!$L$11-'Project details'!$D$11)*VLOOKUP(Year_cost_estimate,'Time-series parameters'!$B$11:$C$89,2,0))*$B35))</f>
        <v>0</v>
      </c>
      <c r="V35" s="94">
        <f>IF(Option2="No",0,IF($A35=ImplementationYear,('Project details'!$L$12-'Project details'!$D$12)*VLOOKUP(Year_cost_estimate,'Time-series parameters'!$B$11:$C$89,2,FALSE)*$B35,0))</f>
        <v>0</v>
      </c>
      <c r="W35" s="97">
        <f>IF(Option2="No",0,IF($A35&lt;ImplementationYear,0,IF($A35&gt;(ImplementationYear+(Appraisal_Period-1)),0,Health!$E$21*$B35)))</f>
        <v>0</v>
      </c>
      <c r="X35" s="97">
        <f>IF(Option2="No",0,IF($A35&lt;ImplementationYear,0,IF($A35&gt;(ImplementationYear+(Appraisal_Period-1)),0,Health!$E$22*$B35)))</f>
        <v>0</v>
      </c>
      <c r="Y35" s="97">
        <f>IF(Option2="No",0,IF($A35&lt;ImplementationYear,0,IF($A35&gt;(ImplementationYear+(Appraisal_Period-1)),0,SUM('Travel time'!$E$22:$E$23)*$B35)))</f>
        <v>0</v>
      </c>
      <c r="Z35" s="97">
        <f>IF(Option2="No",0,IF($A35&lt;ImplementationYear,0,IF($A35&gt;(ImplementationYear+(Appraisal_Period-1)),0,SUM('Travel time'!$E$20:$E$21)*$B35)))</f>
        <v>0</v>
      </c>
      <c r="AA35" s="97">
        <f>IF(Option2="No",0,IF($A35&lt;ImplementationYear,0,IF($A35&gt;(ImplementationYear+(Appraisal_Period-1)),0,SUM(Quality!$E$22:$E$23)*$B35)))</f>
        <v>0</v>
      </c>
      <c r="AB35" s="97">
        <f>IF(Option2="No",0,IF($A35&lt;ImplementationYear,0,IF($A35&gt;(ImplementationYear+(Appraisal_Period-1)),0,SUM(Quality!$E$20:$E$21)*$B35)))</f>
        <v>0</v>
      </c>
      <c r="AC35" s="97">
        <f>IF(Option2="No",0,IF($A35&lt;ImplementationYear,0,IF($A35&gt;(ImplementationYear+(Appraisal_Period-1)),0,'Mode change'!$E$36*$B35)))</f>
        <v>0</v>
      </c>
      <c r="AD35" s="97">
        <f>IF(Option2="No",0,IF($A35&lt;ImplementationYear,0,IF($A35&gt;(ImplementationYear+(Appraisal_Period-1)),0,'Mode change'!$E$37*$B35)))</f>
        <v>0</v>
      </c>
      <c r="AE35" s="97">
        <f>IF(Option2="No",0,IF($A35&lt;ImplementationYear,0,IF($A35&gt;(ImplementationYear+(Appraisal_Period-1)),0,'Road safety'!$E$22*$B35)))</f>
        <v>0</v>
      </c>
      <c r="AF35" s="97">
        <f>IF(Option2="No",0,IF($A35&lt;ImplementationYear,0,IF($A35&gt;(ImplementationYear+(Appraisal_Period-1)),0,'Reduction in car usage'!$E$46*$B35)))</f>
        <v>0</v>
      </c>
      <c r="AG35" s="97">
        <f>IF(Option2="No",0,IF($A35&lt;ImplementationYear,0,IF($A35&gt;(ImplementationYear+(Appraisal_Period-1)),0,'Reduction in car usage'!$E$47*$B35)))</f>
        <v>0</v>
      </c>
      <c r="AH35" s="97">
        <f>IF(Option2="No",0,IF($A35&lt;ImplementationYear,0,IF($A35&gt;(ImplementationYear+(Appraisal_Period-1)),0,'Reduction in car usage'!$E$48*$B35)))</f>
        <v>0</v>
      </c>
      <c r="AJ35" s="94">
        <f>IF(Option3="No",0,IF($A35=ImplementationYear,('Project details'!$P$10-'Project details'!$D$10)*VLOOKUP(Year_cost_estimate,'Time-series parameters'!$B$11:$C$89,2,FALSE)*$B35*(1+Contingency),0))</f>
        <v>0</v>
      </c>
      <c r="AK35" s="94">
        <f>IF(Option3="No",0,IF($A35&lt;ImplementationYear,0,IF($A35&gt;(ImplementationYear+(Appraisal_Period-1)),0,('Project details'!$P$11-'Project details'!$D$11)*VLOOKUP(Year_cost_estimate,'Time-series parameters'!$B$11:$C$89,2,0))*$B35))</f>
        <v>0</v>
      </c>
      <c r="AL35" s="94">
        <f>IF(Option3="No",0,IF($A35=ImplementationYear,('Project details'!$P$12-'Project details'!$D$12)*VLOOKUP(Year_cost_estimate,'Time-series parameters'!$B$11:$C$89,2,FALSE)*$B35,0))</f>
        <v>0</v>
      </c>
      <c r="AM35" s="97">
        <f>IF(Option3="No",0,IF($A35&lt;ImplementationYear,0,IF($A35&gt;(ImplementationYear+(Appraisal_Period-1)),0,Health!$F$21*$B35)))</f>
        <v>0</v>
      </c>
      <c r="AN35" s="97">
        <f>IF(Option3="No",0,IF($A35&lt;ImplementationYear,0,IF($A35&gt;(ImplementationYear+(Appraisal_Period-1)),0,Health!$F$22*$B35)))</f>
        <v>0</v>
      </c>
      <c r="AO35" s="97">
        <f>IF(Option3="No",0,IF($A35&lt;ImplementationYear,0,IF($A35&gt;(ImplementationYear+(Appraisal_Period-1)),0,SUM('Travel time'!$F$22:$F$23)*$B35)))</f>
        <v>0</v>
      </c>
      <c r="AP35" s="97">
        <f>IF(Option3="No",0,IF($A35&lt;ImplementationYear,0,IF($A35&gt;(ImplementationYear+(Appraisal_Period-1)),0,SUM('Travel time'!$F$20:$F$21)*$B35)))</f>
        <v>0</v>
      </c>
      <c r="AQ35" s="97">
        <f>IF(Option3="No",0,IF($A35&lt;ImplementationYear,0,IF($A35&gt;(ImplementationYear+(Appraisal_Period-1)),0,SUM(Quality!$F$22:$F$23)*$B35)))</f>
        <v>0</v>
      </c>
      <c r="AR35" s="97">
        <f>IF(Option3="No",0,IF($A35&lt;ImplementationYear,0,IF($A35&gt;(ImplementationYear+(Appraisal_Period-1)),0,SUM(Quality!$F$20:$F$21)*$B35)))</f>
        <v>0</v>
      </c>
      <c r="AS35" s="97">
        <f>IF(Option3="No",0,IF($A35&lt;ImplementationYear,0,IF($A35&gt;(ImplementationYear+(Appraisal_Period-1)),0,'Mode change'!$F$36*$B35)))</f>
        <v>0</v>
      </c>
      <c r="AT35" s="97">
        <f>IF(Option3="No",0,IF($A35&lt;ImplementationYear,0,IF($A35&gt;(ImplementationYear+(Appraisal_Period-1)),0,'Mode change'!$F$37*$B35)))</f>
        <v>0</v>
      </c>
      <c r="AU35" s="97">
        <f>IF(Option3="No",0,IF($A35&lt;ImplementationYear,0,IF($A35&gt;(ImplementationYear+(Appraisal_Period-1)),0,'Road safety'!$F$22*$B35)))</f>
        <v>0</v>
      </c>
      <c r="AV35" s="97">
        <f>IF(Option3="No",0,IF($A35&lt;ImplementationYear,0,IF($A35&gt;(ImplementationYear+(Appraisal_Period-1)),0,'Reduction in car usage'!$F$46*$B35)))</f>
        <v>0</v>
      </c>
      <c r="AW35" s="97">
        <f>IF(Option3="No",0,IF($A35&lt;ImplementationYear,0,IF($A35&gt;(ImplementationYear+(Appraisal_Period-1)),0,'Reduction in car usage'!$F$47*$B35)))</f>
        <v>0</v>
      </c>
      <c r="AX35" s="97">
        <f>IF(Option3="No",0,IF($A35&lt;ImplementationYear,0,IF($A35&gt;(ImplementationYear+(Appraisal_Period-1)),0,'Reduction in car usage'!$F$48*$B35)))</f>
        <v>0</v>
      </c>
    </row>
    <row r="36" spans="1:50">
      <c r="A36" s="335">
        <v>2031</v>
      </c>
      <c r="B36" s="62">
        <f>VLOOKUP($A36,'Time-series parameters'!$E$11:$H$89,2,FALSE)</f>
        <v>0.1886933291627966</v>
      </c>
      <c r="C36" s="89"/>
      <c r="D36" s="94">
        <f>IF(Option1="No",0,IF($A36=ImplementationYear,('Project details'!$H$10-'Project details'!$D$10)*VLOOKUP(Year_cost_estimate,'Time-series parameters'!$B$11:$C$89,2,FALSE)*$B36*(1+Contingency),0))</f>
        <v>0</v>
      </c>
      <c r="E36" s="94">
        <f>IF(Option1="No",0,IF($A36&lt;ImplementationYear,0,IF($A36&gt;(ImplementationYear+(Appraisal_Period-1)),0,('Project details'!$H$11-'Project details'!$D$11)*VLOOKUP(Year_cost_estimate,'Time-series parameters'!$B$11:$C$89,2,0))*$B36))</f>
        <v>0</v>
      </c>
      <c r="F36" s="94">
        <f>IF(Option1="No",0,IF($A36=ImplementationYear,('Project details'!$H$12-'Project details'!$D$12)*VLOOKUP(Year_cost_estimate,'Time-series parameters'!$B$11:$C$89,2,FALSE)*$B36,0))</f>
        <v>0</v>
      </c>
      <c r="G36" s="97">
        <f>IF(Option1="No",0,IF($A36&lt;ImplementationYear,0,IF($A36&gt;(ImplementationYear+(Appraisal_Period-1)),0,Health!$D$21*$B36)))</f>
        <v>0</v>
      </c>
      <c r="H36" s="97">
        <f>IF(Option1="No",0,IF($A36&lt;ImplementationYear,0,IF($A36&gt;(ImplementationYear+(Appraisal_Period-1)),0,Health!$D$22*$B36)))</f>
        <v>0</v>
      </c>
      <c r="I36" s="97">
        <f>IF(Option1="No",0,IF($A36&lt;ImplementationYear,0,IF($A36&gt;(ImplementationYear+(Appraisal_Period-1)),0,SUM('Travel time'!$D$22:$D$23)*$B36)))</f>
        <v>0</v>
      </c>
      <c r="J36" s="97">
        <f>IF(Option1="No",0,IF($A36&lt;ImplementationYear,0,IF($A36&gt;(ImplementationYear+(Appraisal_Period-1)),0,SUM('Travel time'!$D$20:$D$21)*$B36)))</f>
        <v>0</v>
      </c>
      <c r="K36" s="97">
        <f>IF(Option1="No",0,IF($A36&lt;ImplementationYear,0,IF($A36&gt;(ImplementationYear+(Appraisal_Period-1)),0,SUM(Quality!$D$22:$D$23)*$B36)))</f>
        <v>0</v>
      </c>
      <c r="L36" s="97">
        <f>IF(Option1="No",0,IF($A36&lt;ImplementationYear,0,IF($A36&gt;(ImplementationYear+(Appraisal_Period-1)),0,SUM(Quality!$D$20:$D$21)*$B36)))</f>
        <v>0</v>
      </c>
      <c r="M36" s="97">
        <f>IF(Option1="No",0,IF($A36&lt;ImplementationYear,0,IF($A36&gt;(ImplementationYear+(Appraisal_Period-1)),0,'Mode change'!$D$36*$B36)))</f>
        <v>0</v>
      </c>
      <c r="N36" s="97">
        <f>IF(Option1="No",0,IF($A36&lt;ImplementationYear,0,IF($A36&gt;(ImplementationYear+(Appraisal_Period-1)),0,'Mode change'!$D$37*$B36)))</f>
        <v>0</v>
      </c>
      <c r="O36" s="97">
        <f>IF(Option1="No",0,IF($A36&lt;ImplementationYear,0,IF($A36&gt;(ImplementationYear+(Appraisal_Period-1)),0,'Road safety'!$D$22*$B36)))</f>
        <v>0</v>
      </c>
      <c r="P36" s="97">
        <f>IF(Option1="No",0,IF($A36&lt;ImplementationYear,0,IF($A36&gt;(ImplementationYear+(Appraisal_Period-1)),0,'Reduction in car usage'!$D$46*$B36)))</f>
        <v>0</v>
      </c>
      <c r="Q36" s="97">
        <f>IF(Option1="No",0,IF($A36&lt;ImplementationYear,0,IF($A36&gt;(ImplementationYear+(Appraisal_Period-1)),0,'Reduction in car usage'!$D$47*$B36)))</f>
        <v>0</v>
      </c>
      <c r="R36" s="97">
        <f>IF(Option1="No",0,IF($A36&lt;ImplementationYear,0,IF($A36&gt;(ImplementationYear+(Appraisal_Period-1)),0,'Reduction in car usage'!$D$48*$B36)))</f>
        <v>0</v>
      </c>
      <c r="S36" s="92"/>
      <c r="T36" s="94">
        <f>IF(Option2="No",0,IF($A36=ImplementationYear,('Project details'!$L$10-'Project details'!$D$10)*VLOOKUP(Year_cost_estimate,'Time-series parameters'!$B$11:$C$89,2,FALSE)*$B36*(1+Contingency),0))</f>
        <v>0</v>
      </c>
      <c r="U36" s="94">
        <f>IF(Option2="No",0,IF($A36&lt;ImplementationYear,0,IF($A36&gt;(ImplementationYear+(Appraisal_Period-1)),0,('Project details'!$L$11-'Project details'!$D$11)*VLOOKUP(Year_cost_estimate,'Time-series parameters'!$B$11:$C$89,2,0))*$B36))</f>
        <v>0</v>
      </c>
      <c r="V36" s="94">
        <f>IF(Option2="No",0,IF($A36=ImplementationYear,('Project details'!$L$12-'Project details'!$D$12)*VLOOKUP(Year_cost_estimate,'Time-series parameters'!$B$11:$C$89,2,FALSE)*$B36,0))</f>
        <v>0</v>
      </c>
      <c r="W36" s="97">
        <f>IF(Option2="No",0,IF($A36&lt;ImplementationYear,0,IF($A36&gt;(ImplementationYear+(Appraisal_Period-1)),0,Health!$E$21*$B36)))</f>
        <v>0</v>
      </c>
      <c r="X36" s="97">
        <f>IF(Option2="No",0,IF($A36&lt;ImplementationYear,0,IF($A36&gt;(ImplementationYear+(Appraisal_Period-1)),0,Health!$E$22*$B36)))</f>
        <v>0</v>
      </c>
      <c r="Y36" s="97">
        <f>IF(Option2="No",0,IF($A36&lt;ImplementationYear,0,IF($A36&gt;(ImplementationYear+(Appraisal_Period-1)),0,SUM('Travel time'!$E$22:$E$23)*$B36)))</f>
        <v>0</v>
      </c>
      <c r="Z36" s="97">
        <f>IF(Option2="No",0,IF($A36&lt;ImplementationYear,0,IF($A36&gt;(ImplementationYear+(Appraisal_Period-1)),0,SUM('Travel time'!$E$20:$E$21)*$B36)))</f>
        <v>0</v>
      </c>
      <c r="AA36" s="97">
        <f>IF(Option2="No",0,IF($A36&lt;ImplementationYear,0,IF($A36&gt;(ImplementationYear+(Appraisal_Period-1)),0,SUM(Quality!$E$22:$E$23)*$B36)))</f>
        <v>0</v>
      </c>
      <c r="AB36" s="97">
        <f>IF(Option2="No",0,IF($A36&lt;ImplementationYear,0,IF($A36&gt;(ImplementationYear+(Appraisal_Period-1)),0,SUM(Quality!$E$20:$E$21)*$B36)))</f>
        <v>0</v>
      </c>
      <c r="AC36" s="97">
        <f>IF(Option2="No",0,IF($A36&lt;ImplementationYear,0,IF($A36&gt;(ImplementationYear+(Appraisal_Period-1)),0,'Mode change'!$E$36*$B36)))</f>
        <v>0</v>
      </c>
      <c r="AD36" s="97">
        <f>IF(Option2="No",0,IF($A36&lt;ImplementationYear,0,IF($A36&gt;(ImplementationYear+(Appraisal_Period-1)),0,'Mode change'!$E$37*$B36)))</f>
        <v>0</v>
      </c>
      <c r="AE36" s="97">
        <f>IF(Option2="No",0,IF($A36&lt;ImplementationYear,0,IF($A36&gt;(ImplementationYear+(Appraisal_Period-1)),0,'Road safety'!$E$22*$B36)))</f>
        <v>0</v>
      </c>
      <c r="AF36" s="97">
        <f>IF(Option2="No",0,IF($A36&lt;ImplementationYear,0,IF($A36&gt;(ImplementationYear+(Appraisal_Period-1)),0,'Reduction in car usage'!$E$46*$B36)))</f>
        <v>0</v>
      </c>
      <c r="AG36" s="97">
        <f>IF(Option2="No",0,IF($A36&lt;ImplementationYear,0,IF($A36&gt;(ImplementationYear+(Appraisal_Period-1)),0,'Reduction in car usage'!$E$47*$B36)))</f>
        <v>0</v>
      </c>
      <c r="AH36" s="97">
        <f>IF(Option2="No",0,IF($A36&lt;ImplementationYear,0,IF($A36&gt;(ImplementationYear+(Appraisal_Period-1)),0,'Reduction in car usage'!$E$48*$B36)))</f>
        <v>0</v>
      </c>
      <c r="AJ36" s="94">
        <f>IF(Option3="No",0,IF($A36=ImplementationYear,('Project details'!$P$10-'Project details'!$D$10)*VLOOKUP(Year_cost_estimate,'Time-series parameters'!$B$11:$C$89,2,FALSE)*$B36*(1+Contingency),0))</f>
        <v>0</v>
      </c>
      <c r="AK36" s="94">
        <f>IF(Option3="No",0,IF($A36&lt;ImplementationYear,0,IF($A36&gt;(ImplementationYear+(Appraisal_Period-1)),0,('Project details'!$P$11-'Project details'!$D$11)*VLOOKUP(Year_cost_estimate,'Time-series parameters'!$B$11:$C$89,2,0))*$B36))</f>
        <v>0</v>
      </c>
      <c r="AL36" s="94">
        <f>IF(Option3="No",0,IF($A36=ImplementationYear,('Project details'!$P$12-'Project details'!$D$12)*VLOOKUP(Year_cost_estimate,'Time-series parameters'!$B$11:$C$89,2,FALSE)*$B36,0))</f>
        <v>0</v>
      </c>
      <c r="AM36" s="97">
        <f>IF(Option3="No",0,IF($A36&lt;ImplementationYear,0,IF($A36&gt;(ImplementationYear+(Appraisal_Period-1)),0,Health!$F$21*$B36)))</f>
        <v>0</v>
      </c>
      <c r="AN36" s="97">
        <f>IF(Option3="No",0,IF($A36&lt;ImplementationYear,0,IF($A36&gt;(ImplementationYear+(Appraisal_Period-1)),0,Health!$F$22*$B36)))</f>
        <v>0</v>
      </c>
      <c r="AO36" s="97">
        <f>IF(Option3="No",0,IF($A36&lt;ImplementationYear,0,IF($A36&gt;(ImplementationYear+(Appraisal_Period-1)),0,SUM('Travel time'!$F$22:$F$23)*$B36)))</f>
        <v>0</v>
      </c>
      <c r="AP36" s="97">
        <f>IF(Option3="No",0,IF($A36&lt;ImplementationYear,0,IF($A36&gt;(ImplementationYear+(Appraisal_Period-1)),0,SUM('Travel time'!$F$20:$F$21)*$B36)))</f>
        <v>0</v>
      </c>
      <c r="AQ36" s="97">
        <f>IF(Option3="No",0,IF($A36&lt;ImplementationYear,0,IF($A36&gt;(ImplementationYear+(Appraisal_Period-1)),0,SUM(Quality!$F$22:$F$23)*$B36)))</f>
        <v>0</v>
      </c>
      <c r="AR36" s="97">
        <f>IF(Option3="No",0,IF($A36&lt;ImplementationYear,0,IF($A36&gt;(ImplementationYear+(Appraisal_Period-1)),0,SUM(Quality!$F$20:$F$21)*$B36)))</f>
        <v>0</v>
      </c>
      <c r="AS36" s="97">
        <f>IF(Option3="No",0,IF($A36&lt;ImplementationYear,0,IF($A36&gt;(ImplementationYear+(Appraisal_Period-1)),0,'Mode change'!$F$36*$B36)))</f>
        <v>0</v>
      </c>
      <c r="AT36" s="97">
        <f>IF(Option3="No",0,IF($A36&lt;ImplementationYear,0,IF($A36&gt;(ImplementationYear+(Appraisal_Period-1)),0,'Mode change'!$F$37*$B36)))</f>
        <v>0</v>
      </c>
      <c r="AU36" s="97">
        <f>IF(Option3="No",0,IF($A36&lt;ImplementationYear,0,IF($A36&gt;(ImplementationYear+(Appraisal_Period-1)),0,'Road safety'!$F$22*$B36)))</f>
        <v>0</v>
      </c>
      <c r="AV36" s="97">
        <f>IF(Option3="No",0,IF($A36&lt;ImplementationYear,0,IF($A36&gt;(ImplementationYear+(Appraisal_Period-1)),0,'Reduction in car usage'!$F$46*$B36)))</f>
        <v>0</v>
      </c>
      <c r="AW36" s="97">
        <f>IF(Option3="No",0,IF($A36&lt;ImplementationYear,0,IF($A36&gt;(ImplementationYear+(Appraisal_Period-1)),0,'Reduction in car usage'!$F$47*$B36)))</f>
        <v>0</v>
      </c>
      <c r="AX36" s="97">
        <f>IF(Option3="No",0,IF($A36&lt;ImplementationYear,0,IF($A36&gt;(ImplementationYear+(Appraisal_Period-1)),0,'Reduction in car usage'!$F$48*$B36)))</f>
        <v>0</v>
      </c>
    </row>
    <row r="37" spans="1:50">
      <c r="A37" s="335">
        <v>2032</v>
      </c>
      <c r="B37" s="62">
        <f>VLOOKUP($A37,'Time-series parameters'!$E$11:$H$89,2,FALSE)</f>
        <v>0.17359786282977288</v>
      </c>
      <c r="C37" s="89"/>
      <c r="D37" s="94">
        <f>IF(Option1="No",0,IF($A37=ImplementationYear,('Project details'!$H$10-'Project details'!$D$10)*VLOOKUP(Year_cost_estimate,'Time-series parameters'!$B$11:$C$89,2,FALSE)*$B37*(1+Contingency),0))</f>
        <v>0</v>
      </c>
      <c r="E37" s="94">
        <f>IF(Option1="No",0,IF($A37&lt;ImplementationYear,0,IF($A37&gt;(ImplementationYear+(Appraisal_Period-1)),0,('Project details'!$H$11-'Project details'!$D$11)*VLOOKUP(Year_cost_estimate,'Time-series parameters'!$B$11:$C$89,2,0))*$B37))</f>
        <v>0</v>
      </c>
      <c r="F37" s="94">
        <f>IF(Option1="No",0,IF($A37=ImplementationYear,('Project details'!$H$12-'Project details'!$D$12)*VLOOKUP(Year_cost_estimate,'Time-series parameters'!$B$11:$C$89,2,FALSE)*$B37,0))</f>
        <v>0</v>
      </c>
      <c r="G37" s="97">
        <f>IF(Option1="No",0,IF($A37&lt;ImplementationYear,0,IF($A37&gt;(ImplementationYear+(Appraisal_Period-1)),0,Health!$D$21*$B37)))</f>
        <v>0</v>
      </c>
      <c r="H37" s="97">
        <f>IF(Option1="No",0,IF($A37&lt;ImplementationYear,0,IF($A37&gt;(ImplementationYear+(Appraisal_Period-1)),0,Health!$D$22*$B37)))</f>
        <v>0</v>
      </c>
      <c r="I37" s="97">
        <f>IF(Option1="No",0,IF($A37&lt;ImplementationYear,0,IF($A37&gt;(ImplementationYear+(Appraisal_Period-1)),0,SUM('Travel time'!$D$22:$D$23)*$B37)))</f>
        <v>0</v>
      </c>
      <c r="J37" s="97">
        <f>IF(Option1="No",0,IF($A37&lt;ImplementationYear,0,IF($A37&gt;(ImplementationYear+(Appraisal_Period-1)),0,SUM('Travel time'!$D$20:$D$21)*$B37)))</f>
        <v>0</v>
      </c>
      <c r="K37" s="97">
        <f>IF(Option1="No",0,IF($A37&lt;ImplementationYear,0,IF($A37&gt;(ImplementationYear+(Appraisal_Period-1)),0,SUM(Quality!$D$22:$D$23)*$B37)))</f>
        <v>0</v>
      </c>
      <c r="L37" s="97">
        <f>IF(Option1="No",0,IF($A37&lt;ImplementationYear,0,IF($A37&gt;(ImplementationYear+(Appraisal_Period-1)),0,SUM(Quality!$D$20:$D$21)*$B37)))</f>
        <v>0</v>
      </c>
      <c r="M37" s="97">
        <f>IF(Option1="No",0,IF($A37&lt;ImplementationYear,0,IF($A37&gt;(ImplementationYear+(Appraisal_Period-1)),0,'Mode change'!$D$36*$B37)))</f>
        <v>0</v>
      </c>
      <c r="N37" s="97">
        <f>IF(Option1="No",0,IF($A37&lt;ImplementationYear,0,IF($A37&gt;(ImplementationYear+(Appraisal_Period-1)),0,'Mode change'!$D$37*$B37)))</f>
        <v>0</v>
      </c>
      <c r="O37" s="97">
        <f>IF(Option1="No",0,IF($A37&lt;ImplementationYear,0,IF($A37&gt;(ImplementationYear+(Appraisal_Period-1)),0,'Road safety'!$D$22*$B37)))</f>
        <v>0</v>
      </c>
      <c r="P37" s="97">
        <f>IF(Option1="No",0,IF($A37&lt;ImplementationYear,0,IF($A37&gt;(ImplementationYear+(Appraisal_Period-1)),0,'Reduction in car usage'!$D$46*$B37)))</f>
        <v>0</v>
      </c>
      <c r="Q37" s="97">
        <f>IF(Option1="No",0,IF($A37&lt;ImplementationYear,0,IF($A37&gt;(ImplementationYear+(Appraisal_Period-1)),0,'Reduction in car usage'!$D$47*$B37)))</f>
        <v>0</v>
      </c>
      <c r="R37" s="97">
        <f>IF(Option1="No",0,IF($A37&lt;ImplementationYear,0,IF($A37&gt;(ImplementationYear+(Appraisal_Period-1)),0,'Reduction in car usage'!$D$48*$B37)))</f>
        <v>0</v>
      </c>
      <c r="S37" s="92"/>
      <c r="T37" s="94">
        <f>IF(Option2="No",0,IF($A37=ImplementationYear,('Project details'!$L$10-'Project details'!$D$10)*VLOOKUP(Year_cost_estimate,'Time-series parameters'!$B$11:$C$89,2,FALSE)*$B37*(1+Contingency),0))</f>
        <v>0</v>
      </c>
      <c r="U37" s="94">
        <f>IF(Option2="No",0,IF($A37&lt;ImplementationYear,0,IF($A37&gt;(ImplementationYear+(Appraisal_Period-1)),0,('Project details'!$L$11-'Project details'!$D$11)*VLOOKUP(Year_cost_estimate,'Time-series parameters'!$B$11:$C$89,2,0))*$B37))</f>
        <v>0</v>
      </c>
      <c r="V37" s="94">
        <f>IF(Option2="No",0,IF($A37=ImplementationYear,('Project details'!$L$12-'Project details'!$D$12)*VLOOKUP(Year_cost_estimate,'Time-series parameters'!$B$11:$C$89,2,FALSE)*$B37,0))</f>
        <v>0</v>
      </c>
      <c r="W37" s="97">
        <f>IF(Option2="No",0,IF($A37&lt;ImplementationYear,0,IF($A37&gt;(ImplementationYear+(Appraisal_Period-1)),0,Health!$E$21*$B37)))</f>
        <v>0</v>
      </c>
      <c r="X37" s="97">
        <f>IF(Option2="No",0,IF($A37&lt;ImplementationYear,0,IF($A37&gt;(ImplementationYear+(Appraisal_Period-1)),0,Health!$E$22*$B37)))</f>
        <v>0</v>
      </c>
      <c r="Y37" s="97">
        <f>IF(Option2="No",0,IF($A37&lt;ImplementationYear,0,IF($A37&gt;(ImplementationYear+(Appraisal_Period-1)),0,SUM('Travel time'!$E$22:$E$23)*$B37)))</f>
        <v>0</v>
      </c>
      <c r="Z37" s="97">
        <f>IF(Option2="No",0,IF($A37&lt;ImplementationYear,0,IF($A37&gt;(ImplementationYear+(Appraisal_Period-1)),0,SUM('Travel time'!$E$20:$E$21)*$B37)))</f>
        <v>0</v>
      </c>
      <c r="AA37" s="97">
        <f>IF(Option2="No",0,IF($A37&lt;ImplementationYear,0,IF($A37&gt;(ImplementationYear+(Appraisal_Period-1)),0,SUM(Quality!$E$22:$E$23)*$B37)))</f>
        <v>0</v>
      </c>
      <c r="AB37" s="97">
        <f>IF(Option2="No",0,IF($A37&lt;ImplementationYear,0,IF($A37&gt;(ImplementationYear+(Appraisal_Period-1)),0,SUM(Quality!$E$20:$E$21)*$B37)))</f>
        <v>0</v>
      </c>
      <c r="AC37" s="97">
        <f>IF(Option2="No",0,IF($A37&lt;ImplementationYear,0,IF($A37&gt;(ImplementationYear+(Appraisal_Period-1)),0,'Mode change'!$E$36*$B37)))</f>
        <v>0</v>
      </c>
      <c r="AD37" s="97">
        <f>IF(Option2="No",0,IF($A37&lt;ImplementationYear,0,IF($A37&gt;(ImplementationYear+(Appraisal_Period-1)),0,'Mode change'!$E$37*$B37)))</f>
        <v>0</v>
      </c>
      <c r="AE37" s="97">
        <f>IF(Option2="No",0,IF($A37&lt;ImplementationYear,0,IF($A37&gt;(ImplementationYear+(Appraisal_Period-1)),0,'Road safety'!$E$22*$B37)))</f>
        <v>0</v>
      </c>
      <c r="AF37" s="97">
        <f>IF(Option2="No",0,IF($A37&lt;ImplementationYear,0,IF($A37&gt;(ImplementationYear+(Appraisal_Period-1)),0,'Reduction in car usage'!$E$46*$B37)))</f>
        <v>0</v>
      </c>
      <c r="AG37" s="97">
        <f>IF(Option2="No",0,IF($A37&lt;ImplementationYear,0,IF($A37&gt;(ImplementationYear+(Appraisal_Period-1)),0,'Reduction in car usage'!$E$47*$B37)))</f>
        <v>0</v>
      </c>
      <c r="AH37" s="97">
        <f>IF(Option2="No",0,IF($A37&lt;ImplementationYear,0,IF($A37&gt;(ImplementationYear+(Appraisal_Period-1)),0,'Reduction in car usage'!$E$48*$B37)))</f>
        <v>0</v>
      </c>
      <c r="AJ37" s="94">
        <f>IF(Option3="No",0,IF($A37=ImplementationYear,('Project details'!$P$10-'Project details'!$D$10)*VLOOKUP(Year_cost_estimate,'Time-series parameters'!$B$11:$C$89,2,FALSE)*$B37*(1+Contingency),0))</f>
        <v>0</v>
      </c>
      <c r="AK37" s="94">
        <f>IF(Option3="No",0,IF($A37&lt;ImplementationYear,0,IF($A37&gt;(ImplementationYear+(Appraisal_Period-1)),0,('Project details'!$P$11-'Project details'!$D$11)*VLOOKUP(Year_cost_estimate,'Time-series parameters'!$B$11:$C$89,2,0))*$B37))</f>
        <v>0</v>
      </c>
      <c r="AL37" s="94">
        <f>IF(Option3="No",0,IF($A37=ImplementationYear,('Project details'!$P$12-'Project details'!$D$12)*VLOOKUP(Year_cost_estimate,'Time-series parameters'!$B$11:$C$89,2,FALSE)*$B37,0))</f>
        <v>0</v>
      </c>
      <c r="AM37" s="97">
        <f>IF(Option3="No",0,IF($A37&lt;ImplementationYear,0,IF($A37&gt;(ImplementationYear+(Appraisal_Period-1)),0,Health!$F$21*$B37)))</f>
        <v>0</v>
      </c>
      <c r="AN37" s="97">
        <f>IF(Option3="No",0,IF($A37&lt;ImplementationYear,0,IF($A37&gt;(ImplementationYear+(Appraisal_Period-1)),0,Health!$F$22*$B37)))</f>
        <v>0</v>
      </c>
      <c r="AO37" s="97">
        <f>IF(Option3="No",0,IF($A37&lt;ImplementationYear,0,IF($A37&gt;(ImplementationYear+(Appraisal_Period-1)),0,SUM('Travel time'!$F$22:$F$23)*$B37)))</f>
        <v>0</v>
      </c>
      <c r="AP37" s="97">
        <f>IF(Option3="No",0,IF($A37&lt;ImplementationYear,0,IF($A37&gt;(ImplementationYear+(Appraisal_Period-1)),0,SUM('Travel time'!$F$20:$F$21)*$B37)))</f>
        <v>0</v>
      </c>
      <c r="AQ37" s="97">
        <f>IF(Option3="No",0,IF($A37&lt;ImplementationYear,0,IF($A37&gt;(ImplementationYear+(Appraisal_Period-1)),0,SUM(Quality!$F$22:$F$23)*$B37)))</f>
        <v>0</v>
      </c>
      <c r="AR37" s="97">
        <f>IF(Option3="No",0,IF($A37&lt;ImplementationYear,0,IF($A37&gt;(ImplementationYear+(Appraisal_Period-1)),0,SUM(Quality!$F$20:$F$21)*$B37)))</f>
        <v>0</v>
      </c>
      <c r="AS37" s="97">
        <f>IF(Option3="No",0,IF($A37&lt;ImplementationYear,0,IF($A37&gt;(ImplementationYear+(Appraisal_Period-1)),0,'Mode change'!$F$36*$B37)))</f>
        <v>0</v>
      </c>
      <c r="AT37" s="97">
        <f>IF(Option3="No",0,IF($A37&lt;ImplementationYear,0,IF($A37&gt;(ImplementationYear+(Appraisal_Period-1)),0,'Mode change'!$F$37*$B37)))</f>
        <v>0</v>
      </c>
      <c r="AU37" s="97">
        <f>IF(Option3="No",0,IF($A37&lt;ImplementationYear,0,IF($A37&gt;(ImplementationYear+(Appraisal_Period-1)),0,'Road safety'!$F$22*$B37)))</f>
        <v>0</v>
      </c>
      <c r="AV37" s="97">
        <f>IF(Option3="No",0,IF($A37&lt;ImplementationYear,0,IF($A37&gt;(ImplementationYear+(Appraisal_Period-1)),0,'Reduction in car usage'!$F$46*$B37)))</f>
        <v>0</v>
      </c>
      <c r="AW37" s="97">
        <f>IF(Option3="No",0,IF($A37&lt;ImplementationYear,0,IF($A37&gt;(ImplementationYear+(Appraisal_Period-1)),0,'Reduction in car usage'!$F$47*$B37)))</f>
        <v>0</v>
      </c>
      <c r="AX37" s="97">
        <f>IF(Option3="No",0,IF($A37&lt;ImplementationYear,0,IF($A37&gt;(ImplementationYear+(Appraisal_Period-1)),0,'Reduction in car usage'!$F$48*$B37)))</f>
        <v>0</v>
      </c>
    </row>
    <row r="38" spans="1:50">
      <c r="A38" s="335">
        <v>2033</v>
      </c>
      <c r="B38" s="62">
        <f>VLOOKUP($A38,'Time-series parameters'!$E$11:$H$89,2,FALSE)</f>
        <v>0.15971003380339105</v>
      </c>
      <c r="C38" s="89"/>
      <c r="D38" s="94">
        <f>IF(Option1="No",0,IF($A38=ImplementationYear,('Project details'!$H$10-'Project details'!$D$10)*VLOOKUP(Year_cost_estimate,'Time-series parameters'!$B$11:$C$89,2,FALSE)*$B38*(1+Contingency),0))</f>
        <v>0</v>
      </c>
      <c r="E38" s="94">
        <f>IF(Option1="No",0,IF($A38&lt;ImplementationYear,0,IF($A38&gt;(ImplementationYear+(Appraisal_Period-1)),0,('Project details'!$H$11-'Project details'!$D$11)*VLOOKUP(Year_cost_estimate,'Time-series parameters'!$B$11:$C$89,2,0))*$B38))</f>
        <v>0</v>
      </c>
      <c r="F38" s="94">
        <f>IF(Option1="No",0,IF($A38=ImplementationYear,('Project details'!$H$12-'Project details'!$D$12)*VLOOKUP(Year_cost_estimate,'Time-series parameters'!$B$11:$C$89,2,FALSE)*$B38,0))</f>
        <v>0</v>
      </c>
      <c r="G38" s="97">
        <f>IF(Option1="No",0,IF($A38&lt;ImplementationYear,0,IF($A38&gt;(ImplementationYear+(Appraisal_Period-1)),0,Health!$D$21*$B38)))</f>
        <v>0</v>
      </c>
      <c r="H38" s="97">
        <f>IF(Option1="No",0,IF($A38&lt;ImplementationYear,0,IF($A38&gt;(ImplementationYear+(Appraisal_Period-1)),0,Health!$D$22*$B38)))</f>
        <v>0</v>
      </c>
      <c r="I38" s="97">
        <f>IF(Option1="No",0,IF($A38&lt;ImplementationYear,0,IF($A38&gt;(ImplementationYear+(Appraisal_Period-1)),0,SUM('Travel time'!$D$22:$D$23)*$B38)))</f>
        <v>0</v>
      </c>
      <c r="J38" s="97">
        <f>IF(Option1="No",0,IF($A38&lt;ImplementationYear,0,IF($A38&gt;(ImplementationYear+(Appraisal_Period-1)),0,SUM('Travel time'!$D$20:$D$21)*$B38)))</f>
        <v>0</v>
      </c>
      <c r="K38" s="97">
        <f>IF(Option1="No",0,IF($A38&lt;ImplementationYear,0,IF($A38&gt;(ImplementationYear+(Appraisal_Period-1)),0,SUM(Quality!$D$22:$D$23)*$B38)))</f>
        <v>0</v>
      </c>
      <c r="L38" s="97">
        <f>IF(Option1="No",0,IF($A38&lt;ImplementationYear,0,IF($A38&gt;(ImplementationYear+(Appraisal_Period-1)),0,SUM(Quality!$D$20:$D$21)*$B38)))</f>
        <v>0</v>
      </c>
      <c r="M38" s="97">
        <f>IF(Option1="No",0,IF($A38&lt;ImplementationYear,0,IF($A38&gt;(ImplementationYear+(Appraisal_Period-1)),0,'Mode change'!$D$36*$B38)))</f>
        <v>0</v>
      </c>
      <c r="N38" s="97">
        <f>IF(Option1="No",0,IF($A38&lt;ImplementationYear,0,IF($A38&gt;(ImplementationYear+(Appraisal_Period-1)),0,'Mode change'!$D$37*$B38)))</f>
        <v>0</v>
      </c>
      <c r="O38" s="97">
        <f>IF(Option1="No",0,IF($A38&lt;ImplementationYear,0,IF($A38&gt;(ImplementationYear+(Appraisal_Period-1)),0,'Road safety'!$D$22*$B38)))</f>
        <v>0</v>
      </c>
      <c r="P38" s="97">
        <f>IF(Option1="No",0,IF($A38&lt;ImplementationYear,0,IF($A38&gt;(ImplementationYear+(Appraisal_Period-1)),0,'Reduction in car usage'!$D$46*$B38)))</f>
        <v>0</v>
      </c>
      <c r="Q38" s="97">
        <f>IF(Option1="No",0,IF($A38&lt;ImplementationYear,0,IF($A38&gt;(ImplementationYear+(Appraisal_Period-1)),0,'Reduction in car usage'!$D$47*$B38)))</f>
        <v>0</v>
      </c>
      <c r="R38" s="97">
        <f>IF(Option1="No",0,IF($A38&lt;ImplementationYear,0,IF($A38&gt;(ImplementationYear+(Appraisal_Period-1)),0,'Reduction in car usage'!$D$48*$B38)))</f>
        <v>0</v>
      </c>
      <c r="S38" s="92"/>
      <c r="T38" s="94">
        <f>IF(Option2="No",0,IF($A38=ImplementationYear,('Project details'!$L$10-'Project details'!$D$10)*VLOOKUP(Year_cost_estimate,'Time-series parameters'!$B$11:$C$89,2,FALSE)*$B38*(1+Contingency),0))</f>
        <v>0</v>
      </c>
      <c r="U38" s="94">
        <f>IF(Option2="No",0,IF($A38&lt;ImplementationYear,0,IF($A38&gt;(ImplementationYear+(Appraisal_Period-1)),0,('Project details'!$L$11-'Project details'!$D$11)*VLOOKUP(Year_cost_estimate,'Time-series parameters'!$B$11:$C$89,2,0))*$B38))</f>
        <v>0</v>
      </c>
      <c r="V38" s="94">
        <f>IF(Option2="No",0,IF($A38=ImplementationYear,('Project details'!$L$12-'Project details'!$D$12)*VLOOKUP(Year_cost_estimate,'Time-series parameters'!$B$11:$C$89,2,FALSE)*$B38,0))</f>
        <v>0</v>
      </c>
      <c r="W38" s="97">
        <f>IF(Option2="No",0,IF($A38&lt;ImplementationYear,0,IF($A38&gt;(ImplementationYear+(Appraisal_Period-1)),0,Health!$E$21*$B38)))</f>
        <v>0</v>
      </c>
      <c r="X38" s="97">
        <f>IF(Option2="No",0,IF($A38&lt;ImplementationYear,0,IF($A38&gt;(ImplementationYear+(Appraisal_Period-1)),0,Health!$E$22*$B38)))</f>
        <v>0</v>
      </c>
      <c r="Y38" s="97">
        <f>IF(Option2="No",0,IF($A38&lt;ImplementationYear,0,IF($A38&gt;(ImplementationYear+(Appraisal_Period-1)),0,SUM('Travel time'!$E$22:$E$23)*$B38)))</f>
        <v>0</v>
      </c>
      <c r="Z38" s="97">
        <f>IF(Option2="No",0,IF($A38&lt;ImplementationYear,0,IF($A38&gt;(ImplementationYear+(Appraisal_Period-1)),0,SUM('Travel time'!$E$20:$E$21)*$B38)))</f>
        <v>0</v>
      </c>
      <c r="AA38" s="97">
        <f>IF(Option2="No",0,IF($A38&lt;ImplementationYear,0,IF($A38&gt;(ImplementationYear+(Appraisal_Period-1)),0,SUM(Quality!$E$22:$E$23)*$B38)))</f>
        <v>0</v>
      </c>
      <c r="AB38" s="97">
        <f>IF(Option2="No",0,IF($A38&lt;ImplementationYear,0,IF($A38&gt;(ImplementationYear+(Appraisal_Period-1)),0,SUM(Quality!$E$20:$E$21)*$B38)))</f>
        <v>0</v>
      </c>
      <c r="AC38" s="97">
        <f>IF(Option2="No",0,IF($A38&lt;ImplementationYear,0,IF($A38&gt;(ImplementationYear+(Appraisal_Period-1)),0,'Mode change'!$E$36*$B38)))</f>
        <v>0</v>
      </c>
      <c r="AD38" s="97">
        <f>IF(Option2="No",0,IF($A38&lt;ImplementationYear,0,IF($A38&gt;(ImplementationYear+(Appraisal_Period-1)),0,'Mode change'!$E$37*$B38)))</f>
        <v>0</v>
      </c>
      <c r="AE38" s="97">
        <f>IF(Option2="No",0,IF($A38&lt;ImplementationYear,0,IF($A38&gt;(ImplementationYear+(Appraisal_Period-1)),0,'Road safety'!$E$22*$B38)))</f>
        <v>0</v>
      </c>
      <c r="AF38" s="97">
        <f>IF(Option2="No",0,IF($A38&lt;ImplementationYear,0,IF($A38&gt;(ImplementationYear+(Appraisal_Period-1)),0,'Reduction in car usage'!$E$46*$B38)))</f>
        <v>0</v>
      </c>
      <c r="AG38" s="97">
        <f>IF(Option2="No",0,IF($A38&lt;ImplementationYear,0,IF($A38&gt;(ImplementationYear+(Appraisal_Period-1)),0,'Reduction in car usage'!$E$47*$B38)))</f>
        <v>0</v>
      </c>
      <c r="AH38" s="97">
        <f>IF(Option2="No",0,IF($A38&lt;ImplementationYear,0,IF($A38&gt;(ImplementationYear+(Appraisal_Period-1)),0,'Reduction in car usage'!$E$48*$B38)))</f>
        <v>0</v>
      </c>
      <c r="AJ38" s="94">
        <f>IF(Option3="No",0,IF($A38=ImplementationYear,('Project details'!$P$10-'Project details'!$D$10)*VLOOKUP(Year_cost_estimate,'Time-series parameters'!$B$11:$C$89,2,FALSE)*$B38*(1+Contingency),0))</f>
        <v>0</v>
      </c>
      <c r="AK38" s="94">
        <f>IF(Option3="No",0,IF($A38&lt;ImplementationYear,0,IF($A38&gt;(ImplementationYear+(Appraisal_Period-1)),0,('Project details'!$P$11-'Project details'!$D$11)*VLOOKUP(Year_cost_estimate,'Time-series parameters'!$B$11:$C$89,2,0))*$B38))</f>
        <v>0</v>
      </c>
      <c r="AL38" s="94">
        <f>IF(Option3="No",0,IF($A38=ImplementationYear,('Project details'!$P$12-'Project details'!$D$12)*VLOOKUP(Year_cost_estimate,'Time-series parameters'!$B$11:$C$89,2,FALSE)*$B38,0))</f>
        <v>0</v>
      </c>
      <c r="AM38" s="97">
        <f>IF(Option3="No",0,IF($A38&lt;ImplementationYear,0,IF($A38&gt;(ImplementationYear+(Appraisal_Period-1)),0,Health!$F$21*$B38)))</f>
        <v>0</v>
      </c>
      <c r="AN38" s="97">
        <f>IF(Option3="No",0,IF($A38&lt;ImplementationYear,0,IF($A38&gt;(ImplementationYear+(Appraisal_Period-1)),0,Health!$F$22*$B38)))</f>
        <v>0</v>
      </c>
      <c r="AO38" s="97">
        <f>IF(Option3="No",0,IF($A38&lt;ImplementationYear,0,IF($A38&gt;(ImplementationYear+(Appraisal_Period-1)),0,SUM('Travel time'!$F$22:$F$23)*$B38)))</f>
        <v>0</v>
      </c>
      <c r="AP38" s="97">
        <f>IF(Option3="No",0,IF($A38&lt;ImplementationYear,0,IF($A38&gt;(ImplementationYear+(Appraisal_Period-1)),0,SUM('Travel time'!$F$20:$F$21)*$B38)))</f>
        <v>0</v>
      </c>
      <c r="AQ38" s="97">
        <f>IF(Option3="No",0,IF($A38&lt;ImplementationYear,0,IF($A38&gt;(ImplementationYear+(Appraisal_Period-1)),0,SUM(Quality!$F$22:$F$23)*$B38)))</f>
        <v>0</v>
      </c>
      <c r="AR38" s="97">
        <f>IF(Option3="No",0,IF($A38&lt;ImplementationYear,0,IF($A38&gt;(ImplementationYear+(Appraisal_Period-1)),0,SUM(Quality!$F$20:$F$21)*$B38)))</f>
        <v>0</v>
      </c>
      <c r="AS38" s="97">
        <f>IF(Option3="No",0,IF($A38&lt;ImplementationYear,0,IF($A38&gt;(ImplementationYear+(Appraisal_Period-1)),0,'Mode change'!$F$36*$B38)))</f>
        <v>0</v>
      </c>
      <c r="AT38" s="97">
        <f>IF(Option3="No",0,IF($A38&lt;ImplementationYear,0,IF($A38&gt;(ImplementationYear+(Appraisal_Period-1)),0,'Mode change'!$F$37*$B38)))</f>
        <v>0</v>
      </c>
      <c r="AU38" s="97">
        <f>IF(Option3="No",0,IF($A38&lt;ImplementationYear,0,IF($A38&gt;(ImplementationYear+(Appraisal_Period-1)),0,'Road safety'!$F$22*$B38)))</f>
        <v>0</v>
      </c>
      <c r="AV38" s="97">
        <f>IF(Option3="No",0,IF($A38&lt;ImplementationYear,0,IF($A38&gt;(ImplementationYear+(Appraisal_Period-1)),0,'Reduction in car usage'!$F$46*$B38)))</f>
        <v>0</v>
      </c>
      <c r="AW38" s="97">
        <f>IF(Option3="No",0,IF($A38&lt;ImplementationYear,0,IF($A38&gt;(ImplementationYear+(Appraisal_Period-1)),0,'Reduction in car usage'!$F$47*$B38)))</f>
        <v>0</v>
      </c>
      <c r="AX38" s="97">
        <f>IF(Option3="No",0,IF($A38&lt;ImplementationYear,0,IF($A38&gt;(ImplementationYear+(Appraisal_Period-1)),0,'Reduction in car usage'!$F$48*$B38)))</f>
        <v>0</v>
      </c>
    </row>
    <row r="39" spans="1:50">
      <c r="A39" s="335">
        <v>2034</v>
      </c>
      <c r="B39" s="62">
        <f>VLOOKUP($A39,'Time-series parameters'!$E$11:$H$89,2,FALSE)</f>
        <v>0.14693323109911977</v>
      </c>
      <c r="C39" s="89"/>
      <c r="D39" s="94">
        <f>IF(Option1="No",0,IF($A39=ImplementationYear,('Project details'!$H$10-'Project details'!$D$10)*VLOOKUP(Year_cost_estimate,'Time-series parameters'!$B$11:$C$89,2,FALSE)*$B39*(1+Contingency),0))</f>
        <v>0</v>
      </c>
      <c r="E39" s="94">
        <f>IF(Option1="No",0,IF($A39&lt;ImplementationYear,0,IF($A39&gt;(ImplementationYear+(Appraisal_Period-1)),0,('Project details'!$H$11-'Project details'!$D$11)*VLOOKUP(Year_cost_estimate,'Time-series parameters'!$B$11:$C$89,2,0))*$B39))</f>
        <v>0</v>
      </c>
      <c r="F39" s="94">
        <f>IF(Option1="No",0,IF($A39=ImplementationYear,('Project details'!$H$12-'Project details'!$D$12)*VLOOKUP(Year_cost_estimate,'Time-series parameters'!$B$11:$C$89,2,FALSE)*$B39,0))</f>
        <v>0</v>
      </c>
      <c r="G39" s="97">
        <f>IF(Option1="No",0,IF($A39&lt;ImplementationYear,0,IF($A39&gt;(ImplementationYear+(Appraisal_Period-1)),0,Health!$D$21*$B39)))</f>
        <v>0</v>
      </c>
      <c r="H39" s="97">
        <f>IF(Option1="No",0,IF($A39&lt;ImplementationYear,0,IF($A39&gt;(ImplementationYear+(Appraisal_Period-1)),0,Health!$D$22*$B39)))</f>
        <v>0</v>
      </c>
      <c r="I39" s="97">
        <f>IF(Option1="No",0,IF($A39&lt;ImplementationYear,0,IF($A39&gt;(ImplementationYear+(Appraisal_Period-1)),0,SUM('Travel time'!$D$22:$D$23)*$B39)))</f>
        <v>0</v>
      </c>
      <c r="J39" s="97">
        <f>IF(Option1="No",0,IF($A39&lt;ImplementationYear,0,IF($A39&gt;(ImplementationYear+(Appraisal_Period-1)),0,SUM('Travel time'!$D$20:$D$21)*$B39)))</f>
        <v>0</v>
      </c>
      <c r="K39" s="97">
        <f>IF(Option1="No",0,IF($A39&lt;ImplementationYear,0,IF($A39&gt;(ImplementationYear+(Appraisal_Period-1)),0,SUM(Quality!$D$22:$D$23)*$B39)))</f>
        <v>0</v>
      </c>
      <c r="L39" s="97">
        <f>IF(Option1="No",0,IF($A39&lt;ImplementationYear,0,IF($A39&gt;(ImplementationYear+(Appraisal_Period-1)),0,SUM(Quality!$D$20:$D$21)*$B39)))</f>
        <v>0</v>
      </c>
      <c r="M39" s="97">
        <f>IF(Option1="No",0,IF($A39&lt;ImplementationYear,0,IF($A39&gt;(ImplementationYear+(Appraisal_Period-1)),0,'Mode change'!$D$36*$B39)))</f>
        <v>0</v>
      </c>
      <c r="N39" s="97">
        <f>IF(Option1="No",0,IF($A39&lt;ImplementationYear,0,IF($A39&gt;(ImplementationYear+(Appraisal_Period-1)),0,'Mode change'!$D$37*$B39)))</f>
        <v>0</v>
      </c>
      <c r="O39" s="97">
        <f>IF(Option1="No",0,IF($A39&lt;ImplementationYear,0,IF($A39&gt;(ImplementationYear+(Appraisal_Period-1)),0,'Road safety'!$D$22*$B39)))</f>
        <v>0</v>
      </c>
      <c r="P39" s="97">
        <f>IF(Option1="No",0,IF($A39&lt;ImplementationYear,0,IF($A39&gt;(ImplementationYear+(Appraisal_Period-1)),0,'Reduction in car usage'!$D$46*$B39)))</f>
        <v>0</v>
      </c>
      <c r="Q39" s="97">
        <f>IF(Option1="No",0,IF($A39&lt;ImplementationYear,0,IF($A39&gt;(ImplementationYear+(Appraisal_Period-1)),0,'Reduction in car usage'!$D$47*$B39)))</f>
        <v>0</v>
      </c>
      <c r="R39" s="97">
        <f>IF(Option1="No",0,IF($A39&lt;ImplementationYear,0,IF($A39&gt;(ImplementationYear+(Appraisal_Period-1)),0,'Reduction in car usage'!$D$48*$B39)))</f>
        <v>0</v>
      </c>
      <c r="S39" s="92"/>
      <c r="T39" s="94">
        <f>IF(Option2="No",0,IF($A39=ImplementationYear,('Project details'!$L$10-'Project details'!$D$10)*VLOOKUP(Year_cost_estimate,'Time-series parameters'!$B$11:$C$89,2,FALSE)*$B39*(1+Contingency),0))</f>
        <v>0</v>
      </c>
      <c r="U39" s="94">
        <f>IF(Option2="No",0,IF($A39&lt;ImplementationYear,0,IF($A39&gt;(ImplementationYear+(Appraisal_Period-1)),0,('Project details'!$L$11-'Project details'!$D$11)*VLOOKUP(Year_cost_estimate,'Time-series parameters'!$B$11:$C$89,2,0))*$B39))</f>
        <v>0</v>
      </c>
      <c r="V39" s="94">
        <f>IF(Option2="No",0,IF($A39=ImplementationYear,('Project details'!$L$12-'Project details'!$D$12)*VLOOKUP(Year_cost_estimate,'Time-series parameters'!$B$11:$C$89,2,FALSE)*$B39,0))</f>
        <v>0</v>
      </c>
      <c r="W39" s="97">
        <f>IF(Option2="No",0,IF($A39&lt;ImplementationYear,0,IF($A39&gt;(ImplementationYear+(Appraisal_Period-1)),0,Health!$E$21*$B39)))</f>
        <v>0</v>
      </c>
      <c r="X39" s="97">
        <f>IF(Option2="No",0,IF($A39&lt;ImplementationYear,0,IF($A39&gt;(ImplementationYear+(Appraisal_Period-1)),0,Health!$E$22*$B39)))</f>
        <v>0</v>
      </c>
      <c r="Y39" s="97">
        <f>IF(Option2="No",0,IF($A39&lt;ImplementationYear,0,IF($A39&gt;(ImplementationYear+(Appraisal_Period-1)),0,SUM('Travel time'!$E$22:$E$23)*$B39)))</f>
        <v>0</v>
      </c>
      <c r="Z39" s="97">
        <f>IF(Option2="No",0,IF($A39&lt;ImplementationYear,0,IF($A39&gt;(ImplementationYear+(Appraisal_Period-1)),0,SUM('Travel time'!$E$20:$E$21)*$B39)))</f>
        <v>0</v>
      </c>
      <c r="AA39" s="97">
        <f>IF(Option2="No",0,IF($A39&lt;ImplementationYear,0,IF($A39&gt;(ImplementationYear+(Appraisal_Period-1)),0,SUM(Quality!$E$22:$E$23)*$B39)))</f>
        <v>0</v>
      </c>
      <c r="AB39" s="97">
        <f>IF(Option2="No",0,IF($A39&lt;ImplementationYear,0,IF($A39&gt;(ImplementationYear+(Appraisal_Period-1)),0,SUM(Quality!$E$20:$E$21)*$B39)))</f>
        <v>0</v>
      </c>
      <c r="AC39" s="97">
        <f>IF(Option2="No",0,IF($A39&lt;ImplementationYear,0,IF($A39&gt;(ImplementationYear+(Appraisal_Period-1)),0,'Mode change'!$E$36*$B39)))</f>
        <v>0</v>
      </c>
      <c r="AD39" s="97">
        <f>IF(Option2="No",0,IF($A39&lt;ImplementationYear,0,IF($A39&gt;(ImplementationYear+(Appraisal_Period-1)),0,'Mode change'!$E$37*$B39)))</f>
        <v>0</v>
      </c>
      <c r="AE39" s="97">
        <f>IF(Option2="No",0,IF($A39&lt;ImplementationYear,0,IF($A39&gt;(ImplementationYear+(Appraisal_Period-1)),0,'Road safety'!$E$22*$B39)))</f>
        <v>0</v>
      </c>
      <c r="AF39" s="97">
        <f>IF(Option2="No",0,IF($A39&lt;ImplementationYear,0,IF($A39&gt;(ImplementationYear+(Appraisal_Period-1)),0,'Reduction in car usage'!$E$46*$B39)))</f>
        <v>0</v>
      </c>
      <c r="AG39" s="97">
        <f>IF(Option2="No",0,IF($A39&lt;ImplementationYear,0,IF($A39&gt;(ImplementationYear+(Appraisal_Period-1)),0,'Reduction in car usage'!$E$47*$B39)))</f>
        <v>0</v>
      </c>
      <c r="AH39" s="97">
        <f>IF(Option2="No",0,IF($A39&lt;ImplementationYear,0,IF($A39&gt;(ImplementationYear+(Appraisal_Period-1)),0,'Reduction in car usage'!$E$48*$B39)))</f>
        <v>0</v>
      </c>
      <c r="AJ39" s="94">
        <f>IF(Option3="No",0,IF($A39=ImplementationYear,('Project details'!$P$10-'Project details'!$D$10)*VLOOKUP(Year_cost_estimate,'Time-series parameters'!$B$11:$C$89,2,FALSE)*$B39*(1+Contingency),0))</f>
        <v>0</v>
      </c>
      <c r="AK39" s="94">
        <f>IF(Option3="No",0,IF($A39&lt;ImplementationYear,0,IF($A39&gt;(ImplementationYear+(Appraisal_Period-1)),0,('Project details'!$P$11-'Project details'!$D$11)*VLOOKUP(Year_cost_estimate,'Time-series parameters'!$B$11:$C$89,2,0))*$B39))</f>
        <v>0</v>
      </c>
      <c r="AL39" s="94">
        <f>IF(Option3="No",0,IF($A39=ImplementationYear,('Project details'!$P$12-'Project details'!$D$12)*VLOOKUP(Year_cost_estimate,'Time-series parameters'!$B$11:$C$89,2,FALSE)*$B39,0))</f>
        <v>0</v>
      </c>
      <c r="AM39" s="97">
        <f>IF(Option3="No",0,IF($A39&lt;ImplementationYear,0,IF($A39&gt;(ImplementationYear+(Appraisal_Period-1)),0,Health!$F$21*$B39)))</f>
        <v>0</v>
      </c>
      <c r="AN39" s="97">
        <f>IF(Option3="No",0,IF($A39&lt;ImplementationYear,0,IF($A39&gt;(ImplementationYear+(Appraisal_Period-1)),0,Health!$F$22*$B39)))</f>
        <v>0</v>
      </c>
      <c r="AO39" s="97">
        <f>IF(Option3="No",0,IF($A39&lt;ImplementationYear,0,IF($A39&gt;(ImplementationYear+(Appraisal_Period-1)),0,SUM('Travel time'!$F$22:$F$23)*$B39)))</f>
        <v>0</v>
      </c>
      <c r="AP39" s="97">
        <f>IF(Option3="No",0,IF($A39&lt;ImplementationYear,0,IF($A39&gt;(ImplementationYear+(Appraisal_Period-1)),0,SUM('Travel time'!$F$20:$F$21)*$B39)))</f>
        <v>0</v>
      </c>
      <c r="AQ39" s="97">
        <f>IF(Option3="No",0,IF($A39&lt;ImplementationYear,0,IF($A39&gt;(ImplementationYear+(Appraisal_Period-1)),0,SUM(Quality!$F$22:$F$23)*$B39)))</f>
        <v>0</v>
      </c>
      <c r="AR39" s="97">
        <f>IF(Option3="No",0,IF($A39&lt;ImplementationYear,0,IF($A39&gt;(ImplementationYear+(Appraisal_Period-1)),0,SUM(Quality!$F$20:$F$21)*$B39)))</f>
        <v>0</v>
      </c>
      <c r="AS39" s="97">
        <f>IF(Option3="No",0,IF($A39&lt;ImplementationYear,0,IF($A39&gt;(ImplementationYear+(Appraisal_Period-1)),0,'Mode change'!$F$36*$B39)))</f>
        <v>0</v>
      </c>
      <c r="AT39" s="97">
        <f>IF(Option3="No",0,IF($A39&lt;ImplementationYear,0,IF($A39&gt;(ImplementationYear+(Appraisal_Period-1)),0,'Mode change'!$F$37*$B39)))</f>
        <v>0</v>
      </c>
      <c r="AU39" s="97">
        <f>IF(Option3="No",0,IF($A39&lt;ImplementationYear,0,IF($A39&gt;(ImplementationYear+(Appraisal_Period-1)),0,'Road safety'!$F$22*$B39)))</f>
        <v>0</v>
      </c>
      <c r="AV39" s="97">
        <f>IF(Option3="No",0,IF($A39&lt;ImplementationYear,0,IF($A39&gt;(ImplementationYear+(Appraisal_Period-1)),0,'Reduction in car usage'!$F$46*$B39)))</f>
        <v>0</v>
      </c>
      <c r="AW39" s="97">
        <f>IF(Option3="No",0,IF($A39&lt;ImplementationYear,0,IF($A39&gt;(ImplementationYear+(Appraisal_Period-1)),0,'Reduction in car usage'!$F$47*$B39)))</f>
        <v>0</v>
      </c>
      <c r="AX39" s="97">
        <f>IF(Option3="No",0,IF($A39&lt;ImplementationYear,0,IF($A39&gt;(ImplementationYear+(Appraisal_Period-1)),0,'Reduction in car usage'!$F$48*$B39)))</f>
        <v>0</v>
      </c>
    </row>
    <row r="40" spans="1:50">
      <c r="A40" s="335">
        <v>2035</v>
      </c>
      <c r="B40" s="62">
        <f>VLOOKUP($A40,'Time-series parameters'!$E$11:$H$89,2,FALSE)</f>
        <v>0.13517857261119018</v>
      </c>
      <c r="C40" s="89"/>
      <c r="D40" s="94">
        <f>IF(Option1="No",0,IF($A40=ImplementationYear,('Project details'!$H$10-'Project details'!$D$10)*VLOOKUP(Year_cost_estimate,'Time-series parameters'!$B$11:$C$89,2,FALSE)*$B40*(1+Contingency),0))</f>
        <v>0</v>
      </c>
      <c r="E40" s="94">
        <f>IF(Option1="No",0,IF($A40&lt;ImplementationYear,0,IF($A40&gt;(ImplementationYear+(Appraisal_Period-1)),0,('Project details'!$H$11-'Project details'!$D$11)*VLOOKUP(Year_cost_estimate,'Time-series parameters'!$B$11:$C$89,2,0))*$B40))</f>
        <v>0</v>
      </c>
      <c r="F40" s="94">
        <f>IF(Option1="No",0,IF($A40=ImplementationYear,('Project details'!$H$12-'Project details'!$D$12)*VLOOKUP(Year_cost_estimate,'Time-series parameters'!$B$11:$C$89,2,FALSE)*$B40,0))</f>
        <v>0</v>
      </c>
      <c r="G40" s="97">
        <f>IF(Option1="No",0,IF($A40&lt;ImplementationYear,0,IF($A40&gt;(ImplementationYear+(Appraisal_Period-1)),0,Health!$D$21*$B40)))</f>
        <v>0</v>
      </c>
      <c r="H40" s="97">
        <f>IF(Option1="No",0,IF($A40&lt;ImplementationYear,0,IF($A40&gt;(ImplementationYear+(Appraisal_Period-1)),0,Health!$D$22*$B40)))</f>
        <v>0</v>
      </c>
      <c r="I40" s="97">
        <f>IF(Option1="No",0,IF($A40&lt;ImplementationYear,0,IF($A40&gt;(ImplementationYear+(Appraisal_Period-1)),0,SUM('Travel time'!$D$22:$D$23)*$B40)))</f>
        <v>0</v>
      </c>
      <c r="J40" s="97">
        <f>IF(Option1="No",0,IF($A40&lt;ImplementationYear,0,IF($A40&gt;(ImplementationYear+(Appraisal_Period-1)),0,SUM('Travel time'!$D$20:$D$21)*$B40)))</f>
        <v>0</v>
      </c>
      <c r="K40" s="97">
        <f>IF(Option1="No",0,IF($A40&lt;ImplementationYear,0,IF($A40&gt;(ImplementationYear+(Appraisal_Period-1)),0,SUM(Quality!$D$22:$D$23)*$B40)))</f>
        <v>0</v>
      </c>
      <c r="L40" s="97">
        <f>IF(Option1="No",0,IF($A40&lt;ImplementationYear,0,IF($A40&gt;(ImplementationYear+(Appraisal_Period-1)),0,SUM(Quality!$D$20:$D$21)*$B40)))</f>
        <v>0</v>
      </c>
      <c r="M40" s="97">
        <f>IF(Option1="No",0,IF($A40&lt;ImplementationYear,0,IF($A40&gt;(ImplementationYear+(Appraisal_Period-1)),0,'Mode change'!$D$36*$B40)))</f>
        <v>0</v>
      </c>
      <c r="N40" s="97">
        <f>IF(Option1="No",0,IF($A40&lt;ImplementationYear,0,IF($A40&gt;(ImplementationYear+(Appraisal_Period-1)),0,'Mode change'!$D$37*$B40)))</f>
        <v>0</v>
      </c>
      <c r="O40" s="97">
        <f>IF(Option1="No",0,IF($A40&lt;ImplementationYear,0,IF($A40&gt;(ImplementationYear+(Appraisal_Period-1)),0,'Road safety'!$D$22*$B40)))</f>
        <v>0</v>
      </c>
      <c r="P40" s="97">
        <f>IF(Option1="No",0,IF($A40&lt;ImplementationYear,0,IF($A40&gt;(ImplementationYear+(Appraisal_Period-1)),0,'Reduction in car usage'!$D$46*$B40)))</f>
        <v>0</v>
      </c>
      <c r="Q40" s="97">
        <f>IF(Option1="No",0,IF($A40&lt;ImplementationYear,0,IF($A40&gt;(ImplementationYear+(Appraisal_Period-1)),0,'Reduction in car usage'!$D$47*$B40)))</f>
        <v>0</v>
      </c>
      <c r="R40" s="97">
        <f>IF(Option1="No",0,IF($A40&lt;ImplementationYear,0,IF($A40&gt;(ImplementationYear+(Appraisal_Period-1)),0,'Reduction in car usage'!$D$48*$B40)))</f>
        <v>0</v>
      </c>
      <c r="S40" s="92"/>
      <c r="T40" s="94">
        <f>IF(Option2="No",0,IF($A40=ImplementationYear,('Project details'!$L$10-'Project details'!$D$10)*VLOOKUP(Year_cost_estimate,'Time-series parameters'!$B$11:$C$89,2,FALSE)*$B40*(1+Contingency),0))</f>
        <v>0</v>
      </c>
      <c r="U40" s="94">
        <f>IF(Option2="No",0,IF($A40&lt;ImplementationYear,0,IF($A40&gt;(ImplementationYear+(Appraisal_Period-1)),0,('Project details'!$L$11-'Project details'!$D$11)*VLOOKUP(Year_cost_estimate,'Time-series parameters'!$B$11:$C$89,2,0))*$B40))</f>
        <v>0</v>
      </c>
      <c r="V40" s="94">
        <f>IF(Option2="No",0,IF($A40=ImplementationYear,('Project details'!$L$12-'Project details'!$D$12)*VLOOKUP(Year_cost_estimate,'Time-series parameters'!$B$11:$C$89,2,FALSE)*$B40,0))</f>
        <v>0</v>
      </c>
      <c r="W40" s="97">
        <f>IF(Option2="No",0,IF($A40&lt;ImplementationYear,0,IF($A40&gt;(ImplementationYear+(Appraisal_Period-1)),0,Health!$E$21*$B40)))</f>
        <v>0</v>
      </c>
      <c r="X40" s="97">
        <f>IF(Option2="No",0,IF($A40&lt;ImplementationYear,0,IF($A40&gt;(ImplementationYear+(Appraisal_Period-1)),0,Health!$E$22*$B40)))</f>
        <v>0</v>
      </c>
      <c r="Y40" s="97">
        <f>IF(Option2="No",0,IF($A40&lt;ImplementationYear,0,IF($A40&gt;(ImplementationYear+(Appraisal_Period-1)),0,SUM('Travel time'!$E$22:$E$23)*$B40)))</f>
        <v>0</v>
      </c>
      <c r="Z40" s="97">
        <f>IF(Option2="No",0,IF($A40&lt;ImplementationYear,0,IF($A40&gt;(ImplementationYear+(Appraisal_Period-1)),0,SUM('Travel time'!$E$20:$E$21)*$B40)))</f>
        <v>0</v>
      </c>
      <c r="AA40" s="97">
        <f>IF(Option2="No",0,IF($A40&lt;ImplementationYear,0,IF($A40&gt;(ImplementationYear+(Appraisal_Period-1)),0,SUM(Quality!$E$22:$E$23)*$B40)))</f>
        <v>0</v>
      </c>
      <c r="AB40" s="97">
        <f>IF(Option2="No",0,IF($A40&lt;ImplementationYear,0,IF($A40&gt;(ImplementationYear+(Appraisal_Period-1)),0,SUM(Quality!$E$20:$E$21)*$B40)))</f>
        <v>0</v>
      </c>
      <c r="AC40" s="97">
        <f>IF(Option2="No",0,IF($A40&lt;ImplementationYear,0,IF($A40&gt;(ImplementationYear+(Appraisal_Period-1)),0,'Mode change'!$E$36*$B40)))</f>
        <v>0</v>
      </c>
      <c r="AD40" s="97">
        <f>IF(Option2="No",0,IF($A40&lt;ImplementationYear,0,IF($A40&gt;(ImplementationYear+(Appraisal_Period-1)),0,'Mode change'!$E$37*$B40)))</f>
        <v>0</v>
      </c>
      <c r="AE40" s="97">
        <f>IF(Option2="No",0,IF($A40&lt;ImplementationYear,0,IF($A40&gt;(ImplementationYear+(Appraisal_Period-1)),0,'Road safety'!$E$22*$B40)))</f>
        <v>0</v>
      </c>
      <c r="AF40" s="97">
        <f>IF(Option2="No",0,IF($A40&lt;ImplementationYear,0,IF($A40&gt;(ImplementationYear+(Appraisal_Period-1)),0,'Reduction in car usage'!$E$46*$B40)))</f>
        <v>0</v>
      </c>
      <c r="AG40" s="97">
        <f>IF(Option2="No",0,IF($A40&lt;ImplementationYear,0,IF($A40&gt;(ImplementationYear+(Appraisal_Period-1)),0,'Reduction in car usage'!$E$47*$B40)))</f>
        <v>0</v>
      </c>
      <c r="AH40" s="97">
        <f>IF(Option2="No",0,IF($A40&lt;ImplementationYear,0,IF($A40&gt;(ImplementationYear+(Appraisal_Period-1)),0,'Reduction in car usage'!$E$48*$B40)))</f>
        <v>0</v>
      </c>
      <c r="AJ40" s="94">
        <f>IF(Option3="No",0,IF($A40=ImplementationYear,('Project details'!$P$10-'Project details'!$D$10)*VLOOKUP(Year_cost_estimate,'Time-series parameters'!$B$11:$C$89,2,FALSE)*$B40*(1+Contingency),0))</f>
        <v>0</v>
      </c>
      <c r="AK40" s="94">
        <f>IF(Option3="No",0,IF($A40&lt;ImplementationYear,0,IF($A40&gt;(ImplementationYear+(Appraisal_Period-1)),0,('Project details'!$P$11-'Project details'!$D$11)*VLOOKUP(Year_cost_estimate,'Time-series parameters'!$B$11:$C$89,2,0))*$B40))</f>
        <v>0</v>
      </c>
      <c r="AL40" s="94">
        <f>IF(Option3="No",0,IF($A40=ImplementationYear,('Project details'!$P$12-'Project details'!$D$12)*VLOOKUP(Year_cost_estimate,'Time-series parameters'!$B$11:$C$89,2,FALSE)*$B40,0))</f>
        <v>0</v>
      </c>
      <c r="AM40" s="97">
        <f>IF(Option3="No",0,IF($A40&lt;ImplementationYear,0,IF($A40&gt;(ImplementationYear+(Appraisal_Period-1)),0,Health!$F$21*$B40)))</f>
        <v>0</v>
      </c>
      <c r="AN40" s="97">
        <f>IF(Option3="No",0,IF($A40&lt;ImplementationYear,0,IF($A40&gt;(ImplementationYear+(Appraisal_Period-1)),0,Health!$F$22*$B40)))</f>
        <v>0</v>
      </c>
      <c r="AO40" s="97">
        <f>IF(Option3="No",0,IF($A40&lt;ImplementationYear,0,IF($A40&gt;(ImplementationYear+(Appraisal_Period-1)),0,SUM('Travel time'!$F$22:$F$23)*$B40)))</f>
        <v>0</v>
      </c>
      <c r="AP40" s="97">
        <f>IF(Option3="No",0,IF($A40&lt;ImplementationYear,0,IF($A40&gt;(ImplementationYear+(Appraisal_Period-1)),0,SUM('Travel time'!$F$20:$F$21)*$B40)))</f>
        <v>0</v>
      </c>
      <c r="AQ40" s="97">
        <f>IF(Option3="No",0,IF($A40&lt;ImplementationYear,0,IF($A40&gt;(ImplementationYear+(Appraisal_Period-1)),0,SUM(Quality!$F$22:$F$23)*$B40)))</f>
        <v>0</v>
      </c>
      <c r="AR40" s="97">
        <f>IF(Option3="No",0,IF($A40&lt;ImplementationYear,0,IF($A40&gt;(ImplementationYear+(Appraisal_Period-1)),0,SUM(Quality!$F$20:$F$21)*$B40)))</f>
        <v>0</v>
      </c>
      <c r="AS40" s="97">
        <f>IF(Option3="No",0,IF($A40&lt;ImplementationYear,0,IF($A40&gt;(ImplementationYear+(Appraisal_Period-1)),0,'Mode change'!$F$36*$B40)))</f>
        <v>0</v>
      </c>
      <c r="AT40" s="97">
        <f>IF(Option3="No",0,IF($A40&lt;ImplementationYear,0,IF($A40&gt;(ImplementationYear+(Appraisal_Period-1)),0,'Mode change'!$F$37*$B40)))</f>
        <v>0</v>
      </c>
      <c r="AU40" s="97">
        <f>IF(Option3="No",0,IF($A40&lt;ImplementationYear,0,IF($A40&gt;(ImplementationYear+(Appraisal_Period-1)),0,'Road safety'!$F$22*$B40)))</f>
        <v>0</v>
      </c>
      <c r="AV40" s="97">
        <f>IF(Option3="No",0,IF($A40&lt;ImplementationYear,0,IF($A40&gt;(ImplementationYear+(Appraisal_Period-1)),0,'Reduction in car usage'!$F$46*$B40)))</f>
        <v>0</v>
      </c>
      <c r="AW40" s="97">
        <f>IF(Option3="No",0,IF($A40&lt;ImplementationYear,0,IF($A40&gt;(ImplementationYear+(Appraisal_Period-1)),0,'Reduction in car usage'!$F$47*$B40)))</f>
        <v>0</v>
      </c>
      <c r="AX40" s="97">
        <f>IF(Option3="No",0,IF($A40&lt;ImplementationYear,0,IF($A40&gt;(ImplementationYear+(Appraisal_Period-1)),0,'Reduction in car usage'!$F$48*$B40)))</f>
        <v>0</v>
      </c>
    </row>
    <row r="41" spans="1:50">
      <c r="A41" s="335">
        <v>2036</v>
      </c>
      <c r="B41" s="62">
        <f>VLOOKUP($A41,'Time-series parameters'!$E$11:$H$89,2,FALSE)</f>
        <v>0.12436428680229497</v>
      </c>
      <c r="C41" s="89"/>
      <c r="D41" s="94">
        <f>IF(Option1="No",0,IF($A41=ImplementationYear,('Project details'!$H$10-'Project details'!$D$10)*VLOOKUP(Year_cost_estimate,'Time-series parameters'!$B$11:$C$89,2,FALSE)*$B41*(1+Contingency),0))</f>
        <v>0</v>
      </c>
      <c r="E41" s="94">
        <f>IF(Option1="No",0,IF($A41&lt;ImplementationYear,0,IF($A41&gt;(ImplementationYear+(Appraisal_Period-1)),0,('Project details'!$H$11-'Project details'!$D$11)*VLOOKUP(Year_cost_estimate,'Time-series parameters'!$B$11:$C$89,2,0))*$B41))</f>
        <v>0</v>
      </c>
      <c r="F41" s="94">
        <f>IF(Option1="No",0,IF($A41=ImplementationYear,('Project details'!$H$12-'Project details'!$D$12)*VLOOKUP(Year_cost_estimate,'Time-series parameters'!$B$11:$C$89,2,FALSE)*$B41,0))</f>
        <v>0</v>
      </c>
      <c r="G41" s="97">
        <f>IF(Option1="No",0,IF($A41&lt;ImplementationYear,0,IF($A41&gt;(ImplementationYear+(Appraisal_Period-1)),0,Health!$D$21*$B41)))</f>
        <v>0</v>
      </c>
      <c r="H41" s="97">
        <f>IF(Option1="No",0,IF($A41&lt;ImplementationYear,0,IF($A41&gt;(ImplementationYear+(Appraisal_Period-1)),0,Health!$D$22*$B41)))</f>
        <v>0</v>
      </c>
      <c r="I41" s="97">
        <f>IF(Option1="No",0,IF($A41&lt;ImplementationYear,0,IF($A41&gt;(ImplementationYear+(Appraisal_Period-1)),0,SUM('Travel time'!$D$22:$D$23)*$B41)))</f>
        <v>0</v>
      </c>
      <c r="J41" s="97">
        <f>IF(Option1="No",0,IF($A41&lt;ImplementationYear,0,IF($A41&gt;(ImplementationYear+(Appraisal_Period-1)),0,SUM('Travel time'!$D$20:$D$21)*$B41)))</f>
        <v>0</v>
      </c>
      <c r="K41" s="97">
        <f>IF(Option1="No",0,IF($A41&lt;ImplementationYear,0,IF($A41&gt;(ImplementationYear+(Appraisal_Period-1)),0,SUM(Quality!$D$22:$D$23)*$B41)))</f>
        <v>0</v>
      </c>
      <c r="L41" s="97">
        <f>IF(Option1="No",0,IF($A41&lt;ImplementationYear,0,IF($A41&gt;(ImplementationYear+(Appraisal_Period-1)),0,SUM(Quality!$D$20:$D$21)*$B41)))</f>
        <v>0</v>
      </c>
      <c r="M41" s="97">
        <f>IF(Option1="No",0,IF($A41&lt;ImplementationYear,0,IF($A41&gt;(ImplementationYear+(Appraisal_Period-1)),0,'Mode change'!$D$36*$B41)))</f>
        <v>0</v>
      </c>
      <c r="N41" s="97">
        <f>IF(Option1="No",0,IF($A41&lt;ImplementationYear,0,IF($A41&gt;(ImplementationYear+(Appraisal_Period-1)),0,'Mode change'!$D$37*$B41)))</f>
        <v>0</v>
      </c>
      <c r="O41" s="97">
        <f>IF(Option1="No",0,IF($A41&lt;ImplementationYear,0,IF($A41&gt;(ImplementationYear+(Appraisal_Period-1)),0,'Road safety'!$D$22*$B41)))</f>
        <v>0</v>
      </c>
      <c r="P41" s="97">
        <f>IF(Option1="No",0,IF($A41&lt;ImplementationYear,0,IF($A41&gt;(ImplementationYear+(Appraisal_Period-1)),0,'Reduction in car usage'!$D$46*$B41)))</f>
        <v>0</v>
      </c>
      <c r="Q41" s="97">
        <f>IF(Option1="No",0,IF($A41&lt;ImplementationYear,0,IF($A41&gt;(ImplementationYear+(Appraisal_Period-1)),0,'Reduction in car usage'!$D$47*$B41)))</f>
        <v>0</v>
      </c>
      <c r="R41" s="97">
        <f>IF(Option1="No",0,IF($A41&lt;ImplementationYear,0,IF($A41&gt;(ImplementationYear+(Appraisal_Period-1)),0,'Reduction in car usage'!$D$48*$B41)))</f>
        <v>0</v>
      </c>
      <c r="S41" s="92"/>
      <c r="T41" s="94">
        <f>IF(Option2="No",0,IF($A41=ImplementationYear,('Project details'!$L$10-'Project details'!$D$10)*VLOOKUP(Year_cost_estimate,'Time-series parameters'!$B$11:$C$89,2,FALSE)*$B41*(1+Contingency),0))</f>
        <v>0</v>
      </c>
      <c r="U41" s="94">
        <f>IF(Option2="No",0,IF($A41&lt;ImplementationYear,0,IF($A41&gt;(ImplementationYear+(Appraisal_Period-1)),0,('Project details'!$L$11-'Project details'!$D$11)*VLOOKUP(Year_cost_estimate,'Time-series parameters'!$B$11:$C$89,2,0))*$B41))</f>
        <v>0</v>
      </c>
      <c r="V41" s="94">
        <f>IF(Option2="No",0,IF($A41=ImplementationYear,('Project details'!$L$12-'Project details'!$D$12)*VLOOKUP(Year_cost_estimate,'Time-series parameters'!$B$11:$C$89,2,FALSE)*$B41,0))</f>
        <v>0</v>
      </c>
      <c r="W41" s="97">
        <f>IF(Option2="No",0,IF($A41&lt;ImplementationYear,0,IF($A41&gt;(ImplementationYear+(Appraisal_Period-1)),0,Health!$E$21*$B41)))</f>
        <v>0</v>
      </c>
      <c r="X41" s="97">
        <f>IF(Option2="No",0,IF($A41&lt;ImplementationYear,0,IF($A41&gt;(ImplementationYear+(Appraisal_Period-1)),0,Health!$E$22*$B41)))</f>
        <v>0</v>
      </c>
      <c r="Y41" s="97">
        <f>IF(Option2="No",0,IF($A41&lt;ImplementationYear,0,IF($A41&gt;(ImplementationYear+(Appraisal_Period-1)),0,SUM('Travel time'!$E$22:$E$23)*$B41)))</f>
        <v>0</v>
      </c>
      <c r="Z41" s="97">
        <f>IF(Option2="No",0,IF($A41&lt;ImplementationYear,0,IF($A41&gt;(ImplementationYear+(Appraisal_Period-1)),0,SUM('Travel time'!$E$20:$E$21)*$B41)))</f>
        <v>0</v>
      </c>
      <c r="AA41" s="97">
        <f>IF(Option2="No",0,IF($A41&lt;ImplementationYear,0,IF($A41&gt;(ImplementationYear+(Appraisal_Period-1)),0,SUM(Quality!$E$22:$E$23)*$B41)))</f>
        <v>0</v>
      </c>
      <c r="AB41" s="97">
        <f>IF(Option2="No",0,IF($A41&lt;ImplementationYear,0,IF($A41&gt;(ImplementationYear+(Appraisal_Period-1)),0,SUM(Quality!$E$20:$E$21)*$B41)))</f>
        <v>0</v>
      </c>
      <c r="AC41" s="97">
        <f>IF(Option2="No",0,IF($A41&lt;ImplementationYear,0,IF($A41&gt;(ImplementationYear+(Appraisal_Period-1)),0,'Mode change'!$E$36*$B41)))</f>
        <v>0</v>
      </c>
      <c r="AD41" s="97">
        <f>IF(Option2="No",0,IF($A41&lt;ImplementationYear,0,IF($A41&gt;(ImplementationYear+(Appraisal_Period-1)),0,'Mode change'!$E$37*$B41)))</f>
        <v>0</v>
      </c>
      <c r="AE41" s="97">
        <f>IF(Option2="No",0,IF($A41&lt;ImplementationYear,0,IF($A41&gt;(ImplementationYear+(Appraisal_Period-1)),0,'Road safety'!$E$22*$B41)))</f>
        <v>0</v>
      </c>
      <c r="AF41" s="97">
        <f>IF(Option2="No",0,IF($A41&lt;ImplementationYear,0,IF($A41&gt;(ImplementationYear+(Appraisal_Period-1)),0,'Reduction in car usage'!$E$46*$B41)))</f>
        <v>0</v>
      </c>
      <c r="AG41" s="97">
        <f>IF(Option2="No",0,IF($A41&lt;ImplementationYear,0,IF($A41&gt;(ImplementationYear+(Appraisal_Period-1)),0,'Reduction in car usage'!$E$47*$B41)))</f>
        <v>0</v>
      </c>
      <c r="AH41" s="97">
        <f>IF(Option2="No",0,IF($A41&lt;ImplementationYear,0,IF($A41&gt;(ImplementationYear+(Appraisal_Period-1)),0,'Reduction in car usage'!$E$48*$B41)))</f>
        <v>0</v>
      </c>
      <c r="AJ41" s="94">
        <f>IF(Option3="No",0,IF($A41=ImplementationYear,('Project details'!$P$10-'Project details'!$D$10)*VLOOKUP(Year_cost_estimate,'Time-series parameters'!$B$11:$C$89,2,FALSE)*$B41*(1+Contingency),0))</f>
        <v>0</v>
      </c>
      <c r="AK41" s="94">
        <f>IF(Option3="No",0,IF($A41&lt;ImplementationYear,0,IF($A41&gt;(ImplementationYear+(Appraisal_Period-1)),0,('Project details'!$P$11-'Project details'!$D$11)*VLOOKUP(Year_cost_estimate,'Time-series parameters'!$B$11:$C$89,2,0))*$B41))</f>
        <v>0</v>
      </c>
      <c r="AL41" s="94">
        <f>IF(Option3="No",0,IF($A41=ImplementationYear,('Project details'!$P$12-'Project details'!$D$12)*VLOOKUP(Year_cost_estimate,'Time-series parameters'!$B$11:$C$89,2,FALSE)*$B41,0))</f>
        <v>0</v>
      </c>
      <c r="AM41" s="97">
        <f>IF(Option3="No",0,IF($A41&lt;ImplementationYear,0,IF($A41&gt;(ImplementationYear+(Appraisal_Period-1)),0,Health!$F$21*$B41)))</f>
        <v>0</v>
      </c>
      <c r="AN41" s="97">
        <f>IF(Option3="No",0,IF($A41&lt;ImplementationYear,0,IF($A41&gt;(ImplementationYear+(Appraisal_Period-1)),0,Health!$F$22*$B41)))</f>
        <v>0</v>
      </c>
      <c r="AO41" s="97">
        <f>IF(Option3="No",0,IF($A41&lt;ImplementationYear,0,IF($A41&gt;(ImplementationYear+(Appraisal_Period-1)),0,SUM('Travel time'!$F$22:$F$23)*$B41)))</f>
        <v>0</v>
      </c>
      <c r="AP41" s="97">
        <f>IF(Option3="No",0,IF($A41&lt;ImplementationYear,0,IF($A41&gt;(ImplementationYear+(Appraisal_Period-1)),0,SUM('Travel time'!$F$20:$F$21)*$B41)))</f>
        <v>0</v>
      </c>
      <c r="AQ41" s="97">
        <f>IF(Option3="No",0,IF($A41&lt;ImplementationYear,0,IF($A41&gt;(ImplementationYear+(Appraisal_Period-1)),0,SUM(Quality!$F$22:$F$23)*$B41)))</f>
        <v>0</v>
      </c>
      <c r="AR41" s="97">
        <f>IF(Option3="No",0,IF($A41&lt;ImplementationYear,0,IF($A41&gt;(ImplementationYear+(Appraisal_Period-1)),0,SUM(Quality!$F$20:$F$21)*$B41)))</f>
        <v>0</v>
      </c>
      <c r="AS41" s="97">
        <f>IF(Option3="No",0,IF($A41&lt;ImplementationYear,0,IF($A41&gt;(ImplementationYear+(Appraisal_Period-1)),0,'Mode change'!$F$36*$B41)))</f>
        <v>0</v>
      </c>
      <c r="AT41" s="97">
        <f>IF(Option3="No",0,IF($A41&lt;ImplementationYear,0,IF($A41&gt;(ImplementationYear+(Appraisal_Period-1)),0,'Mode change'!$F$37*$B41)))</f>
        <v>0</v>
      </c>
      <c r="AU41" s="97">
        <f>IF(Option3="No",0,IF($A41&lt;ImplementationYear,0,IF($A41&gt;(ImplementationYear+(Appraisal_Period-1)),0,'Road safety'!$F$22*$B41)))</f>
        <v>0</v>
      </c>
      <c r="AV41" s="97">
        <f>IF(Option3="No",0,IF($A41&lt;ImplementationYear,0,IF($A41&gt;(ImplementationYear+(Appraisal_Period-1)),0,'Reduction in car usage'!$F$46*$B41)))</f>
        <v>0</v>
      </c>
      <c r="AW41" s="97">
        <f>IF(Option3="No",0,IF($A41&lt;ImplementationYear,0,IF($A41&gt;(ImplementationYear+(Appraisal_Period-1)),0,'Reduction in car usage'!$F$47*$B41)))</f>
        <v>0</v>
      </c>
      <c r="AX41" s="97">
        <f>IF(Option3="No",0,IF($A41&lt;ImplementationYear,0,IF($A41&gt;(ImplementationYear+(Appraisal_Period-1)),0,'Reduction in car usage'!$F$48*$B41)))</f>
        <v>0</v>
      </c>
    </row>
    <row r="42" spans="1:50">
      <c r="A42" s="335">
        <v>2037</v>
      </c>
      <c r="B42" s="62">
        <f>VLOOKUP($A42,'Time-series parameters'!$E$11:$H$89,2,FALSE)</f>
        <v>0.11441514385811137</v>
      </c>
      <c r="C42" s="89"/>
      <c r="D42" s="94">
        <f>IF(Option1="No",0,IF($A42=ImplementationYear,('Project details'!$H$10-'Project details'!$D$10)*VLOOKUP(Year_cost_estimate,'Time-series parameters'!$B$11:$C$89,2,FALSE)*$B42*(1+Contingency),0))</f>
        <v>0</v>
      </c>
      <c r="E42" s="94">
        <f>IF(Option1="No",0,IF($A42&lt;ImplementationYear,0,IF($A42&gt;(ImplementationYear+(Appraisal_Period-1)),0,('Project details'!$H$11-'Project details'!$D$11)*VLOOKUP(Year_cost_estimate,'Time-series parameters'!$B$11:$C$89,2,0))*$B42))</f>
        <v>0</v>
      </c>
      <c r="F42" s="94">
        <f>IF(Option1="No",0,IF($A42=ImplementationYear,('Project details'!$H$12-'Project details'!$D$12)*VLOOKUP(Year_cost_estimate,'Time-series parameters'!$B$11:$C$89,2,FALSE)*$B42,0))</f>
        <v>0</v>
      </c>
      <c r="G42" s="97">
        <f>IF(Option1="No",0,IF($A42&lt;ImplementationYear,0,IF($A42&gt;(ImplementationYear+(Appraisal_Period-1)),0,Health!$D$21*$B42)))</f>
        <v>0</v>
      </c>
      <c r="H42" s="97">
        <f>IF(Option1="No",0,IF($A42&lt;ImplementationYear,0,IF($A42&gt;(ImplementationYear+(Appraisal_Period-1)),0,Health!$D$22*$B42)))</f>
        <v>0</v>
      </c>
      <c r="I42" s="97">
        <f>IF(Option1="No",0,IF($A42&lt;ImplementationYear,0,IF($A42&gt;(ImplementationYear+(Appraisal_Period-1)),0,SUM('Travel time'!$D$22:$D$23)*$B42)))</f>
        <v>0</v>
      </c>
      <c r="J42" s="97">
        <f>IF(Option1="No",0,IF($A42&lt;ImplementationYear,0,IF($A42&gt;(ImplementationYear+(Appraisal_Period-1)),0,SUM('Travel time'!$D$20:$D$21)*$B42)))</f>
        <v>0</v>
      </c>
      <c r="K42" s="97">
        <f>IF(Option1="No",0,IF($A42&lt;ImplementationYear,0,IF($A42&gt;(ImplementationYear+(Appraisal_Period-1)),0,SUM(Quality!$D$22:$D$23)*$B42)))</f>
        <v>0</v>
      </c>
      <c r="L42" s="97">
        <f>IF(Option1="No",0,IF($A42&lt;ImplementationYear,0,IF($A42&gt;(ImplementationYear+(Appraisal_Period-1)),0,SUM(Quality!$D$20:$D$21)*$B42)))</f>
        <v>0</v>
      </c>
      <c r="M42" s="97">
        <f>IF(Option1="No",0,IF($A42&lt;ImplementationYear,0,IF($A42&gt;(ImplementationYear+(Appraisal_Period-1)),0,'Mode change'!$D$36*$B42)))</f>
        <v>0</v>
      </c>
      <c r="N42" s="97">
        <f>IF(Option1="No",0,IF($A42&lt;ImplementationYear,0,IF($A42&gt;(ImplementationYear+(Appraisal_Period-1)),0,'Mode change'!$D$37*$B42)))</f>
        <v>0</v>
      </c>
      <c r="O42" s="97">
        <f>IF(Option1="No",0,IF($A42&lt;ImplementationYear,0,IF($A42&gt;(ImplementationYear+(Appraisal_Period-1)),0,'Road safety'!$D$22*$B42)))</f>
        <v>0</v>
      </c>
      <c r="P42" s="97">
        <f>IF(Option1="No",0,IF($A42&lt;ImplementationYear,0,IF($A42&gt;(ImplementationYear+(Appraisal_Period-1)),0,'Reduction in car usage'!$D$46*$B42)))</f>
        <v>0</v>
      </c>
      <c r="Q42" s="97">
        <f>IF(Option1="No",0,IF($A42&lt;ImplementationYear,0,IF($A42&gt;(ImplementationYear+(Appraisal_Period-1)),0,'Reduction in car usage'!$D$47*$B42)))</f>
        <v>0</v>
      </c>
      <c r="R42" s="97">
        <f>IF(Option1="No",0,IF($A42&lt;ImplementationYear,0,IF($A42&gt;(ImplementationYear+(Appraisal_Period-1)),0,'Reduction in car usage'!$D$48*$B42)))</f>
        <v>0</v>
      </c>
      <c r="S42" s="92"/>
      <c r="T42" s="94">
        <f>IF(Option2="No",0,IF($A42=ImplementationYear,('Project details'!$L$10-'Project details'!$D$10)*VLOOKUP(Year_cost_estimate,'Time-series parameters'!$B$11:$C$89,2,FALSE)*$B42*(1+Contingency),0))</f>
        <v>0</v>
      </c>
      <c r="U42" s="94">
        <f>IF(Option2="No",0,IF($A42&lt;ImplementationYear,0,IF($A42&gt;(ImplementationYear+(Appraisal_Period-1)),0,('Project details'!$L$11-'Project details'!$D$11)*VLOOKUP(Year_cost_estimate,'Time-series parameters'!$B$11:$C$89,2,0))*$B42))</f>
        <v>0</v>
      </c>
      <c r="V42" s="94">
        <f>IF(Option2="No",0,IF($A42=ImplementationYear,('Project details'!$L$12-'Project details'!$D$12)*VLOOKUP(Year_cost_estimate,'Time-series parameters'!$B$11:$C$89,2,FALSE)*$B42,0))</f>
        <v>0</v>
      </c>
      <c r="W42" s="97">
        <f>IF(Option2="No",0,IF($A42&lt;ImplementationYear,0,IF($A42&gt;(ImplementationYear+(Appraisal_Period-1)),0,Health!$E$21*$B42)))</f>
        <v>0</v>
      </c>
      <c r="X42" s="97">
        <f>IF(Option2="No",0,IF($A42&lt;ImplementationYear,0,IF($A42&gt;(ImplementationYear+(Appraisal_Period-1)),0,Health!$E$22*$B42)))</f>
        <v>0</v>
      </c>
      <c r="Y42" s="97">
        <f>IF(Option2="No",0,IF($A42&lt;ImplementationYear,0,IF($A42&gt;(ImplementationYear+(Appraisal_Period-1)),0,SUM('Travel time'!$E$22:$E$23)*$B42)))</f>
        <v>0</v>
      </c>
      <c r="Z42" s="97">
        <f>IF(Option2="No",0,IF($A42&lt;ImplementationYear,0,IF($A42&gt;(ImplementationYear+(Appraisal_Period-1)),0,SUM('Travel time'!$E$20:$E$21)*$B42)))</f>
        <v>0</v>
      </c>
      <c r="AA42" s="97">
        <f>IF(Option2="No",0,IF($A42&lt;ImplementationYear,0,IF($A42&gt;(ImplementationYear+(Appraisal_Period-1)),0,SUM(Quality!$E$22:$E$23)*$B42)))</f>
        <v>0</v>
      </c>
      <c r="AB42" s="97">
        <f>IF(Option2="No",0,IF($A42&lt;ImplementationYear,0,IF($A42&gt;(ImplementationYear+(Appraisal_Period-1)),0,SUM(Quality!$E$20:$E$21)*$B42)))</f>
        <v>0</v>
      </c>
      <c r="AC42" s="97">
        <f>IF(Option2="No",0,IF($A42&lt;ImplementationYear,0,IF($A42&gt;(ImplementationYear+(Appraisal_Period-1)),0,'Mode change'!$E$36*$B42)))</f>
        <v>0</v>
      </c>
      <c r="AD42" s="97">
        <f>IF(Option2="No",0,IF($A42&lt;ImplementationYear,0,IF($A42&gt;(ImplementationYear+(Appraisal_Period-1)),0,'Mode change'!$E$37*$B42)))</f>
        <v>0</v>
      </c>
      <c r="AE42" s="97">
        <f>IF(Option2="No",0,IF($A42&lt;ImplementationYear,0,IF($A42&gt;(ImplementationYear+(Appraisal_Period-1)),0,'Road safety'!$E$22*$B42)))</f>
        <v>0</v>
      </c>
      <c r="AF42" s="97">
        <f>IF(Option2="No",0,IF($A42&lt;ImplementationYear,0,IF($A42&gt;(ImplementationYear+(Appraisal_Period-1)),0,'Reduction in car usage'!$E$46*$B42)))</f>
        <v>0</v>
      </c>
      <c r="AG42" s="97">
        <f>IF(Option2="No",0,IF($A42&lt;ImplementationYear,0,IF($A42&gt;(ImplementationYear+(Appraisal_Period-1)),0,'Reduction in car usage'!$E$47*$B42)))</f>
        <v>0</v>
      </c>
      <c r="AH42" s="97">
        <f>IF(Option2="No",0,IF($A42&lt;ImplementationYear,0,IF($A42&gt;(ImplementationYear+(Appraisal_Period-1)),0,'Reduction in car usage'!$E$48*$B42)))</f>
        <v>0</v>
      </c>
      <c r="AJ42" s="94">
        <f>IF(Option3="No",0,IF($A42=ImplementationYear,('Project details'!$P$10-'Project details'!$D$10)*VLOOKUP(Year_cost_estimate,'Time-series parameters'!$B$11:$C$89,2,FALSE)*$B42*(1+Contingency),0))</f>
        <v>0</v>
      </c>
      <c r="AK42" s="94">
        <f>IF(Option3="No",0,IF($A42&lt;ImplementationYear,0,IF($A42&gt;(ImplementationYear+(Appraisal_Period-1)),0,('Project details'!$P$11-'Project details'!$D$11)*VLOOKUP(Year_cost_estimate,'Time-series parameters'!$B$11:$C$89,2,0))*$B42))</f>
        <v>0</v>
      </c>
      <c r="AL42" s="94">
        <f>IF(Option3="No",0,IF($A42=ImplementationYear,('Project details'!$P$12-'Project details'!$D$12)*VLOOKUP(Year_cost_estimate,'Time-series parameters'!$B$11:$C$89,2,FALSE)*$B42,0))</f>
        <v>0</v>
      </c>
      <c r="AM42" s="97">
        <f>IF(Option3="No",0,IF($A42&lt;ImplementationYear,0,IF($A42&gt;(ImplementationYear+(Appraisal_Period-1)),0,Health!$F$21*$B42)))</f>
        <v>0</v>
      </c>
      <c r="AN42" s="97">
        <f>IF(Option3="No",0,IF($A42&lt;ImplementationYear,0,IF($A42&gt;(ImplementationYear+(Appraisal_Period-1)),0,Health!$F$22*$B42)))</f>
        <v>0</v>
      </c>
      <c r="AO42" s="97">
        <f>IF(Option3="No",0,IF($A42&lt;ImplementationYear,0,IF($A42&gt;(ImplementationYear+(Appraisal_Period-1)),0,SUM('Travel time'!$F$22:$F$23)*$B42)))</f>
        <v>0</v>
      </c>
      <c r="AP42" s="97">
        <f>IF(Option3="No",0,IF($A42&lt;ImplementationYear,0,IF($A42&gt;(ImplementationYear+(Appraisal_Period-1)),0,SUM('Travel time'!$F$20:$F$21)*$B42)))</f>
        <v>0</v>
      </c>
      <c r="AQ42" s="97">
        <f>IF(Option3="No",0,IF($A42&lt;ImplementationYear,0,IF($A42&gt;(ImplementationYear+(Appraisal_Period-1)),0,SUM(Quality!$F$22:$F$23)*$B42)))</f>
        <v>0</v>
      </c>
      <c r="AR42" s="97">
        <f>IF(Option3="No",0,IF($A42&lt;ImplementationYear,0,IF($A42&gt;(ImplementationYear+(Appraisal_Period-1)),0,SUM(Quality!$F$20:$F$21)*$B42)))</f>
        <v>0</v>
      </c>
      <c r="AS42" s="97">
        <f>IF(Option3="No",0,IF($A42&lt;ImplementationYear,0,IF($A42&gt;(ImplementationYear+(Appraisal_Period-1)),0,'Mode change'!$F$36*$B42)))</f>
        <v>0</v>
      </c>
      <c r="AT42" s="97">
        <f>IF(Option3="No",0,IF($A42&lt;ImplementationYear,0,IF($A42&gt;(ImplementationYear+(Appraisal_Period-1)),0,'Mode change'!$F$37*$B42)))</f>
        <v>0</v>
      </c>
      <c r="AU42" s="97">
        <f>IF(Option3="No",0,IF($A42&lt;ImplementationYear,0,IF($A42&gt;(ImplementationYear+(Appraisal_Period-1)),0,'Road safety'!$F$22*$B42)))</f>
        <v>0</v>
      </c>
      <c r="AV42" s="97">
        <f>IF(Option3="No",0,IF($A42&lt;ImplementationYear,0,IF($A42&gt;(ImplementationYear+(Appraisal_Period-1)),0,'Reduction in car usage'!$F$46*$B42)))</f>
        <v>0</v>
      </c>
      <c r="AW42" s="97">
        <f>IF(Option3="No",0,IF($A42&lt;ImplementationYear,0,IF($A42&gt;(ImplementationYear+(Appraisal_Period-1)),0,'Reduction in car usage'!$F$47*$B42)))</f>
        <v>0</v>
      </c>
      <c r="AX42" s="97">
        <f>IF(Option3="No",0,IF($A42&lt;ImplementationYear,0,IF($A42&gt;(ImplementationYear+(Appraisal_Period-1)),0,'Reduction in car usage'!$F$48*$B42)))</f>
        <v>0</v>
      </c>
    </row>
    <row r="43" spans="1:50">
      <c r="A43" s="335">
        <v>2038</v>
      </c>
      <c r="B43" s="62">
        <f>VLOOKUP($A43,'Time-series parameters'!$E$11:$H$89,2,FALSE)</f>
        <v>0.10526193234946246</v>
      </c>
      <c r="C43" s="89"/>
      <c r="D43" s="94">
        <f>IF(Option1="No",0,IF($A43=ImplementationYear,('Project details'!$H$10-'Project details'!$D$10)*VLOOKUP(Year_cost_estimate,'Time-series parameters'!$B$11:$C$89,2,FALSE)*$B43*(1+Contingency),0))</f>
        <v>0</v>
      </c>
      <c r="E43" s="94">
        <f>IF(Option1="No",0,IF($A43&lt;ImplementationYear,0,IF($A43&gt;(ImplementationYear+(Appraisal_Period-1)),0,('Project details'!$H$11-'Project details'!$D$11)*VLOOKUP(Year_cost_estimate,'Time-series parameters'!$B$11:$C$89,2,0))*$B43))</f>
        <v>0</v>
      </c>
      <c r="F43" s="94">
        <f>IF(Option1="No",0,IF($A43=ImplementationYear,('Project details'!$H$12-'Project details'!$D$12)*VLOOKUP(Year_cost_estimate,'Time-series parameters'!$B$11:$C$89,2,FALSE)*$B43,0))</f>
        <v>0</v>
      </c>
      <c r="G43" s="97">
        <f>IF(Option1="No",0,IF($A43&lt;ImplementationYear,0,IF($A43&gt;(ImplementationYear+(Appraisal_Period-1)),0,Health!$D$21*$B43)))</f>
        <v>0</v>
      </c>
      <c r="H43" s="97">
        <f>IF(Option1="No",0,IF($A43&lt;ImplementationYear,0,IF($A43&gt;(ImplementationYear+(Appraisal_Period-1)),0,Health!$D$22*$B43)))</f>
        <v>0</v>
      </c>
      <c r="I43" s="97">
        <f>IF(Option1="No",0,IF($A43&lt;ImplementationYear,0,IF($A43&gt;(ImplementationYear+(Appraisal_Period-1)),0,SUM('Travel time'!$D$22:$D$23)*$B43)))</f>
        <v>0</v>
      </c>
      <c r="J43" s="97">
        <f>IF(Option1="No",0,IF($A43&lt;ImplementationYear,0,IF($A43&gt;(ImplementationYear+(Appraisal_Period-1)),0,SUM('Travel time'!$D$20:$D$21)*$B43)))</f>
        <v>0</v>
      </c>
      <c r="K43" s="97">
        <f>IF(Option1="No",0,IF($A43&lt;ImplementationYear,0,IF($A43&gt;(ImplementationYear+(Appraisal_Period-1)),0,SUM(Quality!$D$22:$D$23)*$B43)))</f>
        <v>0</v>
      </c>
      <c r="L43" s="97">
        <f>IF(Option1="No",0,IF($A43&lt;ImplementationYear,0,IF($A43&gt;(ImplementationYear+(Appraisal_Period-1)),0,SUM(Quality!$D$20:$D$21)*$B43)))</f>
        <v>0</v>
      </c>
      <c r="M43" s="97">
        <f>IF(Option1="No",0,IF($A43&lt;ImplementationYear,0,IF($A43&gt;(ImplementationYear+(Appraisal_Period-1)),0,'Mode change'!$D$36*$B43)))</f>
        <v>0</v>
      </c>
      <c r="N43" s="97">
        <f>IF(Option1="No",0,IF($A43&lt;ImplementationYear,0,IF($A43&gt;(ImplementationYear+(Appraisal_Period-1)),0,'Mode change'!$D$37*$B43)))</f>
        <v>0</v>
      </c>
      <c r="O43" s="97">
        <f>IF(Option1="No",0,IF($A43&lt;ImplementationYear,0,IF($A43&gt;(ImplementationYear+(Appraisal_Period-1)),0,'Road safety'!$D$22*$B43)))</f>
        <v>0</v>
      </c>
      <c r="P43" s="97">
        <f>IF(Option1="No",0,IF($A43&lt;ImplementationYear,0,IF($A43&gt;(ImplementationYear+(Appraisal_Period-1)),0,'Reduction in car usage'!$D$46*$B43)))</f>
        <v>0</v>
      </c>
      <c r="Q43" s="97">
        <f>IF(Option1="No",0,IF($A43&lt;ImplementationYear,0,IF($A43&gt;(ImplementationYear+(Appraisal_Period-1)),0,'Reduction in car usage'!$D$47*$B43)))</f>
        <v>0</v>
      </c>
      <c r="R43" s="97">
        <f>IF(Option1="No",0,IF($A43&lt;ImplementationYear,0,IF($A43&gt;(ImplementationYear+(Appraisal_Period-1)),0,'Reduction in car usage'!$D$48*$B43)))</f>
        <v>0</v>
      </c>
      <c r="S43" s="92"/>
      <c r="T43" s="94">
        <f>IF(Option2="No",0,IF($A43=ImplementationYear,('Project details'!$L$10-'Project details'!$D$10)*VLOOKUP(Year_cost_estimate,'Time-series parameters'!$B$11:$C$89,2,FALSE)*$B43*(1+Contingency),0))</f>
        <v>0</v>
      </c>
      <c r="U43" s="94">
        <f>IF(Option2="No",0,IF($A43&lt;ImplementationYear,0,IF($A43&gt;(ImplementationYear+(Appraisal_Period-1)),0,('Project details'!$L$11-'Project details'!$D$11)*VLOOKUP(Year_cost_estimate,'Time-series parameters'!$B$11:$C$89,2,0))*$B43))</f>
        <v>0</v>
      </c>
      <c r="V43" s="94">
        <f>IF(Option2="No",0,IF($A43=ImplementationYear,('Project details'!$L$12-'Project details'!$D$12)*VLOOKUP(Year_cost_estimate,'Time-series parameters'!$B$11:$C$89,2,FALSE)*$B43,0))</f>
        <v>0</v>
      </c>
      <c r="W43" s="97">
        <f>IF(Option2="No",0,IF($A43&lt;ImplementationYear,0,IF($A43&gt;(ImplementationYear+(Appraisal_Period-1)),0,Health!$E$21*$B43)))</f>
        <v>0</v>
      </c>
      <c r="X43" s="97">
        <f>IF(Option2="No",0,IF($A43&lt;ImplementationYear,0,IF($A43&gt;(ImplementationYear+(Appraisal_Period-1)),0,Health!$E$22*$B43)))</f>
        <v>0</v>
      </c>
      <c r="Y43" s="97">
        <f>IF(Option2="No",0,IF($A43&lt;ImplementationYear,0,IF($A43&gt;(ImplementationYear+(Appraisal_Period-1)),0,SUM('Travel time'!$E$22:$E$23)*$B43)))</f>
        <v>0</v>
      </c>
      <c r="Z43" s="97">
        <f>IF(Option2="No",0,IF($A43&lt;ImplementationYear,0,IF($A43&gt;(ImplementationYear+(Appraisal_Period-1)),0,SUM('Travel time'!$E$20:$E$21)*$B43)))</f>
        <v>0</v>
      </c>
      <c r="AA43" s="97">
        <f>IF(Option2="No",0,IF($A43&lt;ImplementationYear,0,IF($A43&gt;(ImplementationYear+(Appraisal_Period-1)),0,SUM(Quality!$E$22:$E$23)*$B43)))</f>
        <v>0</v>
      </c>
      <c r="AB43" s="97">
        <f>IF(Option2="No",0,IF($A43&lt;ImplementationYear,0,IF($A43&gt;(ImplementationYear+(Appraisal_Period-1)),0,SUM(Quality!$E$20:$E$21)*$B43)))</f>
        <v>0</v>
      </c>
      <c r="AC43" s="97">
        <f>IF(Option2="No",0,IF($A43&lt;ImplementationYear,0,IF($A43&gt;(ImplementationYear+(Appraisal_Period-1)),0,'Mode change'!$E$36*$B43)))</f>
        <v>0</v>
      </c>
      <c r="AD43" s="97">
        <f>IF(Option2="No",0,IF($A43&lt;ImplementationYear,0,IF($A43&gt;(ImplementationYear+(Appraisal_Period-1)),0,'Mode change'!$E$37*$B43)))</f>
        <v>0</v>
      </c>
      <c r="AE43" s="97">
        <f>IF(Option2="No",0,IF($A43&lt;ImplementationYear,0,IF($A43&gt;(ImplementationYear+(Appraisal_Period-1)),0,'Road safety'!$E$22*$B43)))</f>
        <v>0</v>
      </c>
      <c r="AF43" s="97">
        <f>IF(Option2="No",0,IF($A43&lt;ImplementationYear,0,IF($A43&gt;(ImplementationYear+(Appraisal_Period-1)),0,'Reduction in car usage'!$E$46*$B43)))</f>
        <v>0</v>
      </c>
      <c r="AG43" s="97">
        <f>IF(Option2="No",0,IF($A43&lt;ImplementationYear,0,IF($A43&gt;(ImplementationYear+(Appraisal_Period-1)),0,'Reduction in car usage'!$E$47*$B43)))</f>
        <v>0</v>
      </c>
      <c r="AH43" s="97">
        <f>IF(Option2="No",0,IF($A43&lt;ImplementationYear,0,IF($A43&gt;(ImplementationYear+(Appraisal_Period-1)),0,'Reduction in car usage'!$E$48*$B43)))</f>
        <v>0</v>
      </c>
      <c r="AJ43" s="94">
        <f>IF(Option3="No",0,IF($A43=ImplementationYear,('Project details'!$P$10-'Project details'!$D$10)*VLOOKUP(Year_cost_estimate,'Time-series parameters'!$B$11:$C$89,2,FALSE)*$B43*(1+Contingency),0))</f>
        <v>0</v>
      </c>
      <c r="AK43" s="94">
        <f>IF(Option3="No",0,IF($A43&lt;ImplementationYear,0,IF($A43&gt;(ImplementationYear+(Appraisal_Period-1)),0,('Project details'!$P$11-'Project details'!$D$11)*VLOOKUP(Year_cost_estimate,'Time-series parameters'!$B$11:$C$89,2,0))*$B43))</f>
        <v>0</v>
      </c>
      <c r="AL43" s="94">
        <f>IF(Option3="No",0,IF($A43=ImplementationYear,('Project details'!$P$12-'Project details'!$D$12)*VLOOKUP(Year_cost_estimate,'Time-series parameters'!$B$11:$C$89,2,FALSE)*$B43,0))</f>
        <v>0</v>
      </c>
      <c r="AM43" s="97">
        <f>IF(Option3="No",0,IF($A43&lt;ImplementationYear,0,IF($A43&gt;(ImplementationYear+(Appraisal_Period-1)),0,Health!$F$21*$B43)))</f>
        <v>0</v>
      </c>
      <c r="AN43" s="97">
        <f>IF(Option3="No",0,IF($A43&lt;ImplementationYear,0,IF($A43&gt;(ImplementationYear+(Appraisal_Period-1)),0,Health!$F$22*$B43)))</f>
        <v>0</v>
      </c>
      <c r="AO43" s="97">
        <f>IF(Option3="No",0,IF($A43&lt;ImplementationYear,0,IF($A43&gt;(ImplementationYear+(Appraisal_Period-1)),0,SUM('Travel time'!$F$22:$F$23)*$B43)))</f>
        <v>0</v>
      </c>
      <c r="AP43" s="97">
        <f>IF(Option3="No",0,IF($A43&lt;ImplementationYear,0,IF($A43&gt;(ImplementationYear+(Appraisal_Period-1)),0,SUM('Travel time'!$F$20:$F$21)*$B43)))</f>
        <v>0</v>
      </c>
      <c r="AQ43" s="97">
        <f>IF(Option3="No",0,IF($A43&lt;ImplementationYear,0,IF($A43&gt;(ImplementationYear+(Appraisal_Period-1)),0,SUM(Quality!$F$22:$F$23)*$B43)))</f>
        <v>0</v>
      </c>
      <c r="AR43" s="97">
        <f>IF(Option3="No",0,IF($A43&lt;ImplementationYear,0,IF($A43&gt;(ImplementationYear+(Appraisal_Period-1)),0,SUM(Quality!$F$20:$F$21)*$B43)))</f>
        <v>0</v>
      </c>
      <c r="AS43" s="97">
        <f>IF(Option3="No",0,IF($A43&lt;ImplementationYear,0,IF($A43&gt;(ImplementationYear+(Appraisal_Period-1)),0,'Mode change'!$F$36*$B43)))</f>
        <v>0</v>
      </c>
      <c r="AT43" s="97">
        <f>IF(Option3="No",0,IF($A43&lt;ImplementationYear,0,IF($A43&gt;(ImplementationYear+(Appraisal_Period-1)),0,'Mode change'!$F$37*$B43)))</f>
        <v>0</v>
      </c>
      <c r="AU43" s="97">
        <f>IF(Option3="No",0,IF($A43&lt;ImplementationYear,0,IF($A43&gt;(ImplementationYear+(Appraisal_Period-1)),0,'Road safety'!$F$22*$B43)))</f>
        <v>0</v>
      </c>
      <c r="AV43" s="97">
        <f>IF(Option3="No",0,IF($A43&lt;ImplementationYear,0,IF($A43&gt;(ImplementationYear+(Appraisal_Period-1)),0,'Reduction in car usage'!$F$46*$B43)))</f>
        <v>0</v>
      </c>
      <c r="AW43" s="97">
        <f>IF(Option3="No",0,IF($A43&lt;ImplementationYear,0,IF($A43&gt;(ImplementationYear+(Appraisal_Period-1)),0,'Reduction in car usage'!$F$47*$B43)))</f>
        <v>0</v>
      </c>
      <c r="AX43" s="97">
        <f>IF(Option3="No",0,IF($A43&lt;ImplementationYear,0,IF($A43&gt;(ImplementationYear+(Appraisal_Period-1)),0,'Reduction in car usage'!$F$48*$B43)))</f>
        <v>0</v>
      </c>
    </row>
    <row r="44" spans="1:50">
      <c r="A44" s="335">
        <v>2039</v>
      </c>
      <c r="B44" s="62">
        <f>VLOOKUP($A44,'Time-series parameters'!$E$11:$H$89,2,FALSE)</f>
        <v>9.6840977761505465E-2</v>
      </c>
      <c r="C44" s="89"/>
      <c r="D44" s="94">
        <f>IF(Option1="No",0,IF($A44=ImplementationYear,('Project details'!$H$10-'Project details'!$D$10)*VLOOKUP(Year_cost_estimate,'Time-series parameters'!$B$11:$C$89,2,FALSE)*$B44*(1+Contingency),0))</f>
        <v>0</v>
      </c>
      <c r="E44" s="94">
        <f>IF(Option1="No",0,IF($A44&lt;ImplementationYear,0,IF($A44&gt;(ImplementationYear+(Appraisal_Period-1)),0,('Project details'!$H$11-'Project details'!$D$11)*VLOOKUP(Year_cost_estimate,'Time-series parameters'!$B$11:$C$89,2,0))*$B44))</f>
        <v>0</v>
      </c>
      <c r="F44" s="94">
        <f>IF(Option1="No",0,IF($A44=ImplementationYear,('Project details'!$H$12-'Project details'!$D$12)*VLOOKUP(Year_cost_estimate,'Time-series parameters'!$B$11:$C$89,2,FALSE)*$B44,0))</f>
        <v>0</v>
      </c>
      <c r="G44" s="97">
        <f>IF(Option1="No",0,IF($A44&lt;ImplementationYear,0,IF($A44&gt;(ImplementationYear+(Appraisal_Period-1)),0,Health!$D$21*$B44)))</f>
        <v>0</v>
      </c>
      <c r="H44" s="97">
        <f>IF(Option1="No",0,IF($A44&lt;ImplementationYear,0,IF($A44&gt;(ImplementationYear+(Appraisal_Period-1)),0,Health!$D$22*$B44)))</f>
        <v>0</v>
      </c>
      <c r="I44" s="97">
        <f>IF(Option1="No",0,IF($A44&lt;ImplementationYear,0,IF($A44&gt;(ImplementationYear+(Appraisal_Period-1)),0,SUM('Travel time'!$D$22:$D$23)*$B44)))</f>
        <v>0</v>
      </c>
      <c r="J44" s="97">
        <f>IF(Option1="No",0,IF($A44&lt;ImplementationYear,0,IF($A44&gt;(ImplementationYear+(Appraisal_Period-1)),0,SUM('Travel time'!$D$20:$D$21)*$B44)))</f>
        <v>0</v>
      </c>
      <c r="K44" s="97">
        <f>IF(Option1="No",0,IF($A44&lt;ImplementationYear,0,IF($A44&gt;(ImplementationYear+(Appraisal_Period-1)),0,SUM(Quality!$D$22:$D$23)*$B44)))</f>
        <v>0</v>
      </c>
      <c r="L44" s="97">
        <f>IF(Option1="No",0,IF($A44&lt;ImplementationYear,0,IF($A44&gt;(ImplementationYear+(Appraisal_Period-1)),0,SUM(Quality!$D$20:$D$21)*$B44)))</f>
        <v>0</v>
      </c>
      <c r="M44" s="97">
        <f>IF(Option1="No",0,IF($A44&lt;ImplementationYear,0,IF($A44&gt;(ImplementationYear+(Appraisal_Period-1)),0,'Mode change'!$D$36*$B44)))</f>
        <v>0</v>
      </c>
      <c r="N44" s="97">
        <f>IF(Option1="No",0,IF($A44&lt;ImplementationYear,0,IF($A44&gt;(ImplementationYear+(Appraisal_Period-1)),0,'Mode change'!$D$37*$B44)))</f>
        <v>0</v>
      </c>
      <c r="O44" s="97">
        <f>IF(Option1="No",0,IF($A44&lt;ImplementationYear,0,IF($A44&gt;(ImplementationYear+(Appraisal_Period-1)),0,'Road safety'!$D$22*$B44)))</f>
        <v>0</v>
      </c>
      <c r="P44" s="97">
        <f>IF(Option1="No",0,IF($A44&lt;ImplementationYear,0,IF($A44&gt;(ImplementationYear+(Appraisal_Period-1)),0,'Reduction in car usage'!$D$46*$B44)))</f>
        <v>0</v>
      </c>
      <c r="Q44" s="97">
        <f>IF(Option1="No",0,IF($A44&lt;ImplementationYear,0,IF($A44&gt;(ImplementationYear+(Appraisal_Period-1)),0,'Reduction in car usage'!$D$47*$B44)))</f>
        <v>0</v>
      </c>
      <c r="R44" s="97">
        <f>IF(Option1="No",0,IF($A44&lt;ImplementationYear,0,IF($A44&gt;(ImplementationYear+(Appraisal_Period-1)),0,'Reduction in car usage'!$D$48*$B44)))</f>
        <v>0</v>
      </c>
      <c r="S44" s="92"/>
      <c r="T44" s="94">
        <f>IF(Option2="No",0,IF($A44=ImplementationYear,('Project details'!$L$10-'Project details'!$D$10)*VLOOKUP(Year_cost_estimate,'Time-series parameters'!$B$11:$C$89,2,FALSE)*$B44*(1+Contingency),0))</f>
        <v>0</v>
      </c>
      <c r="U44" s="94">
        <f>IF(Option2="No",0,IF($A44&lt;ImplementationYear,0,IF($A44&gt;(ImplementationYear+(Appraisal_Period-1)),0,('Project details'!$L$11-'Project details'!$D$11)*VLOOKUP(Year_cost_estimate,'Time-series parameters'!$B$11:$C$89,2,0))*$B44))</f>
        <v>0</v>
      </c>
      <c r="V44" s="94">
        <f>IF(Option2="No",0,IF($A44=ImplementationYear,('Project details'!$L$12-'Project details'!$D$12)*VLOOKUP(Year_cost_estimate,'Time-series parameters'!$B$11:$C$89,2,FALSE)*$B44,0))</f>
        <v>0</v>
      </c>
      <c r="W44" s="97">
        <f>IF(Option2="No",0,IF($A44&lt;ImplementationYear,0,IF($A44&gt;(ImplementationYear+(Appraisal_Period-1)),0,Health!$E$21*$B44)))</f>
        <v>0</v>
      </c>
      <c r="X44" s="97">
        <f>IF(Option2="No",0,IF($A44&lt;ImplementationYear,0,IF($A44&gt;(ImplementationYear+(Appraisal_Period-1)),0,Health!$E$22*$B44)))</f>
        <v>0</v>
      </c>
      <c r="Y44" s="97">
        <f>IF(Option2="No",0,IF($A44&lt;ImplementationYear,0,IF($A44&gt;(ImplementationYear+(Appraisal_Period-1)),0,SUM('Travel time'!$E$22:$E$23)*$B44)))</f>
        <v>0</v>
      </c>
      <c r="Z44" s="97">
        <f>IF(Option2="No",0,IF($A44&lt;ImplementationYear,0,IF($A44&gt;(ImplementationYear+(Appraisal_Period-1)),0,SUM('Travel time'!$E$20:$E$21)*$B44)))</f>
        <v>0</v>
      </c>
      <c r="AA44" s="97">
        <f>IF(Option2="No",0,IF($A44&lt;ImplementationYear,0,IF($A44&gt;(ImplementationYear+(Appraisal_Period-1)),0,SUM(Quality!$E$22:$E$23)*$B44)))</f>
        <v>0</v>
      </c>
      <c r="AB44" s="97">
        <f>IF(Option2="No",0,IF($A44&lt;ImplementationYear,0,IF($A44&gt;(ImplementationYear+(Appraisal_Period-1)),0,SUM(Quality!$E$20:$E$21)*$B44)))</f>
        <v>0</v>
      </c>
      <c r="AC44" s="97">
        <f>IF(Option2="No",0,IF($A44&lt;ImplementationYear,0,IF($A44&gt;(ImplementationYear+(Appraisal_Period-1)),0,'Mode change'!$E$36*$B44)))</f>
        <v>0</v>
      </c>
      <c r="AD44" s="97">
        <f>IF(Option2="No",0,IF($A44&lt;ImplementationYear,0,IF($A44&gt;(ImplementationYear+(Appraisal_Period-1)),0,'Mode change'!$E$37*$B44)))</f>
        <v>0</v>
      </c>
      <c r="AE44" s="97">
        <f>IF(Option2="No",0,IF($A44&lt;ImplementationYear,0,IF($A44&gt;(ImplementationYear+(Appraisal_Period-1)),0,'Road safety'!$E$22*$B44)))</f>
        <v>0</v>
      </c>
      <c r="AF44" s="97">
        <f>IF(Option2="No",0,IF($A44&lt;ImplementationYear,0,IF($A44&gt;(ImplementationYear+(Appraisal_Period-1)),0,'Reduction in car usage'!$E$46*$B44)))</f>
        <v>0</v>
      </c>
      <c r="AG44" s="97">
        <f>IF(Option2="No",0,IF($A44&lt;ImplementationYear,0,IF($A44&gt;(ImplementationYear+(Appraisal_Period-1)),0,'Reduction in car usage'!$E$47*$B44)))</f>
        <v>0</v>
      </c>
      <c r="AH44" s="97">
        <f>IF(Option2="No",0,IF($A44&lt;ImplementationYear,0,IF($A44&gt;(ImplementationYear+(Appraisal_Period-1)),0,'Reduction in car usage'!$E$48*$B44)))</f>
        <v>0</v>
      </c>
      <c r="AJ44" s="94">
        <f>IF(Option3="No",0,IF($A44=ImplementationYear,('Project details'!$P$10-'Project details'!$D$10)*VLOOKUP(Year_cost_estimate,'Time-series parameters'!$B$11:$C$89,2,FALSE)*$B44*(1+Contingency),0))</f>
        <v>0</v>
      </c>
      <c r="AK44" s="94">
        <f>IF(Option3="No",0,IF($A44&lt;ImplementationYear,0,IF($A44&gt;(ImplementationYear+(Appraisal_Period-1)),0,('Project details'!$P$11-'Project details'!$D$11)*VLOOKUP(Year_cost_estimate,'Time-series parameters'!$B$11:$C$89,2,0))*$B44))</f>
        <v>0</v>
      </c>
      <c r="AL44" s="94">
        <f>IF(Option3="No",0,IF($A44=ImplementationYear,('Project details'!$P$12-'Project details'!$D$12)*VLOOKUP(Year_cost_estimate,'Time-series parameters'!$B$11:$C$89,2,FALSE)*$B44,0))</f>
        <v>0</v>
      </c>
      <c r="AM44" s="97">
        <f>IF(Option3="No",0,IF($A44&lt;ImplementationYear,0,IF($A44&gt;(ImplementationYear+(Appraisal_Period-1)),0,Health!$F$21*$B44)))</f>
        <v>0</v>
      </c>
      <c r="AN44" s="97">
        <f>IF(Option3="No",0,IF($A44&lt;ImplementationYear,0,IF($A44&gt;(ImplementationYear+(Appraisal_Period-1)),0,Health!$F$22*$B44)))</f>
        <v>0</v>
      </c>
      <c r="AO44" s="97">
        <f>IF(Option3="No",0,IF($A44&lt;ImplementationYear,0,IF($A44&gt;(ImplementationYear+(Appraisal_Period-1)),0,SUM('Travel time'!$F$22:$F$23)*$B44)))</f>
        <v>0</v>
      </c>
      <c r="AP44" s="97">
        <f>IF(Option3="No",0,IF($A44&lt;ImplementationYear,0,IF($A44&gt;(ImplementationYear+(Appraisal_Period-1)),0,SUM('Travel time'!$F$20:$F$21)*$B44)))</f>
        <v>0</v>
      </c>
      <c r="AQ44" s="97">
        <f>IF(Option3="No",0,IF($A44&lt;ImplementationYear,0,IF($A44&gt;(ImplementationYear+(Appraisal_Period-1)),0,SUM(Quality!$F$22:$F$23)*$B44)))</f>
        <v>0</v>
      </c>
      <c r="AR44" s="97">
        <f>IF(Option3="No",0,IF($A44&lt;ImplementationYear,0,IF($A44&gt;(ImplementationYear+(Appraisal_Period-1)),0,SUM(Quality!$F$20:$F$21)*$B44)))</f>
        <v>0</v>
      </c>
      <c r="AS44" s="97">
        <f>IF(Option3="No",0,IF($A44&lt;ImplementationYear,0,IF($A44&gt;(ImplementationYear+(Appraisal_Period-1)),0,'Mode change'!$F$36*$B44)))</f>
        <v>0</v>
      </c>
      <c r="AT44" s="97">
        <f>IF(Option3="No",0,IF($A44&lt;ImplementationYear,0,IF($A44&gt;(ImplementationYear+(Appraisal_Period-1)),0,'Mode change'!$F$37*$B44)))</f>
        <v>0</v>
      </c>
      <c r="AU44" s="97">
        <f>IF(Option3="No",0,IF($A44&lt;ImplementationYear,0,IF($A44&gt;(ImplementationYear+(Appraisal_Period-1)),0,'Road safety'!$F$22*$B44)))</f>
        <v>0</v>
      </c>
      <c r="AV44" s="97">
        <f>IF(Option3="No",0,IF($A44&lt;ImplementationYear,0,IF($A44&gt;(ImplementationYear+(Appraisal_Period-1)),0,'Reduction in car usage'!$F$46*$B44)))</f>
        <v>0</v>
      </c>
      <c r="AW44" s="97">
        <f>IF(Option3="No",0,IF($A44&lt;ImplementationYear,0,IF($A44&gt;(ImplementationYear+(Appraisal_Period-1)),0,'Reduction in car usage'!$F$47*$B44)))</f>
        <v>0</v>
      </c>
      <c r="AX44" s="97">
        <f>IF(Option3="No",0,IF($A44&lt;ImplementationYear,0,IF($A44&gt;(ImplementationYear+(Appraisal_Period-1)),0,'Reduction in car usage'!$F$48*$B44)))</f>
        <v>0</v>
      </c>
    </row>
    <row r="45" spans="1:50">
      <c r="A45" s="335">
        <v>2040</v>
      </c>
      <c r="B45" s="62">
        <f>VLOOKUP($A45,'Time-series parameters'!$E$11:$H$89,2,FALSE)</f>
        <v>8.9093699540585033E-2</v>
      </c>
      <c r="C45" s="89"/>
      <c r="D45" s="94">
        <f>IF(Option1="No",0,IF($A45=ImplementationYear,('Project details'!$H$10-'Project details'!$D$10)*VLOOKUP(Year_cost_estimate,'Time-series parameters'!$B$11:$C$89,2,FALSE)*$B45*(1+Contingency),0))</f>
        <v>0</v>
      </c>
      <c r="E45" s="94">
        <f>IF(Option1="No",0,IF($A45&lt;ImplementationYear,0,IF($A45&gt;(ImplementationYear+(Appraisal_Period-1)),0,('Project details'!$H$11-'Project details'!$D$11)*VLOOKUP(Year_cost_estimate,'Time-series parameters'!$B$11:$C$89,2,0))*$B45))</f>
        <v>0</v>
      </c>
      <c r="F45" s="94">
        <f>IF(Option1="No",0,IF($A45=ImplementationYear,('Project details'!$H$12-'Project details'!$D$12)*VLOOKUP(Year_cost_estimate,'Time-series parameters'!$B$11:$C$89,2,FALSE)*$B45,0))</f>
        <v>0</v>
      </c>
      <c r="G45" s="97">
        <f>IF(Option1="No",0,IF($A45&lt;ImplementationYear,0,IF($A45&gt;(ImplementationYear+(Appraisal_Period-1)),0,Health!$D$21*$B45)))</f>
        <v>0</v>
      </c>
      <c r="H45" s="97">
        <f>IF(Option1="No",0,IF($A45&lt;ImplementationYear,0,IF($A45&gt;(ImplementationYear+(Appraisal_Period-1)),0,Health!$D$22*$B45)))</f>
        <v>0</v>
      </c>
      <c r="I45" s="97">
        <f>IF(Option1="No",0,IF($A45&lt;ImplementationYear,0,IF($A45&gt;(ImplementationYear+(Appraisal_Period-1)),0,SUM('Travel time'!$D$22:$D$23)*$B45)))</f>
        <v>0</v>
      </c>
      <c r="J45" s="97">
        <f>IF(Option1="No",0,IF($A45&lt;ImplementationYear,0,IF($A45&gt;(ImplementationYear+(Appraisal_Period-1)),0,SUM('Travel time'!$D$20:$D$21)*$B45)))</f>
        <v>0</v>
      </c>
      <c r="K45" s="97">
        <f>IF(Option1="No",0,IF($A45&lt;ImplementationYear,0,IF($A45&gt;(ImplementationYear+(Appraisal_Period-1)),0,SUM(Quality!$D$22:$D$23)*$B45)))</f>
        <v>0</v>
      </c>
      <c r="L45" s="97">
        <f>IF(Option1="No",0,IF($A45&lt;ImplementationYear,0,IF($A45&gt;(ImplementationYear+(Appraisal_Period-1)),0,SUM(Quality!$D$20:$D$21)*$B45)))</f>
        <v>0</v>
      </c>
      <c r="M45" s="97">
        <f>IF(Option1="No",0,IF($A45&lt;ImplementationYear,0,IF($A45&gt;(ImplementationYear+(Appraisal_Period-1)),0,'Mode change'!$D$36*$B45)))</f>
        <v>0</v>
      </c>
      <c r="N45" s="97">
        <f>IF(Option1="No",0,IF($A45&lt;ImplementationYear,0,IF($A45&gt;(ImplementationYear+(Appraisal_Period-1)),0,'Mode change'!$D$37*$B45)))</f>
        <v>0</v>
      </c>
      <c r="O45" s="97">
        <f>IF(Option1="No",0,IF($A45&lt;ImplementationYear,0,IF($A45&gt;(ImplementationYear+(Appraisal_Period-1)),0,'Road safety'!$D$22*$B45)))</f>
        <v>0</v>
      </c>
      <c r="P45" s="97">
        <f>IF(Option1="No",0,IF($A45&lt;ImplementationYear,0,IF($A45&gt;(ImplementationYear+(Appraisal_Period-1)),0,'Reduction in car usage'!$D$46*$B45)))</f>
        <v>0</v>
      </c>
      <c r="Q45" s="97">
        <f>IF(Option1="No",0,IF($A45&lt;ImplementationYear,0,IF($A45&gt;(ImplementationYear+(Appraisal_Period-1)),0,'Reduction in car usage'!$D$47*$B45)))</f>
        <v>0</v>
      </c>
      <c r="R45" s="97">
        <f>IF(Option1="No",0,IF($A45&lt;ImplementationYear,0,IF($A45&gt;(ImplementationYear+(Appraisal_Period-1)),0,'Reduction in car usage'!$D$48*$B45)))</f>
        <v>0</v>
      </c>
      <c r="S45" s="92"/>
      <c r="T45" s="94">
        <f>IF(Option2="No",0,IF($A45=ImplementationYear,('Project details'!$L$10-'Project details'!$D$10)*VLOOKUP(Year_cost_estimate,'Time-series parameters'!$B$11:$C$89,2,FALSE)*$B45*(1+Contingency),0))</f>
        <v>0</v>
      </c>
      <c r="U45" s="94">
        <f>IF(Option2="No",0,IF($A45&lt;ImplementationYear,0,IF($A45&gt;(ImplementationYear+(Appraisal_Period-1)),0,('Project details'!$L$11-'Project details'!$D$11)*VLOOKUP(Year_cost_estimate,'Time-series parameters'!$B$11:$C$89,2,0))*$B45))</f>
        <v>0</v>
      </c>
      <c r="V45" s="94">
        <f>IF(Option2="No",0,IF($A45=ImplementationYear,('Project details'!$L$12-'Project details'!$D$12)*VLOOKUP(Year_cost_estimate,'Time-series parameters'!$B$11:$C$89,2,FALSE)*$B45,0))</f>
        <v>0</v>
      </c>
      <c r="W45" s="97">
        <f>IF(Option2="No",0,IF($A45&lt;ImplementationYear,0,IF($A45&gt;(ImplementationYear+(Appraisal_Period-1)),0,Health!$E$21*$B45)))</f>
        <v>0</v>
      </c>
      <c r="X45" s="97">
        <f>IF(Option2="No",0,IF($A45&lt;ImplementationYear,0,IF($A45&gt;(ImplementationYear+(Appraisal_Period-1)),0,Health!$E$22*$B45)))</f>
        <v>0</v>
      </c>
      <c r="Y45" s="97">
        <f>IF(Option2="No",0,IF($A45&lt;ImplementationYear,0,IF($A45&gt;(ImplementationYear+(Appraisal_Period-1)),0,SUM('Travel time'!$E$22:$E$23)*$B45)))</f>
        <v>0</v>
      </c>
      <c r="Z45" s="97">
        <f>IF(Option2="No",0,IF($A45&lt;ImplementationYear,0,IF($A45&gt;(ImplementationYear+(Appraisal_Period-1)),0,SUM('Travel time'!$E$20:$E$21)*$B45)))</f>
        <v>0</v>
      </c>
      <c r="AA45" s="97">
        <f>IF(Option2="No",0,IF($A45&lt;ImplementationYear,0,IF($A45&gt;(ImplementationYear+(Appraisal_Period-1)),0,SUM(Quality!$E$22:$E$23)*$B45)))</f>
        <v>0</v>
      </c>
      <c r="AB45" s="97">
        <f>IF(Option2="No",0,IF($A45&lt;ImplementationYear,0,IF($A45&gt;(ImplementationYear+(Appraisal_Period-1)),0,SUM(Quality!$E$20:$E$21)*$B45)))</f>
        <v>0</v>
      </c>
      <c r="AC45" s="97">
        <f>IF(Option2="No",0,IF($A45&lt;ImplementationYear,0,IF($A45&gt;(ImplementationYear+(Appraisal_Period-1)),0,'Mode change'!$E$36*$B45)))</f>
        <v>0</v>
      </c>
      <c r="AD45" s="97">
        <f>IF(Option2="No",0,IF($A45&lt;ImplementationYear,0,IF($A45&gt;(ImplementationYear+(Appraisal_Period-1)),0,'Mode change'!$E$37*$B45)))</f>
        <v>0</v>
      </c>
      <c r="AE45" s="97">
        <f>IF(Option2="No",0,IF($A45&lt;ImplementationYear,0,IF($A45&gt;(ImplementationYear+(Appraisal_Period-1)),0,'Road safety'!$E$22*$B45)))</f>
        <v>0</v>
      </c>
      <c r="AF45" s="97">
        <f>IF(Option2="No",0,IF($A45&lt;ImplementationYear,0,IF($A45&gt;(ImplementationYear+(Appraisal_Period-1)),0,'Reduction in car usage'!$E$46*$B45)))</f>
        <v>0</v>
      </c>
      <c r="AG45" s="97">
        <f>IF(Option2="No",0,IF($A45&lt;ImplementationYear,0,IF($A45&gt;(ImplementationYear+(Appraisal_Period-1)),0,'Reduction in car usage'!$E$47*$B45)))</f>
        <v>0</v>
      </c>
      <c r="AH45" s="97">
        <f>IF(Option2="No",0,IF($A45&lt;ImplementationYear,0,IF($A45&gt;(ImplementationYear+(Appraisal_Period-1)),0,'Reduction in car usage'!$E$48*$B45)))</f>
        <v>0</v>
      </c>
      <c r="AJ45" s="94">
        <f>IF(Option3="No",0,IF($A45=ImplementationYear,('Project details'!$P$10-'Project details'!$D$10)*VLOOKUP(Year_cost_estimate,'Time-series parameters'!$B$11:$C$89,2,FALSE)*$B45*(1+Contingency),0))</f>
        <v>0</v>
      </c>
      <c r="AK45" s="94">
        <f>IF(Option3="No",0,IF($A45&lt;ImplementationYear,0,IF($A45&gt;(ImplementationYear+(Appraisal_Period-1)),0,('Project details'!$P$11-'Project details'!$D$11)*VLOOKUP(Year_cost_estimate,'Time-series parameters'!$B$11:$C$89,2,0))*$B45))</f>
        <v>0</v>
      </c>
      <c r="AL45" s="94">
        <f>IF(Option3="No",0,IF($A45=ImplementationYear,('Project details'!$P$12-'Project details'!$D$12)*VLOOKUP(Year_cost_estimate,'Time-series parameters'!$B$11:$C$89,2,FALSE)*$B45,0))</f>
        <v>0</v>
      </c>
      <c r="AM45" s="97">
        <f>IF(Option3="No",0,IF($A45&lt;ImplementationYear,0,IF($A45&gt;(ImplementationYear+(Appraisal_Period-1)),0,Health!$F$21*$B45)))</f>
        <v>0</v>
      </c>
      <c r="AN45" s="97">
        <f>IF(Option3="No",0,IF($A45&lt;ImplementationYear,0,IF($A45&gt;(ImplementationYear+(Appraisal_Period-1)),0,Health!$F$22*$B45)))</f>
        <v>0</v>
      </c>
      <c r="AO45" s="97">
        <f>IF(Option3="No",0,IF($A45&lt;ImplementationYear,0,IF($A45&gt;(ImplementationYear+(Appraisal_Period-1)),0,SUM('Travel time'!$F$22:$F$23)*$B45)))</f>
        <v>0</v>
      </c>
      <c r="AP45" s="97">
        <f>IF(Option3="No",0,IF($A45&lt;ImplementationYear,0,IF($A45&gt;(ImplementationYear+(Appraisal_Period-1)),0,SUM('Travel time'!$F$20:$F$21)*$B45)))</f>
        <v>0</v>
      </c>
      <c r="AQ45" s="97">
        <f>IF(Option3="No",0,IF($A45&lt;ImplementationYear,0,IF($A45&gt;(ImplementationYear+(Appraisal_Period-1)),0,SUM(Quality!$F$22:$F$23)*$B45)))</f>
        <v>0</v>
      </c>
      <c r="AR45" s="97">
        <f>IF(Option3="No",0,IF($A45&lt;ImplementationYear,0,IF($A45&gt;(ImplementationYear+(Appraisal_Period-1)),0,SUM(Quality!$F$20:$F$21)*$B45)))</f>
        <v>0</v>
      </c>
      <c r="AS45" s="97">
        <f>IF(Option3="No",0,IF($A45&lt;ImplementationYear,0,IF($A45&gt;(ImplementationYear+(Appraisal_Period-1)),0,'Mode change'!$F$36*$B45)))</f>
        <v>0</v>
      </c>
      <c r="AT45" s="97">
        <f>IF(Option3="No",0,IF($A45&lt;ImplementationYear,0,IF($A45&gt;(ImplementationYear+(Appraisal_Period-1)),0,'Mode change'!$F$37*$B45)))</f>
        <v>0</v>
      </c>
      <c r="AU45" s="97">
        <f>IF(Option3="No",0,IF($A45&lt;ImplementationYear,0,IF($A45&gt;(ImplementationYear+(Appraisal_Period-1)),0,'Road safety'!$F$22*$B45)))</f>
        <v>0</v>
      </c>
      <c r="AV45" s="97">
        <f>IF(Option3="No",0,IF($A45&lt;ImplementationYear,0,IF($A45&gt;(ImplementationYear+(Appraisal_Period-1)),0,'Reduction in car usage'!$F$46*$B45)))</f>
        <v>0</v>
      </c>
      <c r="AW45" s="97">
        <f>IF(Option3="No",0,IF($A45&lt;ImplementationYear,0,IF($A45&gt;(ImplementationYear+(Appraisal_Period-1)),0,'Reduction in car usage'!$F$47*$B45)))</f>
        <v>0</v>
      </c>
      <c r="AX45" s="97">
        <f>IF(Option3="No",0,IF($A45&lt;ImplementationYear,0,IF($A45&gt;(ImplementationYear+(Appraisal_Period-1)),0,'Reduction in car usage'!$F$48*$B45)))</f>
        <v>0</v>
      </c>
    </row>
    <row r="46" spans="1:50">
      <c r="A46" s="335">
        <v>2041</v>
      </c>
      <c r="B46" s="62">
        <f>VLOOKUP($A46,'Time-series parameters'!$E$11:$H$89,2,FALSE)</f>
        <v>8.1966203577338234E-2</v>
      </c>
      <c r="C46" s="89"/>
      <c r="D46" s="94">
        <f>IF(Option1="No",0,IF($A46=ImplementationYear,('Project details'!$H$10-'Project details'!$D$10)*VLOOKUP(Year_cost_estimate,'Time-series parameters'!$B$11:$C$89,2,FALSE)*$B46*(1+Contingency),0))</f>
        <v>0</v>
      </c>
      <c r="E46" s="94">
        <f>IF(Option1="No",0,IF($A46&lt;ImplementationYear,0,IF($A46&gt;(ImplementationYear+(Appraisal_Period-1)),0,('Project details'!$H$11-'Project details'!$D$11)*VLOOKUP(Year_cost_estimate,'Time-series parameters'!$B$11:$C$89,2,0))*$B46))</f>
        <v>0</v>
      </c>
      <c r="F46" s="94">
        <f>IF(Option1="No",0,IF($A46=ImplementationYear,('Project details'!$H$12-'Project details'!$D$12)*VLOOKUP(Year_cost_estimate,'Time-series parameters'!$B$11:$C$89,2,FALSE)*$B46,0))</f>
        <v>0</v>
      </c>
      <c r="G46" s="97">
        <f>IF(Option1="No",0,IF($A46&lt;ImplementationYear,0,IF($A46&gt;(ImplementationYear+(Appraisal_Period-1)),0,Health!$D$21*$B46)))</f>
        <v>0</v>
      </c>
      <c r="H46" s="97">
        <f>IF(Option1="No",0,IF($A46&lt;ImplementationYear,0,IF($A46&gt;(ImplementationYear+(Appraisal_Period-1)),0,Health!$D$22*$B46)))</f>
        <v>0</v>
      </c>
      <c r="I46" s="97">
        <f>IF(Option1="No",0,IF($A46&lt;ImplementationYear,0,IF($A46&gt;(ImplementationYear+(Appraisal_Period-1)),0,SUM('Travel time'!$D$22:$D$23)*$B46)))</f>
        <v>0</v>
      </c>
      <c r="J46" s="97">
        <f>IF(Option1="No",0,IF($A46&lt;ImplementationYear,0,IF($A46&gt;(ImplementationYear+(Appraisal_Period-1)),0,SUM('Travel time'!$D$20:$D$21)*$B46)))</f>
        <v>0</v>
      </c>
      <c r="K46" s="97">
        <f>IF(Option1="No",0,IF($A46&lt;ImplementationYear,0,IF($A46&gt;(ImplementationYear+(Appraisal_Period-1)),0,SUM(Quality!$D$22:$D$23)*$B46)))</f>
        <v>0</v>
      </c>
      <c r="L46" s="97">
        <f>IF(Option1="No",0,IF($A46&lt;ImplementationYear,0,IF($A46&gt;(ImplementationYear+(Appraisal_Period-1)),0,SUM(Quality!$D$20:$D$21)*$B46)))</f>
        <v>0</v>
      </c>
      <c r="M46" s="97">
        <f>IF(Option1="No",0,IF($A46&lt;ImplementationYear,0,IF($A46&gt;(ImplementationYear+(Appraisal_Period-1)),0,'Mode change'!$D$36*$B46)))</f>
        <v>0</v>
      </c>
      <c r="N46" s="97">
        <f>IF(Option1="No",0,IF($A46&lt;ImplementationYear,0,IF($A46&gt;(ImplementationYear+(Appraisal_Period-1)),0,'Mode change'!$D$37*$B46)))</f>
        <v>0</v>
      </c>
      <c r="O46" s="97">
        <f>IF(Option1="No",0,IF($A46&lt;ImplementationYear,0,IF($A46&gt;(ImplementationYear+(Appraisal_Period-1)),0,'Road safety'!$D$22*$B46)))</f>
        <v>0</v>
      </c>
      <c r="P46" s="97">
        <f>IF(Option1="No",0,IF($A46&lt;ImplementationYear,0,IF($A46&gt;(ImplementationYear+(Appraisal_Period-1)),0,'Reduction in car usage'!$D$46*$B46)))</f>
        <v>0</v>
      </c>
      <c r="Q46" s="97">
        <f>IF(Option1="No",0,IF($A46&lt;ImplementationYear,0,IF($A46&gt;(ImplementationYear+(Appraisal_Period-1)),0,'Reduction in car usage'!$D$47*$B46)))</f>
        <v>0</v>
      </c>
      <c r="R46" s="97">
        <f>IF(Option1="No",0,IF($A46&lt;ImplementationYear,0,IF($A46&gt;(ImplementationYear+(Appraisal_Period-1)),0,'Reduction in car usage'!$D$48*$B46)))</f>
        <v>0</v>
      </c>
      <c r="S46" s="92"/>
      <c r="T46" s="94">
        <f>IF(Option2="No",0,IF($A46=ImplementationYear,('Project details'!$L$10-'Project details'!$D$10)*VLOOKUP(Year_cost_estimate,'Time-series parameters'!$B$11:$C$89,2,FALSE)*$B46*(1+Contingency),0))</f>
        <v>0</v>
      </c>
      <c r="U46" s="94">
        <f>IF(Option2="No",0,IF($A46&lt;ImplementationYear,0,IF($A46&gt;(ImplementationYear+(Appraisal_Period-1)),0,('Project details'!$L$11-'Project details'!$D$11)*VLOOKUP(Year_cost_estimate,'Time-series parameters'!$B$11:$C$89,2,0))*$B46))</f>
        <v>0</v>
      </c>
      <c r="V46" s="94">
        <f>IF(Option2="No",0,IF($A46=ImplementationYear,('Project details'!$L$12-'Project details'!$D$12)*VLOOKUP(Year_cost_estimate,'Time-series parameters'!$B$11:$C$89,2,FALSE)*$B46,0))</f>
        <v>0</v>
      </c>
      <c r="W46" s="97">
        <f>IF(Option2="No",0,IF($A46&lt;ImplementationYear,0,IF($A46&gt;(ImplementationYear+(Appraisal_Period-1)),0,Health!$E$21*$B46)))</f>
        <v>0</v>
      </c>
      <c r="X46" s="97">
        <f>IF(Option2="No",0,IF($A46&lt;ImplementationYear,0,IF($A46&gt;(ImplementationYear+(Appraisal_Period-1)),0,Health!$E$22*$B46)))</f>
        <v>0</v>
      </c>
      <c r="Y46" s="97">
        <f>IF(Option2="No",0,IF($A46&lt;ImplementationYear,0,IF($A46&gt;(ImplementationYear+(Appraisal_Period-1)),0,SUM('Travel time'!$E$22:$E$23)*$B46)))</f>
        <v>0</v>
      </c>
      <c r="Z46" s="97">
        <f>IF(Option2="No",0,IF($A46&lt;ImplementationYear,0,IF($A46&gt;(ImplementationYear+(Appraisal_Period-1)),0,SUM('Travel time'!$E$20:$E$21)*$B46)))</f>
        <v>0</v>
      </c>
      <c r="AA46" s="97">
        <f>IF(Option2="No",0,IF($A46&lt;ImplementationYear,0,IF($A46&gt;(ImplementationYear+(Appraisal_Period-1)),0,SUM(Quality!$E$22:$E$23)*$B46)))</f>
        <v>0</v>
      </c>
      <c r="AB46" s="97">
        <f>IF(Option2="No",0,IF($A46&lt;ImplementationYear,0,IF($A46&gt;(ImplementationYear+(Appraisal_Period-1)),0,SUM(Quality!$E$20:$E$21)*$B46)))</f>
        <v>0</v>
      </c>
      <c r="AC46" s="97">
        <f>IF(Option2="No",0,IF($A46&lt;ImplementationYear,0,IF($A46&gt;(ImplementationYear+(Appraisal_Period-1)),0,'Mode change'!$E$36*$B46)))</f>
        <v>0</v>
      </c>
      <c r="AD46" s="97">
        <f>IF(Option2="No",0,IF($A46&lt;ImplementationYear,0,IF($A46&gt;(ImplementationYear+(Appraisal_Period-1)),0,'Mode change'!$E$37*$B46)))</f>
        <v>0</v>
      </c>
      <c r="AE46" s="97">
        <f>IF(Option2="No",0,IF($A46&lt;ImplementationYear,0,IF($A46&gt;(ImplementationYear+(Appraisal_Period-1)),0,'Road safety'!$E$22*$B46)))</f>
        <v>0</v>
      </c>
      <c r="AF46" s="97">
        <f>IF(Option2="No",0,IF($A46&lt;ImplementationYear,0,IF($A46&gt;(ImplementationYear+(Appraisal_Period-1)),0,'Reduction in car usage'!$E$46*$B46)))</f>
        <v>0</v>
      </c>
      <c r="AG46" s="97">
        <f>IF(Option2="No",0,IF($A46&lt;ImplementationYear,0,IF($A46&gt;(ImplementationYear+(Appraisal_Period-1)),0,'Reduction in car usage'!$E$47*$B46)))</f>
        <v>0</v>
      </c>
      <c r="AH46" s="97">
        <f>IF(Option2="No",0,IF($A46&lt;ImplementationYear,0,IF($A46&gt;(ImplementationYear+(Appraisal_Period-1)),0,'Reduction in car usage'!$E$48*$B46)))</f>
        <v>0</v>
      </c>
      <c r="AJ46" s="94">
        <f>IF(Option3="No",0,IF($A46=ImplementationYear,('Project details'!$P$10-'Project details'!$D$10)*VLOOKUP(Year_cost_estimate,'Time-series parameters'!$B$11:$C$89,2,FALSE)*$B46*(1+Contingency),0))</f>
        <v>0</v>
      </c>
      <c r="AK46" s="94">
        <f>IF(Option3="No",0,IF($A46&lt;ImplementationYear,0,IF($A46&gt;(ImplementationYear+(Appraisal_Period-1)),0,('Project details'!$P$11-'Project details'!$D$11)*VLOOKUP(Year_cost_estimate,'Time-series parameters'!$B$11:$C$89,2,0))*$B46))</f>
        <v>0</v>
      </c>
      <c r="AL46" s="94">
        <f>IF(Option3="No",0,IF($A46=ImplementationYear,('Project details'!$P$12-'Project details'!$D$12)*VLOOKUP(Year_cost_estimate,'Time-series parameters'!$B$11:$C$89,2,FALSE)*$B46,0))</f>
        <v>0</v>
      </c>
      <c r="AM46" s="97">
        <f>IF(Option3="No",0,IF($A46&lt;ImplementationYear,0,IF($A46&gt;(ImplementationYear+(Appraisal_Period-1)),0,Health!$F$21*$B46)))</f>
        <v>0</v>
      </c>
      <c r="AN46" s="97">
        <f>IF(Option3="No",0,IF($A46&lt;ImplementationYear,0,IF($A46&gt;(ImplementationYear+(Appraisal_Period-1)),0,Health!$F$22*$B46)))</f>
        <v>0</v>
      </c>
      <c r="AO46" s="97">
        <f>IF(Option3="No",0,IF($A46&lt;ImplementationYear,0,IF($A46&gt;(ImplementationYear+(Appraisal_Period-1)),0,SUM('Travel time'!$F$22:$F$23)*$B46)))</f>
        <v>0</v>
      </c>
      <c r="AP46" s="97">
        <f>IF(Option3="No",0,IF($A46&lt;ImplementationYear,0,IF($A46&gt;(ImplementationYear+(Appraisal_Period-1)),0,SUM('Travel time'!$F$20:$F$21)*$B46)))</f>
        <v>0</v>
      </c>
      <c r="AQ46" s="97">
        <f>IF(Option3="No",0,IF($A46&lt;ImplementationYear,0,IF($A46&gt;(ImplementationYear+(Appraisal_Period-1)),0,SUM(Quality!$F$22:$F$23)*$B46)))</f>
        <v>0</v>
      </c>
      <c r="AR46" s="97">
        <f>IF(Option3="No",0,IF($A46&lt;ImplementationYear,0,IF($A46&gt;(ImplementationYear+(Appraisal_Period-1)),0,SUM(Quality!$F$20:$F$21)*$B46)))</f>
        <v>0</v>
      </c>
      <c r="AS46" s="97">
        <f>IF(Option3="No",0,IF($A46&lt;ImplementationYear,0,IF($A46&gt;(ImplementationYear+(Appraisal_Period-1)),0,'Mode change'!$F$36*$B46)))</f>
        <v>0</v>
      </c>
      <c r="AT46" s="97">
        <f>IF(Option3="No",0,IF($A46&lt;ImplementationYear,0,IF($A46&gt;(ImplementationYear+(Appraisal_Period-1)),0,'Mode change'!$F$37*$B46)))</f>
        <v>0</v>
      </c>
      <c r="AU46" s="97">
        <f>IF(Option3="No",0,IF($A46&lt;ImplementationYear,0,IF($A46&gt;(ImplementationYear+(Appraisal_Period-1)),0,'Road safety'!$F$22*$B46)))</f>
        <v>0</v>
      </c>
      <c r="AV46" s="97">
        <f>IF(Option3="No",0,IF($A46&lt;ImplementationYear,0,IF($A46&gt;(ImplementationYear+(Appraisal_Period-1)),0,'Reduction in car usage'!$F$46*$B46)))</f>
        <v>0</v>
      </c>
      <c r="AW46" s="97">
        <f>IF(Option3="No",0,IF($A46&lt;ImplementationYear,0,IF($A46&gt;(ImplementationYear+(Appraisal_Period-1)),0,'Reduction in car usage'!$F$47*$B46)))</f>
        <v>0</v>
      </c>
      <c r="AX46" s="97">
        <f>IF(Option3="No",0,IF($A46&lt;ImplementationYear,0,IF($A46&gt;(ImplementationYear+(Appraisal_Period-1)),0,'Reduction in car usage'!$F$48*$B46)))</f>
        <v>0</v>
      </c>
    </row>
    <row r="47" spans="1:50">
      <c r="A47" s="335">
        <v>2042</v>
      </c>
      <c r="B47" s="62">
        <f>VLOOKUP($A47,'Time-series parameters'!$E$11:$H$89,2,FALSE)</f>
        <v>7.540890729115117E-2</v>
      </c>
      <c r="C47" s="89"/>
      <c r="D47" s="94">
        <f>IF(Option1="No",0,IF($A47=ImplementationYear,('Project details'!$H$10-'Project details'!$D$10)*VLOOKUP(Year_cost_estimate,'Time-series parameters'!$B$11:$C$89,2,FALSE)*$B47*(1+Contingency),0))</f>
        <v>0</v>
      </c>
      <c r="E47" s="94">
        <f>IF(Option1="No",0,IF($A47&lt;ImplementationYear,0,IF($A47&gt;(ImplementationYear+(Appraisal_Period-1)),0,('Project details'!$H$11-'Project details'!$D$11)*VLOOKUP(Year_cost_estimate,'Time-series parameters'!$B$11:$C$89,2,0))*$B47))</f>
        <v>0</v>
      </c>
      <c r="F47" s="94">
        <f>IF(Option1="No",0,IF($A47=ImplementationYear,('Project details'!$H$12-'Project details'!$D$12)*VLOOKUP(Year_cost_estimate,'Time-series parameters'!$B$11:$C$89,2,FALSE)*$B47,0))</f>
        <v>0</v>
      </c>
      <c r="G47" s="97">
        <f>IF(Option1="No",0,IF($A47&lt;ImplementationYear,0,IF($A47&gt;(ImplementationYear+(Appraisal_Period-1)),0,Health!$D$21*$B47)))</f>
        <v>0</v>
      </c>
      <c r="H47" s="97">
        <f>IF(Option1="No",0,IF($A47&lt;ImplementationYear,0,IF($A47&gt;(ImplementationYear+(Appraisal_Period-1)),0,Health!$D$22*$B47)))</f>
        <v>0</v>
      </c>
      <c r="I47" s="97">
        <f>IF(Option1="No",0,IF($A47&lt;ImplementationYear,0,IF($A47&gt;(ImplementationYear+(Appraisal_Period-1)),0,SUM('Travel time'!$D$22:$D$23)*$B47)))</f>
        <v>0</v>
      </c>
      <c r="J47" s="97">
        <f>IF(Option1="No",0,IF($A47&lt;ImplementationYear,0,IF($A47&gt;(ImplementationYear+(Appraisal_Period-1)),0,SUM('Travel time'!$D$20:$D$21)*$B47)))</f>
        <v>0</v>
      </c>
      <c r="K47" s="97">
        <f>IF(Option1="No",0,IF($A47&lt;ImplementationYear,0,IF($A47&gt;(ImplementationYear+(Appraisal_Period-1)),0,SUM(Quality!$D$22:$D$23)*$B47)))</f>
        <v>0</v>
      </c>
      <c r="L47" s="97">
        <f>IF(Option1="No",0,IF($A47&lt;ImplementationYear,0,IF($A47&gt;(ImplementationYear+(Appraisal_Period-1)),0,SUM(Quality!$D$20:$D$21)*$B47)))</f>
        <v>0</v>
      </c>
      <c r="M47" s="97">
        <f>IF(Option1="No",0,IF($A47&lt;ImplementationYear,0,IF($A47&gt;(ImplementationYear+(Appraisal_Period-1)),0,'Mode change'!$D$36*$B47)))</f>
        <v>0</v>
      </c>
      <c r="N47" s="97">
        <f>IF(Option1="No",0,IF($A47&lt;ImplementationYear,0,IF($A47&gt;(ImplementationYear+(Appraisal_Period-1)),0,'Mode change'!$D$37*$B47)))</f>
        <v>0</v>
      </c>
      <c r="O47" s="97">
        <f>IF(Option1="No",0,IF($A47&lt;ImplementationYear,0,IF($A47&gt;(ImplementationYear+(Appraisal_Period-1)),0,'Road safety'!$D$22*$B47)))</f>
        <v>0</v>
      </c>
      <c r="P47" s="97">
        <f>IF(Option1="No",0,IF($A47&lt;ImplementationYear,0,IF($A47&gt;(ImplementationYear+(Appraisal_Period-1)),0,'Reduction in car usage'!$D$46*$B47)))</f>
        <v>0</v>
      </c>
      <c r="Q47" s="97">
        <f>IF(Option1="No",0,IF($A47&lt;ImplementationYear,0,IF($A47&gt;(ImplementationYear+(Appraisal_Period-1)),0,'Reduction in car usage'!$D$47*$B47)))</f>
        <v>0</v>
      </c>
      <c r="R47" s="97">
        <f>IF(Option1="No",0,IF($A47&lt;ImplementationYear,0,IF($A47&gt;(ImplementationYear+(Appraisal_Period-1)),0,'Reduction in car usage'!$D$48*$B47)))</f>
        <v>0</v>
      </c>
      <c r="S47" s="92"/>
      <c r="T47" s="94">
        <f>IF(Option2="No",0,IF($A47=ImplementationYear,('Project details'!$L$10-'Project details'!$D$10)*VLOOKUP(Year_cost_estimate,'Time-series parameters'!$B$11:$C$89,2,FALSE)*$B47*(1+Contingency),0))</f>
        <v>0</v>
      </c>
      <c r="U47" s="94">
        <f>IF(Option2="No",0,IF($A47&lt;ImplementationYear,0,IF($A47&gt;(ImplementationYear+(Appraisal_Period-1)),0,('Project details'!$L$11-'Project details'!$D$11)*VLOOKUP(Year_cost_estimate,'Time-series parameters'!$B$11:$C$89,2,0))*$B47))</f>
        <v>0</v>
      </c>
      <c r="V47" s="94">
        <f>IF(Option2="No",0,IF($A47=ImplementationYear,('Project details'!$L$12-'Project details'!$D$12)*VLOOKUP(Year_cost_estimate,'Time-series parameters'!$B$11:$C$89,2,FALSE)*$B47,0))</f>
        <v>0</v>
      </c>
      <c r="W47" s="97">
        <f>IF(Option2="No",0,IF($A47&lt;ImplementationYear,0,IF($A47&gt;(ImplementationYear+(Appraisal_Period-1)),0,Health!$E$21*$B47)))</f>
        <v>0</v>
      </c>
      <c r="X47" s="97">
        <f>IF(Option2="No",0,IF($A47&lt;ImplementationYear,0,IF($A47&gt;(ImplementationYear+(Appraisal_Period-1)),0,Health!$E$22*$B47)))</f>
        <v>0</v>
      </c>
      <c r="Y47" s="97">
        <f>IF(Option2="No",0,IF($A47&lt;ImplementationYear,0,IF($A47&gt;(ImplementationYear+(Appraisal_Period-1)),0,SUM('Travel time'!$E$22:$E$23)*$B47)))</f>
        <v>0</v>
      </c>
      <c r="Z47" s="97">
        <f>IF(Option2="No",0,IF($A47&lt;ImplementationYear,0,IF($A47&gt;(ImplementationYear+(Appraisal_Period-1)),0,SUM('Travel time'!$E$20:$E$21)*$B47)))</f>
        <v>0</v>
      </c>
      <c r="AA47" s="97">
        <f>IF(Option2="No",0,IF($A47&lt;ImplementationYear,0,IF($A47&gt;(ImplementationYear+(Appraisal_Period-1)),0,SUM(Quality!$E$22:$E$23)*$B47)))</f>
        <v>0</v>
      </c>
      <c r="AB47" s="97">
        <f>IF(Option2="No",0,IF($A47&lt;ImplementationYear,0,IF($A47&gt;(ImplementationYear+(Appraisal_Period-1)),0,SUM(Quality!$E$20:$E$21)*$B47)))</f>
        <v>0</v>
      </c>
      <c r="AC47" s="97">
        <f>IF(Option2="No",0,IF($A47&lt;ImplementationYear,0,IF($A47&gt;(ImplementationYear+(Appraisal_Period-1)),0,'Mode change'!$E$36*$B47)))</f>
        <v>0</v>
      </c>
      <c r="AD47" s="97">
        <f>IF(Option2="No",0,IF($A47&lt;ImplementationYear,0,IF($A47&gt;(ImplementationYear+(Appraisal_Period-1)),0,'Mode change'!$E$37*$B47)))</f>
        <v>0</v>
      </c>
      <c r="AE47" s="97">
        <f>IF(Option2="No",0,IF($A47&lt;ImplementationYear,0,IF($A47&gt;(ImplementationYear+(Appraisal_Period-1)),0,'Road safety'!$E$22*$B47)))</f>
        <v>0</v>
      </c>
      <c r="AF47" s="97">
        <f>IF(Option2="No",0,IF($A47&lt;ImplementationYear,0,IF($A47&gt;(ImplementationYear+(Appraisal_Period-1)),0,'Reduction in car usage'!$E$46*$B47)))</f>
        <v>0</v>
      </c>
      <c r="AG47" s="97">
        <f>IF(Option2="No",0,IF($A47&lt;ImplementationYear,0,IF($A47&gt;(ImplementationYear+(Appraisal_Period-1)),0,'Reduction in car usage'!$E$47*$B47)))</f>
        <v>0</v>
      </c>
      <c r="AH47" s="97">
        <f>IF(Option2="No",0,IF($A47&lt;ImplementationYear,0,IF($A47&gt;(ImplementationYear+(Appraisal_Period-1)),0,'Reduction in car usage'!$E$48*$B47)))</f>
        <v>0</v>
      </c>
      <c r="AJ47" s="94">
        <f>IF(Option3="No",0,IF($A47=ImplementationYear,('Project details'!$P$10-'Project details'!$D$10)*VLOOKUP(Year_cost_estimate,'Time-series parameters'!$B$11:$C$89,2,FALSE)*$B47*(1+Contingency),0))</f>
        <v>0</v>
      </c>
      <c r="AK47" s="94">
        <f>IF(Option3="No",0,IF($A47&lt;ImplementationYear,0,IF($A47&gt;(ImplementationYear+(Appraisal_Period-1)),0,('Project details'!$P$11-'Project details'!$D$11)*VLOOKUP(Year_cost_estimate,'Time-series parameters'!$B$11:$C$89,2,0))*$B47))</f>
        <v>0</v>
      </c>
      <c r="AL47" s="94">
        <f>IF(Option3="No",0,IF($A47=ImplementationYear,('Project details'!$P$12-'Project details'!$D$12)*VLOOKUP(Year_cost_estimate,'Time-series parameters'!$B$11:$C$89,2,FALSE)*$B47,0))</f>
        <v>0</v>
      </c>
      <c r="AM47" s="97">
        <f>IF(Option3="No",0,IF($A47&lt;ImplementationYear,0,IF($A47&gt;(ImplementationYear+(Appraisal_Period-1)),0,Health!$F$21*$B47)))</f>
        <v>0</v>
      </c>
      <c r="AN47" s="97">
        <f>IF(Option3="No",0,IF($A47&lt;ImplementationYear,0,IF($A47&gt;(ImplementationYear+(Appraisal_Period-1)),0,Health!$F$22*$B47)))</f>
        <v>0</v>
      </c>
      <c r="AO47" s="97">
        <f>IF(Option3="No",0,IF($A47&lt;ImplementationYear,0,IF($A47&gt;(ImplementationYear+(Appraisal_Period-1)),0,SUM('Travel time'!$F$22:$F$23)*$B47)))</f>
        <v>0</v>
      </c>
      <c r="AP47" s="97">
        <f>IF(Option3="No",0,IF($A47&lt;ImplementationYear,0,IF($A47&gt;(ImplementationYear+(Appraisal_Period-1)),0,SUM('Travel time'!$F$20:$F$21)*$B47)))</f>
        <v>0</v>
      </c>
      <c r="AQ47" s="97">
        <f>IF(Option3="No",0,IF($A47&lt;ImplementationYear,0,IF($A47&gt;(ImplementationYear+(Appraisal_Period-1)),0,SUM(Quality!$F$22:$F$23)*$B47)))</f>
        <v>0</v>
      </c>
      <c r="AR47" s="97">
        <f>IF(Option3="No",0,IF($A47&lt;ImplementationYear,0,IF($A47&gt;(ImplementationYear+(Appraisal_Period-1)),0,SUM(Quality!$F$20:$F$21)*$B47)))</f>
        <v>0</v>
      </c>
      <c r="AS47" s="97">
        <f>IF(Option3="No",0,IF($A47&lt;ImplementationYear,0,IF($A47&gt;(ImplementationYear+(Appraisal_Period-1)),0,'Mode change'!$F$36*$B47)))</f>
        <v>0</v>
      </c>
      <c r="AT47" s="97">
        <f>IF(Option3="No",0,IF($A47&lt;ImplementationYear,0,IF($A47&gt;(ImplementationYear+(Appraisal_Period-1)),0,'Mode change'!$F$37*$B47)))</f>
        <v>0</v>
      </c>
      <c r="AU47" s="97">
        <f>IF(Option3="No",0,IF($A47&lt;ImplementationYear,0,IF($A47&gt;(ImplementationYear+(Appraisal_Period-1)),0,'Road safety'!$F$22*$B47)))</f>
        <v>0</v>
      </c>
      <c r="AV47" s="97">
        <f>IF(Option3="No",0,IF($A47&lt;ImplementationYear,0,IF($A47&gt;(ImplementationYear+(Appraisal_Period-1)),0,'Reduction in car usage'!$F$46*$B47)))</f>
        <v>0</v>
      </c>
      <c r="AW47" s="97">
        <f>IF(Option3="No",0,IF($A47&lt;ImplementationYear,0,IF($A47&gt;(ImplementationYear+(Appraisal_Period-1)),0,'Reduction in car usage'!$F$47*$B47)))</f>
        <v>0</v>
      </c>
      <c r="AX47" s="97">
        <f>IF(Option3="No",0,IF($A47&lt;ImplementationYear,0,IF($A47&gt;(ImplementationYear+(Appraisal_Period-1)),0,'Reduction in car usage'!$F$48*$B47)))</f>
        <v>0</v>
      </c>
    </row>
    <row r="48" spans="1:50">
      <c r="A48" s="335">
        <v>2043</v>
      </c>
      <c r="B48" s="62">
        <f>VLOOKUP($A48,'Time-series parameters'!$E$11:$H$89,2,FALSE)</f>
        <v>6.9376194707859079E-2</v>
      </c>
      <c r="C48" s="89"/>
      <c r="D48" s="94">
        <f>IF(Option1="No",0,IF($A48=ImplementationYear,('Project details'!$H$10-'Project details'!$D$10)*VLOOKUP(Year_cost_estimate,'Time-series parameters'!$B$11:$C$89,2,FALSE)*$B48*(1+Contingency),0))</f>
        <v>0</v>
      </c>
      <c r="E48" s="94">
        <f>IF(Option1="No",0,IF($A48&lt;ImplementationYear,0,IF($A48&gt;(ImplementationYear+(Appraisal_Period-1)),0,('Project details'!$H$11-'Project details'!$D$11)*VLOOKUP(Year_cost_estimate,'Time-series parameters'!$B$11:$C$89,2,0))*$B48))</f>
        <v>0</v>
      </c>
      <c r="F48" s="94">
        <f>IF(Option1="No",0,IF($A48=ImplementationYear,('Project details'!$H$12-'Project details'!$D$12)*VLOOKUP(Year_cost_estimate,'Time-series parameters'!$B$11:$C$89,2,FALSE)*$B48,0))</f>
        <v>0</v>
      </c>
      <c r="G48" s="97">
        <f>IF(Option1="No",0,IF($A48&lt;ImplementationYear,0,IF($A48&gt;(ImplementationYear+(Appraisal_Period-1)),0,Health!$D$21*$B48)))</f>
        <v>0</v>
      </c>
      <c r="H48" s="97">
        <f>IF(Option1="No",0,IF($A48&lt;ImplementationYear,0,IF($A48&gt;(ImplementationYear+(Appraisal_Period-1)),0,Health!$D$22*$B48)))</f>
        <v>0</v>
      </c>
      <c r="I48" s="97">
        <f>IF(Option1="No",0,IF($A48&lt;ImplementationYear,0,IF($A48&gt;(ImplementationYear+(Appraisal_Period-1)),0,SUM('Travel time'!$D$22:$D$23)*$B48)))</f>
        <v>0</v>
      </c>
      <c r="J48" s="97">
        <f>IF(Option1="No",0,IF($A48&lt;ImplementationYear,0,IF($A48&gt;(ImplementationYear+(Appraisal_Period-1)),0,SUM('Travel time'!$D$20:$D$21)*$B48)))</f>
        <v>0</v>
      </c>
      <c r="K48" s="97">
        <f>IF(Option1="No",0,IF($A48&lt;ImplementationYear,0,IF($A48&gt;(ImplementationYear+(Appraisal_Period-1)),0,SUM(Quality!$D$22:$D$23)*$B48)))</f>
        <v>0</v>
      </c>
      <c r="L48" s="97">
        <f>IF(Option1="No",0,IF($A48&lt;ImplementationYear,0,IF($A48&gt;(ImplementationYear+(Appraisal_Period-1)),0,SUM(Quality!$D$20:$D$21)*$B48)))</f>
        <v>0</v>
      </c>
      <c r="M48" s="97">
        <f>IF(Option1="No",0,IF($A48&lt;ImplementationYear,0,IF($A48&gt;(ImplementationYear+(Appraisal_Period-1)),0,'Mode change'!$D$36*$B48)))</f>
        <v>0</v>
      </c>
      <c r="N48" s="97">
        <f>IF(Option1="No",0,IF($A48&lt;ImplementationYear,0,IF($A48&gt;(ImplementationYear+(Appraisal_Period-1)),0,'Mode change'!$D$37*$B48)))</f>
        <v>0</v>
      </c>
      <c r="O48" s="97">
        <f>IF(Option1="No",0,IF($A48&lt;ImplementationYear,0,IF($A48&gt;(ImplementationYear+(Appraisal_Period-1)),0,'Road safety'!$D$22*$B48)))</f>
        <v>0</v>
      </c>
      <c r="P48" s="97">
        <f>IF(Option1="No",0,IF($A48&lt;ImplementationYear,0,IF($A48&gt;(ImplementationYear+(Appraisal_Period-1)),0,'Reduction in car usage'!$D$46*$B48)))</f>
        <v>0</v>
      </c>
      <c r="Q48" s="97">
        <f>IF(Option1="No",0,IF($A48&lt;ImplementationYear,0,IF($A48&gt;(ImplementationYear+(Appraisal_Period-1)),0,'Reduction in car usage'!$D$47*$B48)))</f>
        <v>0</v>
      </c>
      <c r="R48" s="97">
        <f>IF(Option1="No",0,IF($A48&lt;ImplementationYear,0,IF($A48&gt;(ImplementationYear+(Appraisal_Period-1)),0,'Reduction in car usage'!$D$48*$B48)))</f>
        <v>0</v>
      </c>
      <c r="S48" s="92"/>
      <c r="T48" s="94">
        <f>IF(Option2="No",0,IF($A48=ImplementationYear,('Project details'!$L$10-'Project details'!$D$10)*VLOOKUP(Year_cost_estimate,'Time-series parameters'!$B$11:$C$89,2,FALSE)*$B48*(1+Contingency),0))</f>
        <v>0</v>
      </c>
      <c r="U48" s="94">
        <f>IF(Option2="No",0,IF($A48&lt;ImplementationYear,0,IF($A48&gt;(ImplementationYear+(Appraisal_Period-1)),0,('Project details'!$L$11-'Project details'!$D$11)*VLOOKUP(Year_cost_estimate,'Time-series parameters'!$B$11:$C$89,2,0))*$B48))</f>
        <v>0</v>
      </c>
      <c r="V48" s="94">
        <f>IF(Option2="No",0,IF($A48=ImplementationYear,('Project details'!$L$12-'Project details'!$D$12)*VLOOKUP(Year_cost_estimate,'Time-series parameters'!$B$11:$C$89,2,FALSE)*$B48,0))</f>
        <v>0</v>
      </c>
      <c r="W48" s="97">
        <f>IF(Option2="No",0,IF($A48&lt;ImplementationYear,0,IF($A48&gt;(ImplementationYear+(Appraisal_Period-1)),0,Health!$E$21*$B48)))</f>
        <v>0</v>
      </c>
      <c r="X48" s="97">
        <f>IF(Option2="No",0,IF($A48&lt;ImplementationYear,0,IF($A48&gt;(ImplementationYear+(Appraisal_Period-1)),0,Health!$E$22*$B48)))</f>
        <v>0</v>
      </c>
      <c r="Y48" s="97">
        <f>IF(Option2="No",0,IF($A48&lt;ImplementationYear,0,IF($A48&gt;(ImplementationYear+(Appraisal_Period-1)),0,SUM('Travel time'!$E$22:$E$23)*$B48)))</f>
        <v>0</v>
      </c>
      <c r="Z48" s="97">
        <f>IF(Option2="No",0,IF($A48&lt;ImplementationYear,0,IF($A48&gt;(ImplementationYear+(Appraisal_Period-1)),0,SUM('Travel time'!$E$20:$E$21)*$B48)))</f>
        <v>0</v>
      </c>
      <c r="AA48" s="97">
        <f>IF(Option2="No",0,IF($A48&lt;ImplementationYear,0,IF($A48&gt;(ImplementationYear+(Appraisal_Period-1)),0,SUM(Quality!$E$22:$E$23)*$B48)))</f>
        <v>0</v>
      </c>
      <c r="AB48" s="97">
        <f>IF(Option2="No",0,IF($A48&lt;ImplementationYear,0,IF($A48&gt;(ImplementationYear+(Appraisal_Period-1)),0,SUM(Quality!$E$20:$E$21)*$B48)))</f>
        <v>0</v>
      </c>
      <c r="AC48" s="97">
        <f>IF(Option2="No",0,IF($A48&lt;ImplementationYear,0,IF($A48&gt;(ImplementationYear+(Appraisal_Period-1)),0,'Mode change'!$E$36*$B48)))</f>
        <v>0</v>
      </c>
      <c r="AD48" s="97">
        <f>IF(Option2="No",0,IF($A48&lt;ImplementationYear,0,IF($A48&gt;(ImplementationYear+(Appraisal_Period-1)),0,'Mode change'!$E$37*$B48)))</f>
        <v>0</v>
      </c>
      <c r="AE48" s="97">
        <f>IF(Option2="No",0,IF($A48&lt;ImplementationYear,0,IF($A48&gt;(ImplementationYear+(Appraisal_Period-1)),0,'Road safety'!$E$22*$B48)))</f>
        <v>0</v>
      </c>
      <c r="AF48" s="97">
        <f>IF(Option2="No",0,IF($A48&lt;ImplementationYear,0,IF($A48&gt;(ImplementationYear+(Appraisal_Period-1)),0,'Reduction in car usage'!$E$46*$B48)))</f>
        <v>0</v>
      </c>
      <c r="AG48" s="97">
        <f>IF(Option2="No",0,IF($A48&lt;ImplementationYear,0,IF($A48&gt;(ImplementationYear+(Appraisal_Period-1)),0,'Reduction in car usage'!$E$47*$B48)))</f>
        <v>0</v>
      </c>
      <c r="AH48" s="97">
        <f>IF(Option2="No",0,IF($A48&lt;ImplementationYear,0,IF($A48&gt;(ImplementationYear+(Appraisal_Period-1)),0,'Reduction in car usage'!$E$48*$B48)))</f>
        <v>0</v>
      </c>
      <c r="AJ48" s="94">
        <f>IF(Option3="No",0,IF($A48=ImplementationYear,('Project details'!$P$10-'Project details'!$D$10)*VLOOKUP(Year_cost_estimate,'Time-series parameters'!$B$11:$C$89,2,FALSE)*$B48*(1+Contingency),0))</f>
        <v>0</v>
      </c>
      <c r="AK48" s="94">
        <f>IF(Option3="No",0,IF($A48&lt;ImplementationYear,0,IF($A48&gt;(ImplementationYear+(Appraisal_Period-1)),0,('Project details'!$P$11-'Project details'!$D$11)*VLOOKUP(Year_cost_estimate,'Time-series parameters'!$B$11:$C$89,2,0))*$B48))</f>
        <v>0</v>
      </c>
      <c r="AL48" s="94">
        <f>IF(Option3="No",0,IF($A48=ImplementationYear,('Project details'!$P$12-'Project details'!$D$12)*VLOOKUP(Year_cost_estimate,'Time-series parameters'!$B$11:$C$89,2,FALSE)*$B48,0))</f>
        <v>0</v>
      </c>
      <c r="AM48" s="97">
        <f>IF(Option3="No",0,IF($A48&lt;ImplementationYear,0,IF($A48&gt;(ImplementationYear+(Appraisal_Period-1)),0,Health!$F$21*$B48)))</f>
        <v>0</v>
      </c>
      <c r="AN48" s="97">
        <f>IF(Option3="No",0,IF($A48&lt;ImplementationYear,0,IF($A48&gt;(ImplementationYear+(Appraisal_Period-1)),0,Health!$F$22*$B48)))</f>
        <v>0</v>
      </c>
      <c r="AO48" s="97">
        <f>IF(Option3="No",0,IF($A48&lt;ImplementationYear,0,IF($A48&gt;(ImplementationYear+(Appraisal_Period-1)),0,SUM('Travel time'!$F$22:$F$23)*$B48)))</f>
        <v>0</v>
      </c>
      <c r="AP48" s="97">
        <f>IF(Option3="No",0,IF($A48&lt;ImplementationYear,0,IF($A48&gt;(ImplementationYear+(Appraisal_Period-1)),0,SUM('Travel time'!$F$20:$F$21)*$B48)))</f>
        <v>0</v>
      </c>
      <c r="AQ48" s="97">
        <f>IF(Option3="No",0,IF($A48&lt;ImplementationYear,0,IF($A48&gt;(ImplementationYear+(Appraisal_Period-1)),0,SUM(Quality!$F$22:$F$23)*$B48)))</f>
        <v>0</v>
      </c>
      <c r="AR48" s="97">
        <f>IF(Option3="No",0,IF($A48&lt;ImplementationYear,0,IF($A48&gt;(ImplementationYear+(Appraisal_Period-1)),0,SUM(Quality!$F$20:$F$21)*$B48)))</f>
        <v>0</v>
      </c>
      <c r="AS48" s="97">
        <f>IF(Option3="No",0,IF($A48&lt;ImplementationYear,0,IF($A48&gt;(ImplementationYear+(Appraisal_Period-1)),0,'Mode change'!$F$36*$B48)))</f>
        <v>0</v>
      </c>
      <c r="AT48" s="97">
        <f>IF(Option3="No",0,IF($A48&lt;ImplementationYear,0,IF($A48&gt;(ImplementationYear+(Appraisal_Period-1)),0,'Mode change'!$F$37*$B48)))</f>
        <v>0</v>
      </c>
      <c r="AU48" s="97">
        <f>IF(Option3="No",0,IF($A48&lt;ImplementationYear,0,IF($A48&gt;(ImplementationYear+(Appraisal_Period-1)),0,'Road safety'!$F$22*$B48)))</f>
        <v>0</v>
      </c>
      <c r="AV48" s="97">
        <f>IF(Option3="No",0,IF($A48&lt;ImplementationYear,0,IF($A48&gt;(ImplementationYear+(Appraisal_Period-1)),0,'Reduction in car usage'!$F$46*$B48)))</f>
        <v>0</v>
      </c>
      <c r="AW48" s="97">
        <f>IF(Option3="No",0,IF($A48&lt;ImplementationYear,0,IF($A48&gt;(ImplementationYear+(Appraisal_Period-1)),0,'Reduction in car usage'!$F$47*$B48)))</f>
        <v>0</v>
      </c>
      <c r="AX48" s="97">
        <f>IF(Option3="No",0,IF($A48&lt;ImplementationYear,0,IF($A48&gt;(ImplementationYear+(Appraisal_Period-1)),0,'Reduction in car usage'!$F$48*$B48)))</f>
        <v>0</v>
      </c>
    </row>
    <row r="49" spans="1:50">
      <c r="A49" s="335">
        <v>2044</v>
      </c>
      <c r="B49" s="62">
        <f>VLOOKUP($A49,'Time-series parameters'!$E$11:$H$89,2,FALSE)</f>
        <v>6.3826099131230357E-2</v>
      </c>
      <c r="C49" s="89"/>
      <c r="D49" s="94">
        <f>IF(Option1="No",0,IF($A49=ImplementationYear,('Project details'!$H$10-'Project details'!$D$10)*VLOOKUP(Year_cost_estimate,'Time-series parameters'!$B$11:$C$89,2,FALSE)*$B49*(1+Contingency),0))</f>
        <v>0</v>
      </c>
      <c r="E49" s="94">
        <f>IF(Option1="No",0,IF($A49&lt;ImplementationYear,0,IF($A49&gt;(ImplementationYear+(Appraisal_Period-1)),0,('Project details'!$H$11-'Project details'!$D$11)*VLOOKUP(Year_cost_estimate,'Time-series parameters'!$B$11:$C$89,2,0))*$B49))</f>
        <v>0</v>
      </c>
      <c r="F49" s="94">
        <f>IF(Option1="No",0,IF($A49=ImplementationYear,('Project details'!$H$12-'Project details'!$D$12)*VLOOKUP(Year_cost_estimate,'Time-series parameters'!$B$11:$C$89,2,FALSE)*$B49,0))</f>
        <v>0</v>
      </c>
      <c r="G49" s="97">
        <f>IF(Option1="No",0,IF($A49&lt;ImplementationYear,0,IF($A49&gt;(ImplementationYear+(Appraisal_Period-1)),0,Health!$D$21*$B49)))</f>
        <v>0</v>
      </c>
      <c r="H49" s="97">
        <f>IF(Option1="No",0,IF($A49&lt;ImplementationYear,0,IF($A49&gt;(ImplementationYear+(Appraisal_Period-1)),0,Health!$D$22*$B49)))</f>
        <v>0</v>
      </c>
      <c r="I49" s="97">
        <f>IF(Option1="No",0,IF($A49&lt;ImplementationYear,0,IF($A49&gt;(ImplementationYear+(Appraisal_Period-1)),0,SUM('Travel time'!$D$22:$D$23)*$B49)))</f>
        <v>0</v>
      </c>
      <c r="J49" s="97">
        <f>IF(Option1="No",0,IF($A49&lt;ImplementationYear,0,IF($A49&gt;(ImplementationYear+(Appraisal_Period-1)),0,SUM('Travel time'!$D$20:$D$21)*$B49)))</f>
        <v>0</v>
      </c>
      <c r="K49" s="97">
        <f>IF(Option1="No",0,IF($A49&lt;ImplementationYear,0,IF($A49&gt;(ImplementationYear+(Appraisal_Period-1)),0,SUM(Quality!$D$22:$D$23)*$B49)))</f>
        <v>0</v>
      </c>
      <c r="L49" s="97">
        <f>IF(Option1="No",0,IF($A49&lt;ImplementationYear,0,IF($A49&gt;(ImplementationYear+(Appraisal_Period-1)),0,SUM(Quality!$D$20:$D$21)*$B49)))</f>
        <v>0</v>
      </c>
      <c r="M49" s="97">
        <f>IF(Option1="No",0,IF($A49&lt;ImplementationYear,0,IF($A49&gt;(ImplementationYear+(Appraisal_Period-1)),0,'Mode change'!$D$36*$B49)))</f>
        <v>0</v>
      </c>
      <c r="N49" s="97">
        <f>IF(Option1="No",0,IF($A49&lt;ImplementationYear,0,IF($A49&gt;(ImplementationYear+(Appraisal_Period-1)),0,'Mode change'!$D$37*$B49)))</f>
        <v>0</v>
      </c>
      <c r="O49" s="97">
        <f>IF(Option1="No",0,IF($A49&lt;ImplementationYear,0,IF($A49&gt;(ImplementationYear+(Appraisal_Period-1)),0,'Road safety'!$D$22*$B49)))</f>
        <v>0</v>
      </c>
      <c r="P49" s="97">
        <f>IF(Option1="No",0,IF($A49&lt;ImplementationYear,0,IF($A49&gt;(ImplementationYear+(Appraisal_Period-1)),0,'Reduction in car usage'!$D$46*$B49)))</f>
        <v>0</v>
      </c>
      <c r="Q49" s="97">
        <f>IF(Option1="No",0,IF($A49&lt;ImplementationYear,0,IF($A49&gt;(ImplementationYear+(Appraisal_Period-1)),0,'Reduction in car usage'!$D$47*$B49)))</f>
        <v>0</v>
      </c>
      <c r="R49" s="97">
        <f>IF(Option1="No",0,IF($A49&lt;ImplementationYear,0,IF($A49&gt;(ImplementationYear+(Appraisal_Period-1)),0,'Reduction in car usage'!$D$48*$B49)))</f>
        <v>0</v>
      </c>
      <c r="S49" s="92"/>
      <c r="T49" s="94">
        <f>IF(Option2="No",0,IF($A49=ImplementationYear,('Project details'!$L$10-'Project details'!$D$10)*VLOOKUP(Year_cost_estimate,'Time-series parameters'!$B$11:$C$89,2,FALSE)*$B49*(1+Contingency),0))</f>
        <v>0</v>
      </c>
      <c r="U49" s="94">
        <f>IF(Option2="No",0,IF($A49&lt;ImplementationYear,0,IF($A49&gt;(ImplementationYear+(Appraisal_Period-1)),0,('Project details'!$L$11-'Project details'!$D$11)*VLOOKUP(Year_cost_estimate,'Time-series parameters'!$B$11:$C$89,2,0))*$B49))</f>
        <v>0</v>
      </c>
      <c r="V49" s="94">
        <f>IF(Option2="No",0,IF($A49=ImplementationYear,('Project details'!$L$12-'Project details'!$D$12)*VLOOKUP(Year_cost_estimate,'Time-series parameters'!$B$11:$C$89,2,FALSE)*$B49,0))</f>
        <v>0</v>
      </c>
      <c r="W49" s="97">
        <f>IF(Option2="No",0,IF($A49&lt;ImplementationYear,0,IF($A49&gt;(ImplementationYear+(Appraisal_Period-1)),0,Health!$E$21*$B49)))</f>
        <v>0</v>
      </c>
      <c r="X49" s="97">
        <f>IF(Option2="No",0,IF($A49&lt;ImplementationYear,0,IF($A49&gt;(ImplementationYear+(Appraisal_Period-1)),0,Health!$E$22*$B49)))</f>
        <v>0</v>
      </c>
      <c r="Y49" s="97">
        <f>IF(Option2="No",0,IF($A49&lt;ImplementationYear,0,IF($A49&gt;(ImplementationYear+(Appraisal_Period-1)),0,SUM('Travel time'!$E$22:$E$23)*$B49)))</f>
        <v>0</v>
      </c>
      <c r="Z49" s="97">
        <f>IF(Option2="No",0,IF($A49&lt;ImplementationYear,0,IF($A49&gt;(ImplementationYear+(Appraisal_Period-1)),0,SUM('Travel time'!$E$20:$E$21)*$B49)))</f>
        <v>0</v>
      </c>
      <c r="AA49" s="97">
        <f>IF(Option2="No",0,IF($A49&lt;ImplementationYear,0,IF($A49&gt;(ImplementationYear+(Appraisal_Period-1)),0,SUM(Quality!$E$22:$E$23)*$B49)))</f>
        <v>0</v>
      </c>
      <c r="AB49" s="97">
        <f>IF(Option2="No",0,IF($A49&lt;ImplementationYear,0,IF($A49&gt;(ImplementationYear+(Appraisal_Period-1)),0,SUM(Quality!$E$20:$E$21)*$B49)))</f>
        <v>0</v>
      </c>
      <c r="AC49" s="97">
        <f>IF(Option2="No",0,IF($A49&lt;ImplementationYear,0,IF($A49&gt;(ImplementationYear+(Appraisal_Period-1)),0,'Mode change'!$E$36*$B49)))</f>
        <v>0</v>
      </c>
      <c r="AD49" s="97">
        <f>IF(Option2="No",0,IF($A49&lt;ImplementationYear,0,IF($A49&gt;(ImplementationYear+(Appraisal_Period-1)),0,'Mode change'!$E$37*$B49)))</f>
        <v>0</v>
      </c>
      <c r="AE49" s="97">
        <f>IF(Option2="No",0,IF($A49&lt;ImplementationYear,0,IF($A49&gt;(ImplementationYear+(Appraisal_Period-1)),0,'Road safety'!$E$22*$B49)))</f>
        <v>0</v>
      </c>
      <c r="AF49" s="97">
        <f>IF(Option2="No",0,IF($A49&lt;ImplementationYear,0,IF($A49&gt;(ImplementationYear+(Appraisal_Period-1)),0,'Reduction in car usage'!$E$46*$B49)))</f>
        <v>0</v>
      </c>
      <c r="AG49" s="97">
        <f>IF(Option2="No",0,IF($A49&lt;ImplementationYear,0,IF($A49&gt;(ImplementationYear+(Appraisal_Period-1)),0,'Reduction in car usage'!$E$47*$B49)))</f>
        <v>0</v>
      </c>
      <c r="AH49" s="97">
        <f>IF(Option2="No",0,IF($A49&lt;ImplementationYear,0,IF($A49&gt;(ImplementationYear+(Appraisal_Period-1)),0,'Reduction in car usage'!$E$48*$B49)))</f>
        <v>0</v>
      </c>
      <c r="AJ49" s="94">
        <f>IF(Option3="No",0,IF($A49=ImplementationYear,('Project details'!$P$10-'Project details'!$D$10)*VLOOKUP(Year_cost_estimate,'Time-series parameters'!$B$11:$C$89,2,FALSE)*$B49*(1+Contingency),0))</f>
        <v>0</v>
      </c>
      <c r="AK49" s="94">
        <f>IF(Option3="No",0,IF($A49&lt;ImplementationYear,0,IF($A49&gt;(ImplementationYear+(Appraisal_Period-1)),0,('Project details'!$P$11-'Project details'!$D$11)*VLOOKUP(Year_cost_estimate,'Time-series parameters'!$B$11:$C$89,2,0))*$B49))</f>
        <v>0</v>
      </c>
      <c r="AL49" s="94">
        <f>IF(Option3="No",0,IF($A49=ImplementationYear,('Project details'!$P$12-'Project details'!$D$12)*VLOOKUP(Year_cost_estimate,'Time-series parameters'!$B$11:$C$89,2,FALSE)*$B49,0))</f>
        <v>0</v>
      </c>
      <c r="AM49" s="97">
        <f>IF(Option3="No",0,IF($A49&lt;ImplementationYear,0,IF($A49&gt;(ImplementationYear+(Appraisal_Period-1)),0,Health!$F$21*$B49)))</f>
        <v>0</v>
      </c>
      <c r="AN49" s="97">
        <f>IF(Option3="No",0,IF($A49&lt;ImplementationYear,0,IF($A49&gt;(ImplementationYear+(Appraisal_Period-1)),0,Health!$F$22*$B49)))</f>
        <v>0</v>
      </c>
      <c r="AO49" s="97">
        <f>IF(Option3="No",0,IF($A49&lt;ImplementationYear,0,IF($A49&gt;(ImplementationYear+(Appraisal_Period-1)),0,SUM('Travel time'!$F$22:$F$23)*$B49)))</f>
        <v>0</v>
      </c>
      <c r="AP49" s="97">
        <f>IF(Option3="No",0,IF($A49&lt;ImplementationYear,0,IF($A49&gt;(ImplementationYear+(Appraisal_Period-1)),0,SUM('Travel time'!$F$20:$F$21)*$B49)))</f>
        <v>0</v>
      </c>
      <c r="AQ49" s="97">
        <f>IF(Option3="No",0,IF($A49&lt;ImplementationYear,0,IF($A49&gt;(ImplementationYear+(Appraisal_Period-1)),0,SUM(Quality!$F$22:$F$23)*$B49)))</f>
        <v>0</v>
      </c>
      <c r="AR49" s="97">
        <f>IF(Option3="No",0,IF($A49&lt;ImplementationYear,0,IF($A49&gt;(ImplementationYear+(Appraisal_Period-1)),0,SUM(Quality!$F$20:$F$21)*$B49)))</f>
        <v>0</v>
      </c>
      <c r="AS49" s="97">
        <f>IF(Option3="No",0,IF($A49&lt;ImplementationYear,0,IF($A49&gt;(ImplementationYear+(Appraisal_Period-1)),0,'Mode change'!$F$36*$B49)))</f>
        <v>0</v>
      </c>
      <c r="AT49" s="97">
        <f>IF(Option3="No",0,IF($A49&lt;ImplementationYear,0,IF($A49&gt;(ImplementationYear+(Appraisal_Period-1)),0,'Mode change'!$F$37*$B49)))</f>
        <v>0</v>
      </c>
      <c r="AU49" s="97">
        <f>IF(Option3="No",0,IF($A49&lt;ImplementationYear,0,IF($A49&gt;(ImplementationYear+(Appraisal_Period-1)),0,'Road safety'!$F$22*$B49)))</f>
        <v>0</v>
      </c>
      <c r="AV49" s="97">
        <f>IF(Option3="No",0,IF($A49&lt;ImplementationYear,0,IF($A49&gt;(ImplementationYear+(Appraisal_Period-1)),0,'Reduction in car usage'!$F$46*$B49)))</f>
        <v>0</v>
      </c>
      <c r="AW49" s="97">
        <f>IF(Option3="No",0,IF($A49&lt;ImplementationYear,0,IF($A49&gt;(ImplementationYear+(Appraisal_Period-1)),0,'Reduction in car usage'!$F$47*$B49)))</f>
        <v>0</v>
      </c>
      <c r="AX49" s="97">
        <f>IF(Option3="No",0,IF($A49&lt;ImplementationYear,0,IF($A49&gt;(ImplementationYear+(Appraisal_Period-1)),0,'Reduction in car usage'!$F$48*$B49)))</f>
        <v>0</v>
      </c>
    </row>
    <row r="50" spans="1:50">
      <c r="A50" s="335">
        <v>2045</v>
      </c>
      <c r="B50" s="62">
        <f>VLOOKUP($A50,'Time-series parameters'!$E$11:$H$89,2,FALSE)</f>
        <v>5.8720011200731927E-2</v>
      </c>
      <c r="C50" s="89"/>
      <c r="D50" s="94">
        <f>IF(Option1="No",0,IF($A50=ImplementationYear,('Project details'!$H$10-'Project details'!$D$10)*VLOOKUP(Year_cost_estimate,'Time-series parameters'!$B$11:$C$89,2,FALSE)*$B50*(1+Contingency),0))</f>
        <v>0</v>
      </c>
      <c r="E50" s="94">
        <f>IF(Option1="No",0,IF($A50&lt;ImplementationYear,0,IF($A50&gt;(ImplementationYear+(Appraisal_Period-1)),0,('Project details'!$H$11-'Project details'!$D$11)*VLOOKUP(Year_cost_estimate,'Time-series parameters'!$B$11:$C$89,2,0))*$B50))</f>
        <v>0</v>
      </c>
      <c r="F50" s="94">
        <f>IF(Option1="No",0,IF($A50=ImplementationYear,('Project details'!$H$12-'Project details'!$D$12)*VLOOKUP(Year_cost_estimate,'Time-series parameters'!$B$11:$C$89,2,FALSE)*$B50,0))</f>
        <v>0</v>
      </c>
      <c r="G50" s="97">
        <f>IF(Option1="No",0,IF($A50&lt;ImplementationYear,0,IF($A50&gt;(ImplementationYear+(Appraisal_Period-1)),0,Health!$D$21*$B50)))</f>
        <v>0</v>
      </c>
      <c r="H50" s="97">
        <f>IF(Option1="No",0,IF($A50&lt;ImplementationYear,0,IF($A50&gt;(ImplementationYear+(Appraisal_Period-1)),0,Health!$D$22*$B50)))</f>
        <v>0</v>
      </c>
      <c r="I50" s="97">
        <f>IF(Option1="No",0,IF($A50&lt;ImplementationYear,0,IF($A50&gt;(ImplementationYear+(Appraisal_Period-1)),0,SUM('Travel time'!$D$22:$D$23)*$B50)))</f>
        <v>0</v>
      </c>
      <c r="J50" s="97">
        <f>IF(Option1="No",0,IF($A50&lt;ImplementationYear,0,IF($A50&gt;(ImplementationYear+(Appraisal_Period-1)),0,SUM('Travel time'!$D$20:$D$21)*$B50)))</f>
        <v>0</v>
      </c>
      <c r="K50" s="97">
        <f>IF(Option1="No",0,IF($A50&lt;ImplementationYear,0,IF($A50&gt;(ImplementationYear+(Appraisal_Period-1)),0,SUM(Quality!$D$22:$D$23)*$B50)))</f>
        <v>0</v>
      </c>
      <c r="L50" s="97">
        <f>IF(Option1="No",0,IF($A50&lt;ImplementationYear,0,IF($A50&gt;(ImplementationYear+(Appraisal_Period-1)),0,SUM(Quality!$D$20:$D$21)*$B50)))</f>
        <v>0</v>
      </c>
      <c r="M50" s="97">
        <f>IF(Option1="No",0,IF($A50&lt;ImplementationYear,0,IF($A50&gt;(ImplementationYear+(Appraisal_Period-1)),0,'Mode change'!$D$36*$B50)))</f>
        <v>0</v>
      </c>
      <c r="N50" s="97">
        <f>IF(Option1="No",0,IF($A50&lt;ImplementationYear,0,IF($A50&gt;(ImplementationYear+(Appraisal_Period-1)),0,'Mode change'!$D$37*$B50)))</f>
        <v>0</v>
      </c>
      <c r="O50" s="97">
        <f>IF(Option1="No",0,IF($A50&lt;ImplementationYear,0,IF($A50&gt;(ImplementationYear+(Appraisal_Period-1)),0,'Road safety'!$D$22*$B50)))</f>
        <v>0</v>
      </c>
      <c r="P50" s="97">
        <f>IF(Option1="No",0,IF($A50&lt;ImplementationYear,0,IF($A50&gt;(ImplementationYear+(Appraisal_Period-1)),0,'Reduction in car usage'!$D$46*$B50)))</f>
        <v>0</v>
      </c>
      <c r="Q50" s="97">
        <f>IF(Option1="No",0,IF($A50&lt;ImplementationYear,0,IF($A50&gt;(ImplementationYear+(Appraisal_Period-1)),0,'Reduction in car usage'!$D$47*$B50)))</f>
        <v>0</v>
      </c>
      <c r="R50" s="97">
        <f>IF(Option1="No",0,IF($A50&lt;ImplementationYear,0,IF($A50&gt;(ImplementationYear+(Appraisal_Period-1)),0,'Reduction in car usage'!$D$48*$B50)))</f>
        <v>0</v>
      </c>
      <c r="S50" s="92"/>
      <c r="T50" s="94">
        <f>IF(Option2="No",0,IF($A50=ImplementationYear,('Project details'!$L$10-'Project details'!$D$10)*VLOOKUP(Year_cost_estimate,'Time-series parameters'!$B$11:$C$89,2,FALSE)*$B50*(1+Contingency),0))</f>
        <v>0</v>
      </c>
      <c r="U50" s="94">
        <f>IF(Option2="No",0,IF($A50&lt;ImplementationYear,0,IF($A50&gt;(ImplementationYear+(Appraisal_Period-1)),0,('Project details'!$L$11-'Project details'!$D$11)*VLOOKUP(Year_cost_estimate,'Time-series parameters'!$B$11:$C$89,2,0))*$B50))</f>
        <v>0</v>
      </c>
      <c r="V50" s="94">
        <f>IF(Option2="No",0,IF($A50=ImplementationYear,('Project details'!$L$12-'Project details'!$D$12)*VLOOKUP(Year_cost_estimate,'Time-series parameters'!$B$11:$C$89,2,FALSE)*$B50,0))</f>
        <v>0</v>
      </c>
      <c r="W50" s="97">
        <f>IF(Option2="No",0,IF($A50&lt;ImplementationYear,0,IF($A50&gt;(ImplementationYear+(Appraisal_Period-1)),0,Health!$E$21*$B50)))</f>
        <v>0</v>
      </c>
      <c r="X50" s="97">
        <f>IF(Option2="No",0,IF($A50&lt;ImplementationYear,0,IF($A50&gt;(ImplementationYear+(Appraisal_Period-1)),0,Health!$E$22*$B50)))</f>
        <v>0</v>
      </c>
      <c r="Y50" s="97">
        <f>IF(Option2="No",0,IF($A50&lt;ImplementationYear,0,IF($A50&gt;(ImplementationYear+(Appraisal_Period-1)),0,SUM('Travel time'!$E$22:$E$23)*$B50)))</f>
        <v>0</v>
      </c>
      <c r="Z50" s="97">
        <f>IF(Option2="No",0,IF($A50&lt;ImplementationYear,0,IF($A50&gt;(ImplementationYear+(Appraisal_Period-1)),0,SUM('Travel time'!$E$20:$E$21)*$B50)))</f>
        <v>0</v>
      </c>
      <c r="AA50" s="97">
        <f>IF(Option2="No",0,IF($A50&lt;ImplementationYear,0,IF($A50&gt;(ImplementationYear+(Appraisal_Period-1)),0,SUM(Quality!$E$22:$E$23)*$B50)))</f>
        <v>0</v>
      </c>
      <c r="AB50" s="97">
        <f>IF(Option2="No",0,IF($A50&lt;ImplementationYear,0,IF($A50&gt;(ImplementationYear+(Appraisal_Period-1)),0,SUM(Quality!$E$20:$E$21)*$B50)))</f>
        <v>0</v>
      </c>
      <c r="AC50" s="97">
        <f>IF(Option2="No",0,IF($A50&lt;ImplementationYear,0,IF($A50&gt;(ImplementationYear+(Appraisal_Period-1)),0,'Mode change'!$E$36*$B50)))</f>
        <v>0</v>
      </c>
      <c r="AD50" s="97">
        <f>IF(Option2="No",0,IF($A50&lt;ImplementationYear,0,IF($A50&gt;(ImplementationYear+(Appraisal_Period-1)),0,'Mode change'!$E$37*$B50)))</f>
        <v>0</v>
      </c>
      <c r="AE50" s="97">
        <f>IF(Option2="No",0,IF($A50&lt;ImplementationYear,0,IF($A50&gt;(ImplementationYear+(Appraisal_Period-1)),0,'Road safety'!$E$22*$B50)))</f>
        <v>0</v>
      </c>
      <c r="AF50" s="97">
        <f>IF(Option2="No",0,IF($A50&lt;ImplementationYear,0,IF($A50&gt;(ImplementationYear+(Appraisal_Period-1)),0,'Reduction in car usage'!$E$46*$B50)))</f>
        <v>0</v>
      </c>
      <c r="AG50" s="97">
        <f>IF(Option2="No",0,IF($A50&lt;ImplementationYear,0,IF($A50&gt;(ImplementationYear+(Appraisal_Period-1)),0,'Reduction in car usage'!$E$47*$B50)))</f>
        <v>0</v>
      </c>
      <c r="AH50" s="97">
        <f>IF(Option2="No",0,IF($A50&lt;ImplementationYear,0,IF($A50&gt;(ImplementationYear+(Appraisal_Period-1)),0,'Reduction in car usage'!$E$48*$B50)))</f>
        <v>0</v>
      </c>
      <c r="AJ50" s="94">
        <f>IF(Option3="No",0,IF($A50=ImplementationYear,('Project details'!$P$10-'Project details'!$D$10)*VLOOKUP(Year_cost_estimate,'Time-series parameters'!$B$11:$C$89,2,FALSE)*$B50*(1+Contingency),0))</f>
        <v>0</v>
      </c>
      <c r="AK50" s="94">
        <f>IF(Option3="No",0,IF($A50&lt;ImplementationYear,0,IF($A50&gt;(ImplementationYear+(Appraisal_Period-1)),0,('Project details'!$P$11-'Project details'!$D$11)*VLOOKUP(Year_cost_estimate,'Time-series parameters'!$B$11:$C$89,2,0))*$B50))</f>
        <v>0</v>
      </c>
      <c r="AL50" s="94">
        <f>IF(Option3="No",0,IF($A50=ImplementationYear,('Project details'!$P$12-'Project details'!$D$12)*VLOOKUP(Year_cost_estimate,'Time-series parameters'!$B$11:$C$89,2,FALSE)*$B50,0))</f>
        <v>0</v>
      </c>
      <c r="AM50" s="97">
        <f>IF(Option3="No",0,IF($A50&lt;ImplementationYear,0,IF($A50&gt;(ImplementationYear+(Appraisal_Period-1)),0,Health!$F$21*$B50)))</f>
        <v>0</v>
      </c>
      <c r="AN50" s="97">
        <f>IF(Option3="No",0,IF($A50&lt;ImplementationYear,0,IF($A50&gt;(ImplementationYear+(Appraisal_Period-1)),0,Health!$F$22*$B50)))</f>
        <v>0</v>
      </c>
      <c r="AO50" s="97">
        <f>IF(Option3="No",0,IF($A50&lt;ImplementationYear,0,IF($A50&gt;(ImplementationYear+(Appraisal_Period-1)),0,SUM('Travel time'!$F$22:$F$23)*$B50)))</f>
        <v>0</v>
      </c>
      <c r="AP50" s="97">
        <f>IF(Option3="No",0,IF($A50&lt;ImplementationYear,0,IF($A50&gt;(ImplementationYear+(Appraisal_Period-1)),0,SUM('Travel time'!$F$20:$F$21)*$B50)))</f>
        <v>0</v>
      </c>
      <c r="AQ50" s="97">
        <f>IF(Option3="No",0,IF($A50&lt;ImplementationYear,0,IF($A50&gt;(ImplementationYear+(Appraisal_Period-1)),0,SUM(Quality!$F$22:$F$23)*$B50)))</f>
        <v>0</v>
      </c>
      <c r="AR50" s="97">
        <f>IF(Option3="No",0,IF($A50&lt;ImplementationYear,0,IF($A50&gt;(ImplementationYear+(Appraisal_Period-1)),0,SUM(Quality!$F$20:$F$21)*$B50)))</f>
        <v>0</v>
      </c>
      <c r="AS50" s="97">
        <f>IF(Option3="No",0,IF($A50&lt;ImplementationYear,0,IF($A50&gt;(ImplementationYear+(Appraisal_Period-1)),0,'Mode change'!$F$36*$B50)))</f>
        <v>0</v>
      </c>
      <c r="AT50" s="97">
        <f>IF(Option3="No",0,IF($A50&lt;ImplementationYear,0,IF($A50&gt;(ImplementationYear+(Appraisal_Period-1)),0,'Mode change'!$F$37*$B50)))</f>
        <v>0</v>
      </c>
      <c r="AU50" s="97">
        <f>IF(Option3="No",0,IF($A50&lt;ImplementationYear,0,IF($A50&gt;(ImplementationYear+(Appraisal_Period-1)),0,'Road safety'!$F$22*$B50)))</f>
        <v>0</v>
      </c>
      <c r="AV50" s="97">
        <f>IF(Option3="No",0,IF($A50&lt;ImplementationYear,0,IF($A50&gt;(ImplementationYear+(Appraisal_Period-1)),0,'Reduction in car usage'!$F$46*$B50)))</f>
        <v>0</v>
      </c>
      <c r="AW50" s="97">
        <f>IF(Option3="No",0,IF($A50&lt;ImplementationYear,0,IF($A50&gt;(ImplementationYear+(Appraisal_Period-1)),0,'Reduction in car usage'!$F$47*$B50)))</f>
        <v>0</v>
      </c>
      <c r="AX50" s="97">
        <f>IF(Option3="No",0,IF($A50&lt;ImplementationYear,0,IF($A50&gt;(ImplementationYear+(Appraisal_Period-1)),0,'Reduction in car usage'!$F$48*$B50)))</f>
        <v>0</v>
      </c>
    </row>
    <row r="51" spans="1:50">
      <c r="A51" s="335">
        <v>2046</v>
      </c>
      <c r="B51" s="62">
        <f>VLOOKUP($A51,'Time-series parameters'!$E$11:$H$89,2,FALSE)</f>
        <v>5.402241030467337E-2</v>
      </c>
      <c r="C51" s="89"/>
      <c r="D51" s="94">
        <f>IF(Option1="No",0,IF($A51=ImplementationYear,('Project details'!$H$10-'Project details'!$D$10)*VLOOKUP(Year_cost_estimate,'Time-series parameters'!$B$11:$C$89,2,FALSE)*$B51*(1+Contingency),0))</f>
        <v>0</v>
      </c>
      <c r="E51" s="94">
        <f>IF(Option1="No",0,IF($A51&lt;ImplementationYear,0,IF($A51&gt;(ImplementationYear+(Appraisal_Period-1)),0,('Project details'!$H$11-'Project details'!$D$11)*VLOOKUP(Year_cost_estimate,'Time-series parameters'!$B$11:$C$89,2,0))*$B51))</f>
        <v>0</v>
      </c>
      <c r="F51" s="94">
        <f>IF(Option1="No",0,IF($A51=ImplementationYear,('Project details'!$H$12-'Project details'!$D$12)*VLOOKUP(Year_cost_estimate,'Time-series parameters'!$B$11:$C$89,2,FALSE)*$B51,0))</f>
        <v>0</v>
      </c>
      <c r="G51" s="97">
        <f>IF(Option1="No",0,IF($A51&lt;ImplementationYear,0,IF($A51&gt;(ImplementationYear+(Appraisal_Period-1)),0,Health!$D$21*$B51)))</f>
        <v>0</v>
      </c>
      <c r="H51" s="97">
        <f>IF(Option1="No",0,IF($A51&lt;ImplementationYear,0,IF($A51&gt;(ImplementationYear+(Appraisal_Period-1)),0,Health!$D$22*$B51)))</f>
        <v>0</v>
      </c>
      <c r="I51" s="97">
        <f>IF(Option1="No",0,IF($A51&lt;ImplementationYear,0,IF($A51&gt;(ImplementationYear+(Appraisal_Period-1)),0,SUM('Travel time'!$D$22:$D$23)*$B51)))</f>
        <v>0</v>
      </c>
      <c r="J51" s="97">
        <f>IF(Option1="No",0,IF($A51&lt;ImplementationYear,0,IF($A51&gt;(ImplementationYear+(Appraisal_Period-1)),0,SUM('Travel time'!$D$20:$D$21)*$B51)))</f>
        <v>0</v>
      </c>
      <c r="K51" s="97">
        <f>IF(Option1="No",0,IF($A51&lt;ImplementationYear,0,IF($A51&gt;(ImplementationYear+(Appraisal_Period-1)),0,SUM(Quality!$D$22:$D$23)*$B51)))</f>
        <v>0</v>
      </c>
      <c r="L51" s="97">
        <f>IF(Option1="No",0,IF($A51&lt;ImplementationYear,0,IF($A51&gt;(ImplementationYear+(Appraisal_Period-1)),0,SUM(Quality!$D$20:$D$21)*$B51)))</f>
        <v>0</v>
      </c>
      <c r="M51" s="97">
        <f>IF(Option1="No",0,IF($A51&lt;ImplementationYear,0,IF($A51&gt;(ImplementationYear+(Appraisal_Period-1)),0,'Mode change'!$D$36*$B51)))</f>
        <v>0</v>
      </c>
      <c r="N51" s="97">
        <f>IF(Option1="No",0,IF($A51&lt;ImplementationYear,0,IF($A51&gt;(ImplementationYear+(Appraisal_Period-1)),0,'Mode change'!$D$37*$B51)))</f>
        <v>0</v>
      </c>
      <c r="O51" s="97">
        <f>IF(Option1="No",0,IF($A51&lt;ImplementationYear,0,IF($A51&gt;(ImplementationYear+(Appraisal_Period-1)),0,'Road safety'!$D$22*$B51)))</f>
        <v>0</v>
      </c>
      <c r="P51" s="97">
        <f>IF(Option1="No",0,IF($A51&lt;ImplementationYear,0,IF($A51&gt;(ImplementationYear+(Appraisal_Period-1)),0,'Reduction in car usage'!$D$46*$B51)))</f>
        <v>0</v>
      </c>
      <c r="Q51" s="97">
        <f>IF(Option1="No",0,IF($A51&lt;ImplementationYear,0,IF($A51&gt;(ImplementationYear+(Appraisal_Period-1)),0,'Reduction in car usage'!$D$47*$B51)))</f>
        <v>0</v>
      </c>
      <c r="R51" s="97">
        <f>IF(Option1="No",0,IF($A51&lt;ImplementationYear,0,IF($A51&gt;(ImplementationYear+(Appraisal_Period-1)),0,'Reduction in car usage'!$D$48*$B51)))</f>
        <v>0</v>
      </c>
      <c r="S51" s="92"/>
      <c r="T51" s="94">
        <f>IF(Option2="No",0,IF($A51=ImplementationYear,('Project details'!$L$10-'Project details'!$D$10)*VLOOKUP(Year_cost_estimate,'Time-series parameters'!$B$11:$C$89,2,FALSE)*$B51*(1+Contingency),0))</f>
        <v>0</v>
      </c>
      <c r="U51" s="94">
        <f>IF(Option2="No",0,IF($A51&lt;ImplementationYear,0,IF($A51&gt;(ImplementationYear+(Appraisal_Period-1)),0,('Project details'!$L$11-'Project details'!$D$11)*VLOOKUP(Year_cost_estimate,'Time-series parameters'!$B$11:$C$89,2,0))*$B51))</f>
        <v>0</v>
      </c>
      <c r="V51" s="94">
        <f>IF(Option2="No",0,IF($A51=ImplementationYear,('Project details'!$L$12-'Project details'!$D$12)*VLOOKUP(Year_cost_estimate,'Time-series parameters'!$B$11:$C$89,2,FALSE)*$B51,0))</f>
        <v>0</v>
      </c>
      <c r="W51" s="97">
        <f>IF(Option2="No",0,IF($A51&lt;ImplementationYear,0,IF($A51&gt;(ImplementationYear+(Appraisal_Period-1)),0,Health!$E$21*$B51)))</f>
        <v>0</v>
      </c>
      <c r="X51" s="97">
        <f>IF(Option2="No",0,IF($A51&lt;ImplementationYear,0,IF($A51&gt;(ImplementationYear+(Appraisal_Period-1)),0,Health!$E$22*$B51)))</f>
        <v>0</v>
      </c>
      <c r="Y51" s="97">
        <f>IF(Option2="No",0,IF($A51&lt;ImplementationYear,0,IF($A51&gt;(ImplementationYear+(Appraisal_Period-1)),0,SUM('Travel time'!$E$22:$E$23)*$B51)))</f>
        <v>0</v>
      </c>
      <c r="Z51" s="97">
        <f>IF(Option2="No",0,IF($A51&lt;ImplementationYear,0,IF($A51&gt;(ImplementationYear+(Appraisal_Period-1)),0,SUM('Travel time'!$E$20:$E$21)*$B51)))</f>
        <v>0</v>
      </c>
      <c r="AA51" s="97">
        <f>IF(Option2="No",0,IF($A51&lt;ImplementationYear,0,IF($A51&gt;(ImplementationYear+(Appraisal_Period-1)),0,SUM(Quality!$E$22:$E$23)*$B51)))</f>
        <v>0</v>
      </c>
      <c r="AB51" s="97">
        <f>IF(Option2="No",0,IF($A51&lt;ImplementationYear,0,IF($A51&gt;(ImplementationYear+(Appraisal_Period-1)),0,SUM(Quality!$E$20:$E$21)*$B51)))</f>
        <v>0</v>
      </c>
      <c r="AC51" s="97">
        <f>IF(Option2="No",0,IF($A51&lt;ImplementationYear,0,IF($A51&gt;(ImplementationYear+(Appraisal_Period-1)),0,'Mode change'!$E$36*$B51)))</f>
        <v>0</v>
      </c>
      <c r="AD51" s="97">
        <f>IF(Option2="No",0,IF($A51&lt;ImplementationYear,0,IF($A51&gt;(ImplementationYear+(Appraisal_Period-1)),0,'Mode change'!$E$37*$B51)))</f>
        <v>0</v>
      </c>
      <c r="AE51" s="97">
        <f>IF(Option2="No",0,IF($A51&lt;ImplementationYear,0,IF($A51&gt;(ImplementationYear+(Appraisal_Period-1)),0,'Road safety'!$E$22*$B51)))</f>
        <v>0</v>
      </c>
      <c r="AF51" s="97">
        <f>IF(Option2="No",0,IF($A51&lt;ImplementationYear,0,IF($A51&gt;(ImplementationYear+(Appraisal_Period-1)),0,'Reduction in car usage'!$E$46*$B51)))</f>
        <v>0</v>
      </c>
      <c r="AG51" s="97">
        <f>IF(Option2="No",0,IF($A51&lt;ImplementationYear,0,IF($A51&gt;(ImplementationYear+(Appraisal_Period-1)),0,'Reduction in car usage'!$E$47*$B51)))</f>
        <v>0</v>
      </c>
      <c r="AH51" s="97">
        <f>IF(Option2="No",0,IF($A51&lt;ImplementationYear,0,IF($A51&gt;(ImplementationYear+(Appraisal_Period-1)),0,'Reduction in car usage'!$E$48*$B51)))</f>
        <v>0</v>
      </c>
      <c r="AJ51" s="94">
        <f>IF(Option3="No",0,IF($A51=ImplementationYear,('Project details'!$P$10-'Project details'!$D$10)*VLOOKUP(Year_cost_estimate,'Time-series parameters'!$B$11:$C$89,2,FALSE)*$B51*(1+Contingency),0))</f>
        <v>0</v>
      </c>
      <c r="AK51" s="94">
        <f>IF(Option3="No",0,IF($A51&lt;ImplementationYear,0,IF($A51&gt;(ImplementationYear+(Appraisal_Period-1)),0,('Project details'!$P$11-'Project details'!$D$11)*VLOOKUP(Year_cost_estimate,'Time-series parameters'!$B$11:$C$89,2,0))*$B51))</f>
        <v>0</v>
      </c>
      <c r="AL51" s="94">
        <f>IF(Option3="No",0,IF($A51=ImplementationYear,('Project details'!$P$12-'Project details'!$D$12)*VLOOKUP(Year_cost_estimate,'Time-series parameters'!$B$11:$C$89,2,FALSE)*$B51,0))</f>
        <v>0</v>
      </c>
      <c r="AM51" s="97">
        <f>IF(Option3="No",0,IF($A51&lt;ImplementationYear,0,IF($A51&gt;(ImplementationYear+(Appraisal_Period-1)),0,Health!$F$21*$B51)))</f>
        <v>0</v>
      </c>
      <c r="AN51" s="97">
        <f>IF(Option3="No",0,IF($A51&lt;ImplementationYear,0,IF($A51&gt;(ImplementationYear+(Appraisal_Period-1)),0,Health!$F$22*$B51)))</f>
        <v>0</v>
      </c>
      <c r="AO51" s="97">
        <f>IF(Option3="No",0,IF($A51&lt;ImplementationYear,0,IF($A51&gt;(ImplementationYear+(Appraisal_Period-1)),0,SUM('Travel time'!$F$22:$F$23)*$B51)))</f>
        <v>0</v>
      </c>
      <c r="AP51" s="97">
        <f>IF(Option3="No",0,IF($A51&lt;ImplementationYear,0,IF($A51&gt;(ImplementationYear+(Appraisal_Period-1)),0,SUM('Travel time'!$F$20:$F$21)*$B51)))</f>
        <v>0</v>
      </c>
      <c r="AQ51" s="97">
        <f>IF(Option3="No",0,IF($A51&lt;ImplementationYear,0,IF($A51&gt;(ImplementationYear+(Appraisal_Period-1)),0,SUM(Quality!$F$22:$F$23)*$B51)))</f>
        <v>0</v>
      </c>
      <c r="AR51" s="97">
        <f>IF(Option3="No",0,IF($A51&lt;ImplementationYear,0,IF($A51&gt;(ImplementationYear+(Appraisal_Period-1)),0,SUM(Quality!$F$20:$F$21)*$B51)))</f>
        <v>0</v>
      </c>
      <c r="AS51" s="97">
        <f>IF(Option3="No",0,IF($A51&lt;ImplementationYear,0,IF($A51&gt;(ImplementationYear+(Appraisal_Period-1)),0,'Mode change'!$F$36*$B51)))</f>
        <v>0</v>
      </c>
      <c r="AT51" s="97">
        <f>IF(Option3="No",0,IF($A51&lt;ImplementationYear,0,IF($A51&gt;(ImplementationYear+(Appraisal_Period-1)),0,'Mode change'!$F$37*$B51)))</f>
        <v>0</v>
      </c>
      <c r="AU51" s="97">
        <f>IF(Option3="No",0,IF($A51&lt;ImplementationYear,0,IF($A51&gt;(ImplementationYear+(Appraisal_Period-1)),0,'Road safety'!$F$22*$B51)))</f>
        <v>0</v>
      </c>
      <c r="AV51" s="97">
        <f>IF(Option3="No",0,IF($A51&lt;ImplementationYear,0,IF($A51&gt;(ImplementationYear+(Appraisal_Period-1)),0,'Reduction in car usage'!$F$46*$B51)))</f>
        <v>0</v>
      </c>
      <c r="AW51" s="97">
        <f>IF(Option3="No",0,IF($A51&lt;ImplementationYear,0,IF($A51&gt;(ImplementationYear+(Appraisal_Period-1)),0,'Reduction in car usage'!$F$47*$B51)))</f>
        <v>0</v>
      </c>
      <c r="AX51" s="97">
        <f>IF(Option3="No",0,IF($A51&lt;ImplementationYear,0,IF($A51&gt;(ImplementationYear+(Appraisal_Period-1)),0,'Reduction in car usage'!$F$48*$B51)))</f>
        <v>0</v>
      </c>
    </row>
    <row r="52" spans="1:50">
      <c r="A52" s="335">
        <v>2047</v>
      </c>
      <c r="B52" s="62">
        <f>VLOOKUP($A52,'Time-series parameters'!$E$11:$H$89,2,FALSE)</f>
        <v>4.9700617480299497E-2</v>
      </c>
      <c r="C52" s="89"/>
      <c r="D52" s="94">
        <f>IF(Option1="No",0,IF($A52=ImplementationYear,('Project details'!$H$10-'Project details'!$D$10)*VLOOKUP(Year_cost_estimate,'Time-series parameters'!$B$11:$C$89,2,FALSE)*$B52*(1+Contingency),0))</f>
        <v>0</v>
      </c>
      <c r="E52" s="94">
        <f>IF(Option1="No",0,IF($A52&lt;ImplementationYear,0,IF($A52&gt;(ImplementationYear+(Appraisal_Period-1)),0,('Project details'!$H$11-'Project details'!$D$11)*VLOOKUP(Year_cost_estimate,'Time-series parameters'!$B$11:$C$89,2,0))*$B52))</f>
        <v>0</v>
      </c>
      <c r="F52" s="94">
        <f>IF(Option1="No",0,IF($A52=ImplementationYear,('Project details'!$H$12-'Project details'!$D$12)*VLOOKUP(Year_cost_estimate,'Time-series parameters'!$B$11:$C$89,2,FALSE)*$B52,0))</f>
        <v>0</v>
      </c>
      <c r="G52" s="97">
        <f>IF(Option1="No",0,IF($A52&lt;ImplementationYear,0,IF($A52&gt;(ImplementationYear+(Appraisal_Period-1)),0,Health!$D$21*$B52)))</f>
        <v>0</v>
      </c>
      <c r="H52" s="97">
        <f>IF(Option1="No",0,IF($A52&lt;ImplementationYear,0,IF($A52&gt;(ImplementationYear+(Appraisal_Period-1)),0,Health!$D$22*$B52)))</f>
        <v>0</v>
      </c>
      <c r="I52" s="97">
        <f>IF(Option1="No",0,IF($A52&lt;ImplementationYear,0,IF($A52&gt;(ImplementationYear+(Appraisal_Period-1)),0,SUM('Travel time'!$D$22:$D$23)*$B52)))</f>
        <v>0</v>
      </c>
      <c r="J52" s="97">
        <f>IF(Option1="No",0,IF($A52&lt;ImplementationYear,0,IF($A52&gt;(ImplementationYear+(Appraisal_Period-1)),0,SUM('Travel time'!$D$20:$D$21)*$B52)))</f>
        <v>0</v>
      </c>
      <c r="K52" s="97">
        <f>IF(Option1="No",0,IF($A52&lt;ImplementationYear,0,IF($A52&gt;(ImplementationYear+(Appraisal_Period-1)),0,SUM(Quality!$D$22:$D$23)*$B52)))</f>
        <v>0</v>
      </c>
      <c r="L52" s="97">
        <f>IF(Option1="No",0,IF($A52&lt;ImplementationYear,0,IF($A52&gt;(ImplementationYear+(Appraisal_Period-1)),0,SUM(Quality!$D$20:$D$21)*$B52)))</f>
        <v>0</v>
      </c>
      <c r="M52" s="97">
        <f>IF(Option1="No",0,IF($A52&lt;ImplementationYear,0,IF($A52&gt;(ImplementationYear+(Appraisal_Period-1)),0,'Mode change'!$D$36*$B52)))</f>
        <v>0</v>
      </c>
      <c r="N52" s="97">
        <f>IF(Option1="No",0,IF($A52&lt;ImplementationYear,0,IF($A52&gt;(ImplementationYear+(Appraisal_Period-1)),0,'Mode change'!$D$37*$B52)))</f>
        <v>0</v>
      </c>
      <c r="O52" s="97">
        <f>IF(Option1="No",0,IF($A52&lt;ImplementationYear,0,IF($A52&gt;(ImplementationYear+(Appraisal_Period-1)),0,'Road safety'!$D$22*$B52)))</f>
        <v>0</v>
      </c>
      <c r="P52" s="97">
        <f>IF(Option1="No",0,IF($A52&lt;ImplementationYear,0,IF($A52&gt;(ImplementationYear+(Appraisal_Period-1)),0,'Reduction in car usage'!$D$46*$B52)))</f>
        <v>0</v>
      </c>
      <c r="Q52" s="97">
        <f>IF(Option1="No",0,IF($A52&lt;ImplementationYear,0,IF($A52&gt;(ImplementationYear+(Appraisal_Period-1)),0,'Reduction in car usage'!$D$47*$B52)))</f>
        <v>0</v>
      </c>
      <c r="R52" s="97">
        <f>IF(Option1="No",0,IF($A52&lt;ImplementationYear,0,IF($A52&gt;(ImplementationYear+(Appraisal_Period-1)),0,'Reduction in car usage'!$D$48*$B52)))</f>
        <v>0</v>
      </c>
      <c r="S52" s="92"/>
      <c r="T52" s="94">
        <f>IF(Option2="No",0,IF($A52=ImplementationYear,('Project details'!$L$10-'Project details'!$D$10)*VLOOKUP(Year_cost_estimate,'Time-series parameters'!$B$11:$C$89,2,FALSE)*$B52*(1+Contingency),0))</f>
        <v>0</v>
      </c>
      <c r="U52" s="94">
        <f>IF(Option2="No",0,IF($A52&lt;ImplementationYear,0,IF($A52&gt;(ImplementationYear+(Appraisal_Period-1)),0,('Project details'!$L$11-'Project details'!$D$11)*VLOOKUP(Year_cost_estimate,'Time-series parameters'!$B$11:$C$89,2,0))*$B52))</f>
        <v>0</v>
      </c>
      <c r="V52" s="94">
        <f>IF(Option2="No",0,IF($A52=ImplementationYear,('Project details'!$L$12-'Project details'!$D$12)*VLOOKUP(Year_cost_estimate,'Time-series parameters'!$B$11:$C$89,2,FALSE)*$B52,0))</f>
        <v>0</v>
      </c>
      <c r="W52" s="97">
        <f>IF(Option2="No",0,IF($A52&lt;ImplementationYear,0,IF($A52&gt;(ImplementationYear+(Appraisal_Period-1)),0,Health!$E$21*$B52)))</f>
        <v>0</v>
      </c>
      <c r="X52" s="97">
        <f>IF(Option2="No",0,IF($A52&lt;ImplementationYear,0,IF($A52&gt;(ImplementationYear+(Appraisal_Period-1)),0,Health!$E$22*$B52)))</f>
        <v>0</v>
      </c>
      <c r="Y52" s="97">
        <f>IF(Option2="No",0,IF($A52&lt;ImplementationYear,0,IF($A52&gt;(ImplementationYear+(Appraisal_Period-1)),0,SUM('Travel time'!$E$22:$E$23)*$B52)))</f>
        <v>0</v>
      </c>
      <c r="Z52" s="97">
        <f>IF(Option2="No",0,IF($A52&lt;ImplementationYear,0,IF($A52&gt;(ImplementationYear+(Appraisal_Period-1)),0,SUM('Travel time'!$E$20:$E$21)*$B52)))</f>
        <v>0</v>
      </c>
      <c r="AA52" s="97">
        <f>IF(Option2="No",0,IF($A52&lt;ImplementationYear,0,IF($A52&gt;(ImplementationYear+(Appraisal_Period-1)),0,SUM(Quality!$E$22:$E$23)*$B52)))</f>
        <v>0</v>
      </c>
      <c r="AB52" s="97">
        <f>IF(Option2="No",0,IF($A52&lt;ImplementationYear,0,IF($A52&gt;(ImplementationYear+(Appraisal_Period-1)),0,SUM(Quality!$E$20:$E$21)*$B52)))</f>
        <v>0</v>
      </c>
      <c r="AC52" s="97">
        <f>IF(Option2="No",0,IF($A52&lt;ImplementationYear,0,IF($A52&gt;(ImplementationYear+(Appraisal_Period-1)),0,'Mode change'!$E$36*$B52)))</f>
        <v>0</v>
      </c>
      <c r="AD52" s="97">
        <f>IF(Option2="No",0,IF($A52&lt;ImplementationYear,0,IF($A52&gt;(ImplementationYear+(Appraisal_Period-1)),0,'Mode change'!$E$37*$B52)))</f>
        <v>0</v>
      </c>
      <c r="AE52" s="97">
        <f>IF(Option2="No",0,IF($A52&lt;ImplementationYear,0,IF($A52&gt;(ImplementationYear+(Appraisal_Period-1)),0,'Road safety'!$E$22*$B52)))</f>
        <v>0</v>
      </c>
      <c r="AF52" s="97">
        <f>IF(Option2="No",0,IF($A52&lt;ImplementationYear,0,IF($A52&gt;(ImplementationYear+(Appraisal_Period-1)),0,'Reduction in car usage'!$E$46*$B52)))</f>
        <v>0</v>
      </c>
      <c r="AG52" s="97">
        <f>IF(Option2="No",0,IF($A52&lt;ImplementationYear,0,IF($A52&gt;(ImplementationYear+(Appraisal_Period-1)),0,'Reduction in car usage'!$E$47*$B52)))</f>
        <v>0</v>
      </c>
      <c r="AH52" s="97">
        <f>IF(Option2="No",0,IF($A52&lt;ImplementationYear,0,IF($A52&gt;(ImplementationYear+(Appraisal_Period-1)),0,'Reduction in car usage'!$E$48*$B52)))</f>
        <v>0</v>
      </c>
      <c r="AJ52" s="94">
        <f>IF(Option3="No",0,IF($A52=ImplementationYear,('Project details'!$P$10-'Project details'!$D$10)*VLOOKUP(Year_cost_estimate,'Time-series parameters'!$B$11:$C$89,2,FALSE)*$B52*(1+Contingency),0))</f>
        <v>0</v>
      </c>
      <c r="AK52" s="94">
        <f>IF(Option3="No",0,IF($A52&lt;ImplementationYear,0,IF($A52&gt;(ImplementationYear+(Appraisal_Period-1)),0,('Project details'!$P$11-'Project details'!$D$11)*VLOOKUP(Year_cost_estimate,'Time-series parameters'!$B$11:$C$89,2,0))*$B52))</f>
        <v>0</v>
      </c>
      <c r="AL52" s="94">
        <f>IF(Option3="No",0,IF($A52=ImplementationYear,('Project details'!$P$12-'Project details'!$D$12)*VLOOKUP(Year_cost_estimate,'Time-series parameters'!$B$11:$C$89,2,FALSE)*$B52,0))</f>
        <v>0</v>
      </c>
      <c r="AM52" s="97">
        <f>IF(Option3="No",0,IF($A52&lt;ImplementationYear,0,IF($A52&gt;(ImplementationYear+(Appraisal_Period-1)),0,Health!$F$21*$B52)))</f>
        <v>0</v>
      </c>
      <c r="AN52" s="97">
        <f>IF(Option3="No",0,IF($A52&lt;ImplementationYear,0,IF($A52&gt;(ImplementationYear+(Appraisal_Period-1)),0,Health!$F$22*$B52)))</f>
        <v>0</v>
      </c>
      <c r="AO52" s="97">
        <f>IF(Option3="No",0,IF($A52&lt;ImplementationYear,0,IF($A52&gt;(ImplementationYear+(Appraisal_Period-1)),0,SUM('Travel time'!$F$22:$F$23)*$B52)))</f>
        <v>0</v>
      </c>
      <c r="AP52" s="97">
        <f>IF(Option3="No",0,IF($A52&lt;ImplementationYear,0,IF($A52&gt;(ImplementationYear+(Appraisal_Period-1)),0,SUM('Travel time'!$F$20:$F$21)*$B52)))</f>
        <v>0</v>
      </c>
      <c r="AQ52" s="97">
        <f>IF(Option3="No",0,IF($A52&lt;ImplementationYear,0,IF($A52&gt;(ImplementationYear+(Appraisal_Period-1)),0,SUM(Quality!$F$22:$F$23)*$B52)))</f>
        <v>0</v>
      </c>
      <c r="AR52" s="97">
        <f>IF(Option3="No",0,IF($A52&lt;ImplementationYear,0,IF($A52&gt;(ImplementationYear+(Appraisal_Period-1)),0,SUM(Quality!$F$20:$F$21)*$B52)))</f>
        <v>0</v>
      </c>
      <c r="AS52" s="97">
        <f>IF(Option3="No",0,IF($A52&lt;ImplementationYear,0,IF($A52&gt;(ImplementationYear+(Appraisal_Period-1)),0,'Mode change'!$F$36*$B52)))</f>
        <v>0</v>
      </c>
      <c r="AT52" s="97">
        <f>IF(Option3="No",0,IF($A52&lt;ImplementationYear,0,IF($A52&gt;(ImplementationYear+(Appraisal_Period-1)),0,'Mode change'!$F$37*$B52)))</f>
        <v>0</v>
      </c>
      <c r="AU52" s="97">
        <f>IF(Option3="No",0,IF($A52&lt;ImplementationYear,0,IF($A52&gt;(ImplementationYear+(Appraisal_Period-1)),0,'Road safety'!$F$22*$B52)))</f>
        <v>0</v>
      </c>
      <c r="AV52" s="97">
        <f>IF(Option3="No",0,IF($A52&lt;ImplementationYear,0,IF($A52&gt;(ImplementationYear+(Appraisal_Period-1)),0,'Reduction in car usage'!$F$46*$B52)))</f>
        <v>0</v>
      </c>
      <c r="AW52" s="97">
        <f>IF(Option3="No",0,IF($A52&lt;ImplementationYear,0,IF($A52&gt;(ImplementationYear+(Appraisal_Period-1)),0,'Reduction in car usage'!$F$47*$B52)))</f>
        <v>0</v>
      </c>
      <c r="AX52" s="97">
        <f>IF(Option3="No",0,IF($A52&lt;ImplementationYear,0,IF($A52&gt;(ImplementationYear+(Appraisal_Period-1)),0,'Reduction in car usage'!$F$48*$B52)))</f>
        <v>0</v>
      </c>
    </row>
    <row r="53" spans="1:50">
      <c r="A53" s="335">
        <v>2048</v>
      </c>
      <c r="B53" s="62">
        <f>VLOOKUP($A53,'Time-series parameters'!$E$11:$H$89,2,FALSE)</f>
        <v>4.5724568081875534E-2</v>
      </c>
      <c r="C53" s="89"/>
      <c r="D53" s="94">
        <f>IF(Option1="No",0,IF($A53=ImplementationYear,('Project details'!$H$10-'Project details'!$D$10)*VLOOKUP(Year_cost_estimate,'Time-series parameters'!$B$11:$C$89,2,FALSE)*$B53*(1+Contingency),0))</f>
        <v>0</v>
      </c>
      <c r="E53" s="94">
        <f>IF(Option1="No",0,IF($A53&lt;ImplementationYear,0,IF($A53&gt;(ImplementationYear+(Appraisal_Period-1)),0,('Project details'!$H$11-'Project details'!$D$11)*VLOOKUP(Year_cost_estimate,'Time-series parameters'!$B$11:$C$89,2,0))*$B53))</f>
        <v>0</v>
      </c>
      <c r="F53" s="94">
        <f>IF(Option1="No",0,IF($A53=ImplementationYear,('Project details'!$H$12-'Project details'!$D$12)*VLOOKUP(Year_cost_estimate,'Time-series parameters'!$B$11:$C$89,2,FALSE)*$B53,0))</f>
        <v>0</v>
      </c>
      <c r="G53" s="97">
        <f>IF(Option1="No",0,IF($A53&lt;ImplementationYear,0,IF($A53&gt;(ImplementationYear+(Appraisal_Period-1)),0,Health!$D$21*$B53)))</f>
        <v>0</v>
      </c>
      <c r="H53" s="97">
        <f>IF(Option1="No",0,IF($A53&lt;ImplementationYear,0,IF($A53&gt;(ImplementationYear+(Appraisal_Period-1)),0,Health!$D$22*$B53)))</f>
        <v>0</v>
      </c>
      <c r="I53" s="97">
        <f>IF(Option1="No",0,IF($A53&lt;ImplementationYear,0,IF($A53&gt;(ImplementationYear+(Appraisal_Period-1)),0,SUM('Travel time'!$D$22:$D$23)*$B53)))</f>
        <v>0</v>
      </c>
      <c r="J53" s="97">
        <f>IF(Option1="No",0,IF($A53&lt;ImplementationYear,0,IF($A53&gt;(ImplementationYear+(Appraisal_Period-1)),0,SUM('Travel time'!$D$20:$D$21)*$B53)))</f>
        <v>0</v>
      </c>
      <c r="K53" s="97">
        <f>IF(Option1="No",0,IF($A53&lt;ImplementationYear,0,IF($A53&gt;(ImplementationYear+(Appraisal_Period-1)),0,SUM(Quality!$D$22:$D$23)*$B53)))</f>
        <v>0</v>
      </c>
      <c r="L53" s="97">
        <f>IF(Option1="No",0,IF($A53&lt;ImplementationYear,0,IF($A53&gt;(ImplementationYear+(Appraisal_Period-1)),0,SUM(Quality!$D$20:$D$21)*$B53)))</f>
        <v>0</v>
      </c>
      <c r="M53" s="97">
        <f>IF(Option1="No",0,IF($A53&lt;ImplementationYear,0,IF($A53&gt;(ImplementationYear+(Appraisal_Period-1)),0,'Mode change'!$D$36*$B53)))</f>
        <v>0</v>
      </c>
      <c r="N53" s="97">
        <f>IF(Option1="No",0,IF($A53&lt;ImplementationYear,0,IF($A53&gt;(ImplementationYear+(Appraisal_Period-1)),0,'Mode change'!$D$37*$B53)))</f>
        <v>0</v>
      </c>
      <c r="O53" s="97">
        <f>IF(Option1="No",0,IF($A53&lt;ImplementationYear,0,IF($A53&gt;(ImplementationYear+(Appraisal_Period-1)),0,'Road safety'!$D$22*$B53)))</f>
        <v>0</v>
      </c>
      <c r="P53" s="97">
        <f>IF(Option1="No",0,IF($A53&lt;ImplementationYear,0,IF($A53&gt;(ImplementationYear+(Appraisal_Period-1)),0,'Reduction in car usage'!$D$46*$B53)))</f>
        <v>0</v>
      </c>
      <c r="Q53" s="97">
        <f>IF(Option1="No",0,IF($A53&lt;ImplementationYear,0,IF($A53&gt;(ImplementationYear+(Appraisal_Period-1)),0,'Reduction in car usage'!$D$47*$B53)))</f>
        <v>0</v>
      </c>
      <c r="R53" s="97">
        <f>IF(Option1="No",0,IF($A53&lt;ImplementationYear,0,IF($A53&gt;(ImplementationYear+(Appraisal_Period-1)),0,'Reduction in car usage'!$D$48*$B53)))</f>
        <v>0</v>
      </c>
      <c r="S53" s="92"/>
      <c r="T53" s="94">
        <f>IF(Option2="No",0,IF($A53=ImplementationYear,('Project details'!$L$10-'Project details'!$D$10)*VLOOKUP(Year_cost_estimate,'Time-series parameters'!$B$11:$C$89,2,FALSE)*$B53*(1+Contingency),0))</f>
        <v>0</v>
      </c>
      <c r="U53" s="94">
        <f>IF(Option2="No",0,IF($A53&lt;ImplementationYear,0,IF($A53&gt;(ImplementationYear+(Appraisal_Period-1)),0,('Project details'!$L$11-'Project details'!$D$11)*VLOOKUP(Year_cost_estimate,'Time-series parameters'!$B$11:$C$89,2,0))*$B53))</f>
        <v>0</v>
      </c>
      <c r="V53" s="94">
        <f>IF(Option2="No",0,IF($A53=ImplementationYear,('Project details'!$L$12-'Project details'!$D$12)*VLOOKUP(Year_cost_estimate,'Time-series parameters'!$B$11:$C$89,2,FALSE)*$B53,0))</f>
        <v>0</v>
      </c>
      <c r="W53" s="97">
        <f>IF(Option2="No",0,IF($A53&lt;ImplementationYear,0,IF($A53&gt;(ImplementationYear+(Appraisal_Period-1)),0,Health!$E$21*$B53)))</f>
        <v>0</v>
      </c>
      <c r="X53" s="97">
        <f>IF(Option2="No",0,IF($A53&lt;ImplementationYear,0,IF($A53&gt;(ImplementationYear+(Appraisal_Period-1)),0,Health!$E$22*$B53)))</f>
        <v>0</v>
      </c>
      <c r="Y53" s="97">
        <f>IF(Option2="No",0,IF($A53&lt;ImplementationYear,0,IF($A53&gt;(ImplementationYear+(Appraisal_Period-1)),0,SUM('Travel time'!$E$22:$E$23)*$B53)))</f>
        <v>0</v>
      </c>
      <c r="Z53" s="97">
        <f>IF(Option2="No",0,IF($A53&lt;ImplementationYear,0,IF($A53&gt;(ImplementationYear+(Appraisal_Period-1)),0,SUM('Travel time'!$E$20:$E$21)*$B53)))</f>
        <v>0</v>
      </c>
      <c r="AA53" s="97">
        <f>IF(Option2="No",0,IF($A53&lt;ImplementationYear,0,IF($A53&gt;(ImplementationYear+(Appraisal_Period-1)),0,SUM(Quality!$E$22:$E$23)*$B53)))</f>
        <v>0</v>
      </c>
      <c r="AB53" s="97">
        <f>IF(Option2="No",0,IF($A53&lt;ImplementationYear,0,IF($A53&gt;(ImplementationYear+(Appraisal_Period-1)),0,SUM(Quality!$E$20:$E$21)*$B53)))</f>
        <v>0</v>
      </c>
      <c r="AC53" s="97">
        <f>IF(Option2="No",0,IF($A53&lt;ImplementationYear,0,IF($A53&gt;(ImplementationYear+(Appraisal_Period-1)),0,'Mode change'!$E$36*$B53)))</f>
        <v>0</v>
      </c>
      <c r="AD53" s="97">
        <f>IF(Option2="No",0,IF($A53&lt;ImplementationYear,0,IF($A53&gt;(ImplementationYear+(Appraisal_Period-1)),0,'Mode change'!$E$37*$B53)))</f>
        <v>0</v>
      </c>
      <c r="AE53" s="97">
        <f>IF(Option2="No",0,IF($A53&lt;ImplementationYear,0,IF($A53&gt;(ImplementationYear+(Appraisal_Period-1)),0,'Road safety'!$E$22*$B53)))</f>
        <v>0</v>
      </c>
      <c r="AF53" s="97">
        <f>IF(Option2="No",0,IF($A53&lt;ImplementationYear,0,IF($A53&gt;(ImplementationYear+(Appraisal_Period-1)),0,'Reduction in car usage'!$E$46*$B53)))</f>
        <v>0</v>
      </c>
      <c r="AG53" s="97">
        <f>IF(Option2="No",0,IF($A53&lt;ImplementationYear,0,IF($A53&gt;(ImplementationYear+(Appraisal_Period-1)),0,'Reduction in car usage'!$E$47*$B53)))</f>
        <v>0</v>
      </c>
      <c r="AH53" s="97">
        <f>IF(Option2="No",0,IF($A53&lt;ImplementationYear,0,IF($A53&gt;(ImplementationYear+(Appraisal_Period-1)),0,'Reduction in car usage'!$E$48*$B53)))</f>
        <v>0</v>
      </c>
      <c r="AJ53" s="94">
        <f>IF(Option3="No",0,IF($A53=ImplementationYear,('Project details'!$P$10-'Project details'!$D$10)*VLOOKUP(Year_cost_estimate,'Time-series parameters'!$B$11:$C$89,2,FALSE)*$B53*(1+Contingency),0))</f>
        <v>0</v>
      </c>
      <c r="AK53" s="94">
        <f>IF(Option3="No",0,IF($A53&lt;ImplementationYear,0,IF($A53&gt;(ImplementationYear+(Appraisal_Period-1)),0,('Project details'!$P$11-'Project details'!$D$11)*VLOOKUP(Year_cost_estimate,'Time-series parameters'!$B$11:$C$89,2,0))*$B53))</f>
        <v>0</v>
      </c>
      <c r="AL53" s="94">
        <f>IF(Option3="No",0,IF($A53=ImplementationYear,('Project details'!$P$12-'Project details'!$D$12)*VLOOKUP(Year_cost_estimate,'Time-series parameters'!$B$11:$C$89,2,FALSE)*$B53,0))</f>
        <v>0</v>
      </c>
      <c r="AM53" s="97">
        <f>IF(Option3="No",0,IF($A53&lt;ImplementationYear,0,IF($A53&gt;(ImplementationYear+(Appraisal_Period-1)),0,Health!$F$21*$B53)))</f>
        <v>0</v>
      </c>
      <c r="AN53" s="97">
        <f>IF(Option3="No",0,IF($A53&lt;ImplementationYear,0,IF($A53&gt;(ImplementationYear+(Appraisal_Period-1)),0,Health!$F$22*$B53)))</f>
        <v>0</v>
      </c>
      <c r="AO53" s="97">
        <f>IF(Option3="No",0,IF($A53&lt;ImplementationYear,0,IF($A53&gt;(ImplementationYear+(Appraisal_Period-1)),0,SUM('Travel time'!$F$22:$F$23)*$B53)))</f>
        <v>0</v>
      </c>
      <c r="AP53" s="97">
        <f>IF(Option3="No",0,IF($A53&lt;ImplementationYear,0,IF($A53&gt;(ImplementationYear+(Appraisal_Period-1)),0,SUM('Travel time'!$F$20:$F$21)*$B53)))</f>
        <v>0</v>
      </c>
      <c r="AQ53" s="97">
        <f>IF(Option3="No",0,IF($A53&lt;ImplementationYear,0,IF($A53&gt;(ImplementationYear+(Appraisal_Period-1)),0,SUM(Quality!$F$22:$F$23)*$B53)))</f>
        <v>0</v>
      </c>
      <c r="AR53" s="97">
        <f>IF(Option3="No",0,IF($A53&lt;ImplementationYear,0,IF($A53&gt;(ImplementationYear+(Appraisal_Period-1)),0,SUM(Quality!$F$20:$F$21)*$B53)))</f>
        <v>0</v>
      </c>
      <c r="AS53" s="97">
        <f>IF(Option3="No",0,IF($A53&lt;ImplementationYear,0,IF($A53&gt;(ImplementationYear+(Appraisal_Period-1)),0,'Mode change'!$F$36*$B53)))</f>
        <v>0</v>
      </c>
      <c r="AT53" s="97">
        <f>IF(Option3="No",0,IF($A53&lt;ImplementationYear,0,IF($A53&gt;(ImplementationYear+(Appraisal_Period-1)),0,'Mode change'!$F$37*$B53)))</f>
        <v>0</v>
      </c>
      <c r="AU53" s="97">
        <f>IF(Option3="No",0,IF($A53&lt;ImplementationYear,0,IF($A53&gt;(ImplementationYear+(Appraisal_Period-1)),0,'Road safety'!$F$22*$B53)))</f>
        <v>0</v>
      </c>
      <c r="AV53" s="97">
        <f>IF(Option3="No",0,IF($A53&lt;ImplementationYear,0,IF($A53&gt;(ImplementationYear+(Appraisal_Period-1)),0,'Reduction in car usage'!$F$46*$B53)))</f>
        <v>0</v>
      </c>
      <c r="AW53" s="97">
        <f>IF(Option3="No",0,IF($A53&lt;ImplementationYear,0,IF($A53&gt;(ImplementationYear+(Appraisal_Period-1)),0,'Reduction in car usage'!$F$47*$B53)))</f>
        <v>0</v>
      </c>
      <c r="AX53" s="97">
        <f>IF(Option3="No",0,IF($A53&lt;ImplementationYear,0,IF($A53&gt;(ImplementationYear+(Appraisal_Period-1)),0,'Reduction in car usage'!$F$48*$B53)))</f>
        <v>0</v>
      </c>
    </row>
    <row r="54" spans="1:50">
      <c r="A54" s="335">
        <v>2049</v>
      </c>
      <c r="B54" s="62">
        <f>VLOOKUP($A54,'Time-series parameters'!$E$11:$H$89,2,FALSE)</f>
        <v>4.2066602635325495E-2</v>
      </c>
      <c r="C54" s="89"/>
      <c r="D54" s="94">
        <f>IF(Option1="No",0,IF($A54=ImplementationYear,('Project details'!$H$10-'Project details'!$D$10)*VLOOKUP(Year_cost_estimate,'Time-series parameters'!$B$11:$C$89,2,FALSE)*$B54*(1+Contingency),0))</f>
        <v>0</v>
      </c>
      <c r="E54" s="94">
        <f>IF(Option1="No",0,IF($A54&lt;ImplementationYear,0,IF($A54&gt;(ImplementationYear+(Appraisal_Period-1)),0,('Project details'!$H$11-'Project details'!$D$11)*VLOOKUP(Year_cost_estimate,'Time-series parameters'!$B$11:$C$89,2,0))*$B54))</f>
        <v>0</v>
      </c>
      <c r="F54" s="94">
        <f>IF(Option1="No",0,IF($A54=ImplementationYear,('Project details'!$H$12-'Project details'!$D$12)*VLOOKUP(Year_cost_estimate,'Time-series parameters'!$B$11:$C$89,2,FALSE)*$B54,0))</f>
        <v>0</v>
      </c>
      <c r="G54" s="97">
        <f>IF(Option1="No",0,IF($A54&lt;ImplementationYear,0,IF($A54&gt;(ImplementationYear+(Appraisal_Period-1)),0,Health!$D$21*$B54)))</f>
        <v>0</v>
      </c>
      <c r="H54" s="97">
        <f>IF(Option1="No",0,IF($A54&lt;ImplementationYear,0,IF($A54&gt;(ImplementationYear+(Appraisal_Period-1)),0,Health!$D$22*$B54)))</f>
        <v>0</v>
      </c>
      <c r="I54" s="97">
        <f>IF(Option1="No",0,IF($A54&lt;ImplementationYear,0,IF($A54&gt;(ImplementationYear+(Appraisal_Period-1)),0,SUM('Travel time'!$D$22:$D$23)*$B54)))</f>
        <v>0</v>
      </c>
      <c r="J54" s="97">
        <f>IF(Option1="No",0,IF($A54&lt;ImplementationYear,0,IF($A54&gt;(ImplementationYear+(Appraisal_Period-1)),0,SUM('Travel time'!$D$20:$D$21)*$B54)))</f>
        <v>0</v>
      </c>
      <c r="K54" s="97">
        <f>IF(Option1="No",0,IF($A54&lt;ImplementationYear,0,IF($A54&gt;(ImplementationYear+(Appraisal_Period-1)),0,SUM(Quality!$D$22:$D$23)*$B54)))</f>
        <v>0</v>
      </c>
      <c r="L54" s="97">
        <f>IF(Option1="No",0,IF($A54&lt;ImplementationYear,0,IF($A54&gt;(ImplementationYear+(Appraisal_Period-1)),0,SUM(Quality!$D$20:$D$21)*$B54)))</f>
        <v>0</v>
      </c>
      <c r="M54" s="97">
        <f>IF(Option1="No",0,IF($A54&lt;ImplementationYear,0,IF($A54&gt;(ImplementationYear+(Appraisal_Period-1)),0,'Mode change'!$D$36*$B54)))</f>
        <v>0</v>
      </c>
      <c r="N54" s="97">
        <f>IF(Option1="No",0,IF($A54&lt;ImplementationYear,0,IF($A54&gt;(ImplementationYear+(Appraisal_Period-1)),0,'Mode change'!$D$37*$B54)))</f>
        <v>0</v>
      </c>
      <c r="O54" s="97">
        <f>IF(Option1="No",0,IF($A54&lt;ImplementationYear,0,IF($A54&gt;(ImplementationYear+(Appraisal_Period-1)),0,'Road safety'!$D$22*$B54)))</f>
        <v>0</v>
      </c>
      <c r="P54" s="97">
        <f>IF(Option1="No",0,IF($A54&lt;ImplementationYear,0,IF($A54&gt;(ImplementationYear+(Appraisal_Period-1)),0,'Reduction in car usage'!$D$46*$B54)))</f>
        <v>0</v>
      </c>
      <c r="Q54" s="97">
        <f>IF(Option1="No",0,IF($A54&lt;ImplementationYear,0,IF($A54&gt;(ImplementationYear+(Appraisal_Period-1)),0,'Reduction in car usage'!$D$47*$B54)))</f>
        <v>0</v>
      </c>
      <c r="R54" s="97">
        <f>IF(Option1="No",0,IF($A54&lt;ImplementationYear,0,IF($A54&gt;(ImplementationYear+(Appraisal_Period-1)),0,'Reduction in car usage'!$D$48*$B54)))</f>
        <v>0</v>
      </c>
      <c r="S54" s="92"/>
      <c r="T54" s="94">
        <f>IF(Option2="No",0,IF($A54=ImplementationYear,('Project details'!$L$10-'Project details'!$D$10)*VLOOKUP(Year_cost_estimate,'Time-series parameters'!$B$11:$C$89,2,FALSE)*$B54*(1+Contingency),0))</f>
        <v>0</v>
      </c>
      <c r="U54" s="94">
        <f>IF(Option2="No",0,IF($A54&lt;ImplementationYear,0,IF($A54&gt;(ImplementationYear+(Appraisal_Period-1)),0,('Project details'!$L$11-'Project details'!$D$11)*VLOOKUP(Year_cost_estimate,'Time-series parameters'!$B$11:$C$89,2,0))*$B54))</f>
        <v>0</v>
      </c>
      <c r="V54" s="94">
        <f>IF(Option2="No",0,IF($A54=ImplementationYear,('Project details'!$L$12-'Project details'!$D$12)*VLOOKUP(Year_cost_estimate,'Time-series parameters'!$B$11:$C$89,2,FALSE)*$B54,0))</f>
        <v>0</v>
      </c>
      <c r="W54" s="97">
        <f>IF(Option2="No",0,IF($A54&lt;ImplementationYear,0,IF($A54&gt;(ImplementationYear+(Appraisal_Period-1)),0,Health!$E$21*$B54)))</f>
        <v>0</v>
      </c>
      <c r="X54" s="97">
        <f>IF(Option2="No",0,IF($A54&lt;ImplementationYear,0,IF($A54&gt;(ImplementationYear+(Appraisal_Period-1)),0,Health!$E$22*$B54)))</f>
        <v>0</v>
      </c>
      <c r="Y54" s="97">
        <f>IF(Option2="No",0,IF($A54&lt;ImplementationYear,0,IF($A54&gt;(ImplementationYear+(Appraisal_Period-1)),0,SUM('Travel time'!$E$22:$E$23)*$B54)))</f>
        <v>0</v>
      </c>
      <c r="Z54" s="97">
        <f>IF(Option2="No",0,IF($A54&lt;ImplementationYear,0,IF($A54&gt;(ImplementationYear+(Appraisal_Period-1)),0,SUM('Travel time'!$E$20:$E$21)*$B54)))</f>
        <v>0</v>
      </c>
      <c r="AA54" s="97">
        <f>IF(Option2="No",0,IF($A54&lt;ImplementationYear,0,IF($A54&gt;(ImplementationYear+(Appraisal_Period-1)),0,SUM(Quality!$E$22:$E$23)*$B54)))</f>
        <v>0</v>
      </c>
      <c r="AB54" s="97">
        <f>IF(Option2="No",0,IF($A54&lt;ImplementationYear,0,IF($A54&gt;(ImplementationYear+(Appraisal_Period-1)),0,SUM(Quality!$E$20:$E$21)*$B54)))</f>
        <v>0</v>
      </c>
      <c r="AC54" s="97">
        <f>IF(Option2="No",0,IF($A54&lt;ImplementationYear,0,IF($A54&gt;(ImplementationYear+(Appraisal_Period-1)),0,'Mode change'!$E$36*$B54)))</f>
        <v>0</v>
      </c>
      <c r="AD54" s="97">
        <f>IF(Option2="No",0,IF($A54&lt;ImplementationYear,0,IF($A54&gt;(ImplementationYear+(Appraisal_Period-1)),0,'Mode change'!$E$37*$B54)))</f>
        <v>0</v>
      </c>
      <c r="AE54" s="97">
        <f>IF(Option2="No",0,IF($A54&lt;ImplementationYear,0,IF($A54&gt;(ImplementationYear+(Appraisal_Period-1)),0,'Road safety'!$E$22*$B54)))</f>
        <v>0</v>
      </c>
      <c r="AF54" s="97">
        <f>IF(Option2="No",0,IF($A54&lt;ImplementationYear,0,IF($A54&gt;(ImplementationYear+(Appraisal_Period-1)),0,'Reduction in car usage'!$E$46*$B54)))</f>
        <v>0</v>
      </c>
      <c r="AG54" s="97">
        <f>IF(Option2="No",0,IF($A54&lt;ImplementationYear,0,IF($A54&gt;(ImplementationYear+(Appraisal_Period-1)),0,'Reduction in car usage'!$E$47*$B54)))</f>
        <v>0</v>
      </c>
      <c r="AH54" s="97">
        <f>IF(Option2="No",0,IF($A54&lt;ImplementationYear,0,IF($A54&gt;(ImplementationYear+(Appraisal_Period-1)),0,'Reduction in car usage'!$E$48*$B54)))</f>
        <v>0</v>
      </c>
      <c r="AJ54" s="94">
        <f>IF(Option3="No",0,IF($A54=ImplementationYear,('Project details'!$P$10-'Project details'!$D$10)*VLOOKUP(Year_cost_estimate,'Time-series parameters'!$B$11:$C$89,2,FALSE)*$B54*(1+Contingency),0))</f>
        <v>0</v>
      </c>
      <c r="AK54" s="94">
        <f>IF(Option3="No",0,IF($A54&lt;ImplementationYear,0,IF($A54&gt;(ImplementationYear+(Appraisal_Period-1)),0,('Project details'!$P$11-'Project details'!$D$11)*VLOOKUP(Year_cost_estimate,'Time-series parameters'!$B$11:$C$89,2,0))*$B54))</f>
        <v>0</v>
      </c>
      <c r="AL54" s="94">
        <f>IF(Option3="No",0,IF($A54=ImplementationYear,('Project details'!$P$12-'Project details'!$D$12)*VLOOKUP(Year_cost_estimate,'Time-series parameters'!$B$11:$C$89,2,FALSE)*$B54,0))</f>
        <v>0</v>
      </c>
      <c r="AM54" s="97">
        <f>IF(Option3="No",0,IF($A54&lt;ImplementationYear,0,IF($A54&gt;(ImplementationYear+(Appraisal_Period-1)),0,Health!$F$21*$B54)))</f>
        <v>0</v>
      </c>
      <c r="AN54" s="97">
        <f>IF(Option3="No",0,IF($A54&lt;ImplementationYear,0,IF($A54&gt;(ImplementationYear+(Appraisal_Period-1)),0,Health!$F$22*$B54)))</f>
        <v>0</v>
      </c>
      <c r="AO54" s="97">
        <f>IF(Option3="No",0,IF($A54&lt;ImplementationYear,0,IF($A54&gt;(ImplementationYear+(Appraisal_Period-1)),0,SUM('Travel time'!$F$22:$F$23)*$B54)))</f>
        <v>0</v>
      </c>
      <c r="AP54" s="97">
        <f>IF(Option3="No",0,IF($A54&lt;ImplementationYear,0,IF($A54&gt;(ImplementationYear+(Appraisal_Period-1)),0,SUM('Travel time'!$F$20:$F$21)*$B54)))</f>
        <v>0</v>
      </c>
      <c r="AQ54" s="97">
        <f>IF(Option3="No",0,IF($A54&lt;ImplementationYear,0,IF($A54&gt;(ImplementationYear+(Appraisal_Period-1)),0,SUM(Quality!$F$22:$F$23)*$B54)))</f>
        <v>0</v>
      </c>
      <c r="AR54" s="97">
        <f>IF(Option3="No",0,IF($A54&lt;ImplementationYear,0,IF($A54&gt;(ImplementationYear+(Appraisal_Period-1)),0,SUM(Quality!$F$20:$F$21)*$B54)))</f>
        <v>0</v>
      </c>
      <c r="AS54" s="97">
        <f>IF(Option3="No",0,IF($A54&lt;ImplementationYear,0,IF($A54&gt;(ImplementationYear+(Appraisal_Period-1)),0,'Mode change'!$F$36*$B54)))</f>
        <v>0</v>
      </c>
      <c r="AT54" s="97">
        <f>IF(Option3="No",0,IF($A54&lt;ImplementationYear,0,IF($A54&gt;(ImplementationYear+(Appraisal_Period-1)),0,'Mode change'!$F$37*$B54)))</f>
        <v>0</v>
      </c>
      <c r="AU54" s="97">
        <f>IF(Option3="No",0,IF($A54&lt;ImplementationYear,0,IF($A54&gt;(ImplementationYear+(Appraisal_Period-1)),0,'Road safety'!$F$22*$B54)))</f>
        <v>0</v>
      </c>
      <c r="AV54" s="97">
        <f>IF(Option3="No",0,IF($A54&lt;ImplementationYear,0,IF($A54&gt;(ImplementationYear+(Appraisal_Period-1)),0,'Reduction in car usage'!$F$46*$B54)))</f>
        <v>0</v>
      </c>
      <c r="AW54" s="97">
        <f>IF(Option3="No",0,IF($A54&lt;ImplementationYear,0,IF($A54&gt;(ImplementationYear+(Appraisal_Period-1)),0,'Reduction in car usage'!$F$47*$B54)))</f>
        <v>0</v>
      </c>
      <c r="AX54" s="97">
        <f>IF(Option3="No",0,IF($A54&lt;ImplementationYear,0,IF($A54&gt;(ImplementationYear+(Appraisal_Period-1)),0,'Reduction in car usage'!$F$48*$B54)))</f>
        <v>0</v>
      </c>
    </row>
    <row r="55" spans="1:50">
      <c r="A55" s="335">
        <v>2050</v>
      </c>
      <c r="B55" s="62">
        <f>VLOOKUP($A55,'Time-series parameters'!$E$11:$H$89,2,FALSE)</f>
        <v>3.8701274424499457E-2</v>
      </c>
      <c r="C55" s="89"/>
      <c r="D55" s="94">
        <f>IF(Option1="No",0,IF($A55=ImplementationYear,('Project details'!$H$10-'Project details'!$D$10)*VLOOKUP(Year_cost_estimate,'Time-series parameters'!$B$11:$C$89,2,FALSE)*$B55*(1+Contingency),0))</f>
        <v>0</v>
      </c>
      <c r="E55" s="94">
        <f>IF(Option1="No",0,IF($A55&lt;ImplementationYear,0,IF($A55&gt;(ImplementationYear+(Appraisal_Period-1)),0,('Project details'!$H$11-'Project details'!$D$11)*VLOOKUP(Year_cost_estimate,'Time-series parameters'!$B$11:$C$89,2,0))*$B55))</f>
        <v>0</v>
      </c>
      <c r="F55" s="94">
        <f>IF(Option1="No",0,IF($A55=ImplementationYear,('Project details'!$H$12-'Project details'!$D$12)*VLOOKUP(Year_cost_estimate,'Time-series parameters'!$B$11:$C$89,2,FALSE)*$B55,0))</f>
        <v>0</v>
      </c>
      <c r="G55" s="97">
        <f>IF(Option1="No",0,IF($A55&lt;ImplementationYear,0,IF($A55&gt;(ImplementationYear+(Appraisal_Period-1)),0,Health!$D$21*$B55)))</f>
        <v>0</v>
      </c>
      <c r="H55" s="97">
        <f>IF(Option1="No",0,IF($A55&lt;ImplementationYear,0,IF($A55&gt;(ImplementationYear+(Appraisal_Period-1)),0,Health!$D$22*$B55)))</f>
        <v>0</v>
      </c>
      <c r="I55" s="97">
        <f>IF(Option1="No",0,IF($A55&lt;ImplementationYear,0,IF($A55&gt;(ImplementationYear+(Appraisal_Period-1)),0,SUM('Travel time'!$D$22:$D$23)*$B55)))</f>
        <v>0</v>
      </c>
      <c r="J55" s="97">
        <f>IF(Option1="No",0,IF($A55&lt;ImplementationYear,0,IF($A55&gt;(ImplementationYear+(Appraisal_Period-1)),0,SUM('Travel time'!$D$20:$D$21)*$B55)))</f>
        <v>0</v>
      </c>
      <c r="K55" s="97">
        <f>IF(Option1="No",0,IF($A55&lt;ImplementationYear,0,IF($A55&gt;(ImplementationYear+(Appraisal_Period-1)),0,SUM(Quality!$D$22:$D$23)*$B55)))</f>
        <v>0</v>
      </c>
      <c r="L55" s="97">
        <f>IF(Option1="No",0,IF($A55&lt;ImplementationYear,0,IF($A55&gt;(ImplementationYear+(Appraisal_Period-1)),0,SUM(Quality!$D$20:$D$21)*$B55)))</f>
        <v>0</v>
      </c>
      <c r="M55" s="97">
        <f>IF(Option1="No",0,IF($A55&lt;ImplementationYear,0,IF($A55&gt;(ImplementationYear+(Appraisal_Period-1)),0,'Mode change'!$D$36*$B55)))</f>
        <v>0</v>
      </c>
      <c r="N55" s="97">
        <f>IF(Option1="No",0,IF($A55&lt;ImplementationYear,0,IF($A55&gt;(ImplementationYear+(Appraisal_Period-1)),0,'Mode change'!$D$37*$B55)))</f>
        <v>0</v>
      </c>
      <c r="O55" s="97">
        <f>IF(Option1="No",0,IF($A55&lt;ImplementationYear,0,IF($A55&gt;(ImplementationYear+(Appraisal_Period-1)),0,'Road safety'!$D$22*$B55)))</f>
        <v>0</v>
      </c>
      <c r="P55" s="97">
        <f>IF(Option1="No",0,IF($A55&lt;ImplementationYear,0,IF($A55&gt;(ImplementationYear+(Appraisal_Period-1)),0,'Reduction in car usage'!$D$46*$B55)))</f>
        <v>0</v>
      </c>
      <c r="Q55" s="97">
        <f>IF(Option1="No",0,IF($A55&lt;ImplementationYear,0,IF($A55&gt;(ImplementationYear+(Appraisal_Period-1)),0,'Reduction in car usage'!$D$47*$B55)))</f>
        <v>0</v>
      </c>
      <c r="R55" s="97">
        <f>IF(Option1="No",0,IF($A55&lt;ImplementationYear,0,IF($A55&gt;(ImplementationYear+(Appraisal_Period-1)),0,'Reduction in car usage'!$D$48*$B55)))</f>
        <v>0</v>
      </c>
      <c r="S55" s="92"/>
      <c r="T55" s="94">
        <f>IF(Option2="No",0,IF($A55=ImplementationYear,('Project details'!$L$10-'Project details'!$D$10)*VLOOKUP(Year_cost_estimate,'Time-series parameters'!$B$11:$C$89,2,FALSE)*$B55*(1+Contingency),0))</f>
        <v>0</v>
      </c>
      <c r="U55" s="94">
        <f>IF(Option2="No",0,IF($A55&lt;ImplementationYear,0,IF($A55&gt;(ImplementationYear+(Appraisal_Period-1)),0,('Project details'!$L$11-'Project details'!$D$11)*VLOOKUP(Year_cost_estimate,'Time-series parameters'!$B$11:$C$89,2,0))*$B55))</f>
        <v>0</v>
      </c>
      <c r="V55" s="94">
        <f>IF(Option2="No",0,IF($A55=ImplementationYear,('Project details'!$L$12-'Project details'!$D$12)*VLOOKUP(Year_cost_estimate,'Time-series parameters'!$B$11:$C$89,2,FALSE)*$B55,0))</f>
        <v>0</v>
      </c>
      <c r="W55" s="97">
        <f>IF(Option2="No",0,IF($A55&lt;ImplementationYear,0,IF($A55&gt;(ImplementationYear+(Appraisal_Period-1)),0,Health!$E$21*$B55)))</f>
        <v>0</v>
      </c>
      <c r="X55" s="97">
        <f>IF(Option2="No",0,IF($A55&lt;ImplementationYear,0,IF($A55&gt;(ImplementationYear+(Appraisal_Period-1)),0,Health!$E$22*$B55)))</f>
        <v>0</v>
      </c>
      <c r="Y55" s="97">
        <f>IF(Option2="No",0,IF($A55&lt;ImplementationYear,0,IF($A55&gt;(ImplementationYear+(Appraisal_Period-1)),0,SUM('Travel time'!$E$22:$E$23)*$B55)))</f>
        <v>0</v>
      </c>
      <c r="Z55" s="97">
        <f>IF(Option2="No",0,IF($A55&lt;ImplementationYear,0,IF($A55&gt;(ImplementationYear+(Appraisal_Period-1)),0,SUM('Travel time'!$E$20:$E$21)*$B55)))</f>
        <v>0</v>
      </c>
      <c r="AA55" s="97">
        <f>IF(Option2="No",0,IF($A55&lt;ImplementationYear,0,IF($A55&gt;(ImplementationYear+(Appraisal_Period-1)),0,SUM(Quality!$E$22:$E$23)*$B55)))</f>
        <v>0</v>
      </c>
      <c r="AB55" s="97">
        <f>IF(Option2="No",0,IF($A55&lt;ImplementationYear,0,IF($A55&gt;(ImplementationYear+(Appraisal_Period-1)),0,SUM(Quality!$E$20:$E$21)*$B55)))</f>
        <v>0</v>
      </c>
      <c r="AC55" s="97">
        <f>IF(Option2="No",0,IF($A55&lt;ImplementationYear,0,IF($A55&gt;(ImplementationYear+(Appraisal_Period-1)),0,'Mode change'!$E$36*$B55)))</f>
        <v>0</v>
      </c>
      <c r="AD55" s="97">
        <f>IF(Option2="No",0,IF($A55&lt;ImplementationYear,0,IF($A55&gt;(ImplementationYear+(Appraisal_Period-1)),0,'Mode change'!$E$37*$B55)))</f>
        <v>0</v>
      </c>
      <c r="AE55" s="97">
        <f>IF(Option2="No",0,IF($A55&lt;ImplementationYear,0,IF($A55&gt;(ImplementationYear+(Appraisal_Period-1)),0,'Road safety'!$E$22*$B55)))</f>
        <v>0</v>
      </c>
      <c r="AF55" s="97">
        <f>IF(Option2="No",0,IF($A55&lt;ImplementationYear,0,IF($A55&gt;(ImplementationYear+(Appraisal_Period-1)),0,'Reduction in car usage'!$E$46*$B55)))</f>
        <v>0</v>
      </c>
      <c r="AG55" s="97">
        <f>IF(Option2="No",0,IF($A55&lt;ImplementationYear,0,IF($A55&gt;(ImplementationYear+(Appraisal_Period-1)),0,'Reduction in car usage'!$E$47*$B55)))</f>
        <v>0</v>
      </c>
      <c r="AH55" s="97">
        <f>IF(Option2="No",0,IF($A55&lt;ImplementationYear,0,IF($A55&gt;(ImplementationYear+(Appraisal_Period-1)),0,'Reduction in car usage'!$E$48*$B55)))</f>
        <v>0</v>
      </c>
      <c r="AJ55" s="94">
        <f>IF(Option3="No",0,IF($A55=ImplementationYear,('Project details'!$P$10-'Project details'!$D$10)*VLOOKUP(Year_cost_estimate,'Time-series parameters'!$B$11:$C$89,2,FALSE)*$B55*(1+Contingency),0))</f>
        <v>0</v>
      </c>
      <c r="AK55" s="94">
        <f>IF(Option3="No",0,IF($A55&lt;ImplementationYear,0,IF($A55&gt;(ImplementationYear+(Appraisal_Period-1)),0,('Project details'!$P$11-'Project details'!$D$11)*VLOOKUP(Year_cost_estimate,'Time-series parameters'!$B$11:$C$89,2,0))*$B55))</f>
        <v>0</v>
      </c>
      <c r="AL55" s="94">
        <f>IF(Option3="No",0,IF($A55=ImplementationYear,('Project details'!$P$12-'Project details'!$D$12)*VLOOKUP(Year_cost_estimate,'Time-series parameters'!$B$11:$C$89,2,FALSE)*$B55,0))</f>
        <v>0</v>
      </c>
      <c r="AM55" s="97">
        <f>IF(Option3="No",0,IF($A55&lt;ImplementationYear,0,IF($A55&gt;(ImplementationYear+(Appraisal_Period-1)),0,Health!$F$21*$B55)))</f>
        <v>0</v>
      </c>
      <c r="AN55" s="97">
        <f>IF(Option3="No",0,IF($A55&lt;ImplementationYear,0,IF($A55&gt;(ImplementationYear+(Appraisal_Period-1)),0,Health!$F$22*$B55)))</f>
        <v>0</v>
      </c>
      <c r="AO55" s="97">
        <f>IF(Option3="No",0,IF($A55&lt;ImplementationYear,0,IF($A55&gt;(ImplementationYear+(Appraisal_Period-1)),0,SUM('Travel time'!$F$22:$F$23)*$B55)))</f>
        <v>0</v>
      </c>
      <c r="AP55" s="97">
        <f>IF(Option3="No",0,IF($A55&lt;ImplementationYear,0,IF($A55&gt;(ImplementationYear+(Appraisal_Period-1)),0,SUM('Travel time'!$F$20:$F$21)*$B55)))</f>
        <v>0</v>
      </c>
      <c r="AQ55" s="97">
        <f>IF(Option3="No",0,IF($A55&lt;ImplementationYear,0,IF($A55&gt;(ImplementationYear+(Appraisal_Period-1)),0,SUM(Quality!$F$22:$F$23)*$B55)))</f>
        <v>0</v>
      </c>
      <c r="AR55" s="97">
        <f>IF(Option3="No",0,IF($A55&lt;ImplementationYear,0,IF($A55&gt;(ImplementationYear+(Appraisal_Period-1)),0,SUM(Quality!$F$20:$F$21)*$B55)))</f>
        <v>0</v>
      </c>
      <c r="AS55" s="97">
        <f>IF(Option3="No",0,IF($A55&lt;ImplementationYear,0,IF($A55&gt;(ImplementationYear+(Appraisal_Period-1)),0,'Mode change'!$F$36*$B55)))</f>
        <v>0</v>
      </c>
      <c r="AT55" s="97">
        <f>IF(Option3="No",0,IF($A55&lt;ImplementationYear,0,IF($A55&gt;(ImplementationYear+(Appraisal_Period-1)),0,'Mode change'!$F$37*$B55)))</f>
        <v>0</v>
      </c>
      <c r="AU55" s="97">
        <f>IF(Option3="No",0,IF($A55&lt;ImplementationYear,0,IF($A55&gt;(ImplementationYear+(Appraisal_Period-1)),0,'Road safety'!$F$22*$B55)))</f>
        <v>0</v>
      </c>
      <c r="AV55" s="97">
        <f>IF(Option3="No",0,IF($A55&lt;ImplementationYear,0,IF($A55&gt;(ImplementationYear+(Appraisal_Period-1)),0,'Reduction in car usage'!$F$46*$B55)))</f>
        <v>0</v>
      </c>
      <c r="AW55" s="97">
        <f>IF(Option3="No",0,IF($A55&lt;ImplementationYear,0,IF($A55&gt;(ImplementationYear+(Appraisal_Period-1)),0,'Reduction in car usage'!$F$47*$B55)))</f>
        <v>0</v>
      </c>
      <c r="AX55" s="97">
        <f>IF(Option3="No",0,IF($A55&lt;ImplementationYear,0,IF($A55&gt;(ImplementationYear+(Appraisal_Period-1)),0,'Reduction in car usage'!$F$48*$B55)))</f>
        <v>0</v>
      </c>
    </row>
    <row r="56" spans="1:50">
      <c r="A56" s="335">
        <v>2051</v>
      </c>
      <c r="B56" s="62">
        <f>VLOOKUP($A56,'Time-series parameters'!$E$11:$H$89,2,FALSE)</f>
        <v>3.5605172470539501E-2</v>
      </c>
      <c r="C56" s="89"/>
      <c r="D56" s="94">
        <f>IF(Option1="No",0,IF($A56=ImplementationYear,('Project details'!$H$10-'Project details'!$D$10)*VLOOKUP(Year_cost_estimate,'Time-series parameters'!$B$11:$C$89,2,FALSE)*$B56*(1+Contingency),0))</f>
        <v>0</v>
      </c>
      <c r="E56" s="94">
        <f>IF(Option1="No",0,IF($A56&lt;ImplementationYear,0,IF($A56&gt;(ImplementationYear+(Appraisal_Period-1)),0,('Project details'!$H$11-'Project details'!$D$11)*VLOOKUP(Year_cost_estimate,'Time-series parameters'!$B$11:$C$89,2,0))*$B56))</f>
        <v>0</v>
      </c>
      <c r="F56" s="94">
        <f>IF(Option1="No",0,IF($A56=ImplementationYear,('Project details'!$H$12-'Project details'!$D$12)*VLOOKUP(Year_cost_estimate,'Time-series parameters'!$B$11:$C$89,2,FALSE)*$B56,0))</f>
        <v>0</v>
      </c>
      <c r="G56" s="97">
        <f>IF(Option1="No",0,IF($A56&lt;ImplementationYear,0,IF($A56&gt;(ImplementationYear+(Appraisal_Period-1)),0,Health!$D$21*$B56)))</f>
        <v>0</v>
      </c>
      <c r="H56" s="97">
        <f>IF(Option1="No",0,IF($A56&lt;ImplementationYear,0,IF($A56&gt;(ImplementationYear+(Appraisal_Period-1)),0,Health!$D$22*$B56)))</f>
        <v>0</v>
      </c>
      <c r="I56" s="97">
        <f>IF(Option1="No",0,IF($A56&lt;ImplementationYear,0,IF($A56&gt;(ImplementationYear+(Appraisal_Period-1)),0,SUM('Travel time'!$D$22:$D$23)*$B56)))</f>
        <v>0</v>
      </c>
      <c r="J56" s="97">
        <f>IF(Option1="No",0,IF($A56&lt;ImplementationYear,0,IF($A56&gt;(ImplementationYear+(Appraisal_Period-1)),0,SUM('Travel time'!$D$20:$D$21)*$B56)))</f>
        <v>0</v>
      </c>
      <c r="K56" s="97">
        <f>IF(Option1="No",0,IF($A56&lt;ImplementationYear,0,IF($A56&gt;(ImplementationYear+(Appraisal_Period-1)),0,SUM(Quality!$D$22:$D$23)*$B56)))</f>
        <v>0</v>
      </c>
      <c r="L56" s="97">
        <f>IF(Option1="No",0,IF($A56&lt;ImplementationYear,0,IF($A56&gt;(ImplementationYear+(Appraisal_Period-1)),0,SUM(Quality!$D$20:$D$21)*$B56)))</f>
        <v>0</v>
      </c>
      <c r="M56" s="97">
        <f>IF(Option1="No",0,IF($A56&lt;ImplementationYear,0,IF($A56&gt;(ImplementationYear+(Appraisal_Period-1)),0,'Mode change'!$D$36*$B56)))</f>
        <v>0</v>
      </c>
      <c r="N56" s="97">
        <f>IF(Option1="No",0,IF($A56&lt;ImplementationYear,0,IF($A56&gt;(ImplementationYear+(Appraisal_Period-1)),0,'Mode change'!$D$37*$B56)))</f>
        <v>0</v>
      </c>
      <c r="O56" s="97">
        <f>IF(Option1="No",0,IF($A56&lt;ImplementationYear,0,IF($A56&gt;(ImplementationYear+(Appraisal_Period-1)),0,'Road safety'!$D$22*$B56)))</f>
        <v>0</v>
      </c>
      <c r="P56" s="97">
        <f>IF(Option1="No",0,IF($A56&lt;ImplementationYear,0,IF($A56&gt;(ImplementationYear+(Appraisal_Period-1)),0,'Reduction in car usage'!$D$46*$B56)))</f>
        <v>0</v>
      </c>
      <c r="Q56" s="97">
        <f>IF(Option1="No",0,IF($A56&lt;ImplementationYear,0,IF($A56&gt;(ImplementationYear+(Appraisal_Period-1)),0,'Reduction in car usage'!$D$47*$B56)))</f>
        <v>0</v>
      </c>
      <c r="R56" s="97">
        <f>IF(Option1="No",0,IF($A56&lt;ImplementationYear,0,IF($A56&gt;(ImplementationYear+(Appraisal_Period-1)),0,'Reduction in car usage'!$D$48*$B56)))</f>
        <v>0</v>
      </c>
      <c r="S56" s="92"/>
      <c r="T56" s="94">
        <f>IF(Option2="No",0,IF($A56=ImplementationYear,('Project details'!$L$10-'Project details'!$D$10)*VLOOKUP(Year_cost_estimate,'Time-series parameters'!$B$11:$C$89,2,FALSE)*$B56*(1+Contingency),0))</f>
        <v>0</v>
      </c>
      <c r="U56" s="94">
        <f>IF(Option2="No",0,IF($A56&lt;ImplementationYear,0,IF($A56&gt;(ImplementationYear+(Appraisal_Period-1)),0,('Project details'!$L$11-'Project details'!$D$11)*VLOOKUP(Year_cost_estimate,'Time-series parameters'!$B$11:$C$89,2,0))*$B56))</f>
        <v>0</v>
      </c>
      <c r="V56" s="94">
        <f>IF(Option2="No",0,IF($A56=ImplementationYear,('Project details'!$L$12-'Project details'!$D$12)*VLOOKUP(Year_cost_estimate,'Time-series parameters'!$B$11:$C$89,2,FALSE)*$B56,0))</f>
        <v>0</v>
      </c>
      <c r="W56" s="97">
        <f>IF(Option2="No",0,IF($A56&lt;ImplementationYear,0,IF($A56&gt;(ImplementationYear+(Appraisal_Period-1)),0,Health!$E$21*$B56)))</f>
        <v>0</v>
      </c>
      <c r="X56" s="97">
        <f>IF(Option2="No",0,IF($A56&lt;ImplementationYear,0,IF($A56&gt;(ImplementationYear+(Appraisal_Period-1)),0,Health!$E$22*$B56)))</f>
        <v>0</v>
      </c>
      <c r="Y56" s="97">
        <f>IF(Option2="No",0,IF($A56&lt;ImplementationYear,0,IF($A56&gt;(ImplementationYear+(Appraisal_Period-1)),0,SUM('Travel time'!$E$22:$E$23)*$B56)))</f>
        <v>0</v>
      </c>
      <c r="Z56" s="97">
        <f>IF(Option2="No",0,IF($A56&lt;ImplementationYear,0,IF($A56&gt;(ImplementationYear+(Appraisal_Period-1)),0,SUM('Travel time'!$E$20:$E$21)*$B56)))</f>
        <v>0</v>
      </c>
      <c r="AA56" s="97">
        <f>IF(Option2="No",0,IF($A56&lt;ImplementationYear,0,IF($A56&gt;(ImplementationYear+(Appraisal_Period-1)),0,SUM(Quality!$E$22:$E$23)*$B56)))</f>
        <v>0</v>
      </c>
      <c r="AB56" s="97">
        <f>IF(Option2="No",0,IF($A56&lt;ImplementationYear,0,IF($A56&gt;(ImplementationYear+(Appraisal_Period-1)),0,SUM(Quality!$E$20:$E$21)*$B56)))</f>
        <v>0</v>
      </c>
      <c r="AC56" s="97">
        <f>IF(Option2="No",0,IF($A56&lt;ImplementationYear,0,IF($A56&gt;(ImplementationYear+(Appraisal_Period-1)),0,'Mode change'!$E$36*$B56)))</f>
        <v>0</v>
      </c>
      <c r="AD56" s="97">
        <f>IF(Option2="No",0,IF($A56&lt;ImplementationYear,0,IF($A56&gt;(ImplementationYear+(Appraisal_Period-1)),0,'Mode change'!$E$37*$B56)))</f>
        <v>0</v>
      </c>
      <c r="AE56" s="97">
        <f>IF(Option2="No",0,IF($A56&lt;ImplementationYear,0,IF($A56&gt;(ImplementationYear+(Appraisal_Period-1)),0,'Road safety'!$E$22*$B56)))</f>
        <v>0</v>
      </c>
      <c r="AF56" s="97">
        <f>IF(Option2="No",0,IF($A56&lt;ImplementationYear,0,IF($A56&gt;(ImplementationYear+(Appraisal_Period-1)),0,'Reduction in car usage'!$E$46*$B56)))</f>
        <v>0</v>
      </c>
      <c r="AG56" s="97">
        <f>IF(Option2="No",0,IF($A56&lt;ImplementationYear,0,IF($A56&gt;(ImplementationYear+(Appraisal_Period-1)),0,'Reduction in car usage'!$E$47*$B56)))</f>
        <v>0</v>
      </c>
      <c r="AH56" s="97">
        <f>IF(Option2="No",0,IF($A56&lt;ImplementationYear,0,IF($A56&gt;(ImplementationYear+(Appraisal_Period-1)),0,'Reduction in car usage'!$E$48*$B56)))</f>
        <v>0</v>
      </c>
      <c r="AJ56" s="94">
        <f>IF(Option3="No",0,IF($A56=ImplementationYear,('Project details'!$P$10-'Project details'!$D$10)*VLOOKUP(Year_cost_estimate,'Time-series parameters'!$B$11:$C$89,2,FALSE)*$B56*(1+Contingency),0))</f>
        <v>0</v>
      </c>
      <c r="AK56" s="94">
        <f>IF(Option3="No",0,IF($A56&lt;ImplementationYear,0,IF($A56&gt;(ImplementationYear+(Appraisal_Period-1)),0,('Project details'!$P$11-'Project details'!$D$11)*VLOOKUP(Year_cost_estimate,'Time-series parameters'!$B$11:$C$89,2,0))*$B56))</f>
        <v>0</v>
      </c>
      <c r="AL56" s="94">
        <f>IF(Option3="No",0,IF($A56=ImplementationYear,('Project details'!$P$12-'Project details'!$D$12)*VLOOKUP(Year_cost_estimate,'Time-series parameters'!$B$11:$C$89,2,FALSE)*$B56,0))</f>
        <v>0</v>
      </c>
      <c r="AM56" s="97">
        <f>IF(Option3="No",0,IF($A56&lt;ImplementationYear,0,IF($A56&gt;(ImplementationYear+(Appraisal_Period-1)),0,Health!$F$21*$B56)))</f>
        <v>0</v>
      </c>
      <c r="AN56" s="97">
        <f>IF(Option3="No",0,IF($A56&lt;ImplementationYear,0,IF($A56&gt;(ImplementationYear+(Appraisal_Period-1)),0,Health!$F$22*$B56)))</f>
        <v>0</v>
      </c>
      <c r="AO56" s="97">
        <f>IF(Option3="No",0,IF($A56&lt;ImplementationYear,0,IF($A56&gt;(ImplementationYear+(Appraisal_Period-1)),0,SUM('Travel time'!$F$22:$F$23)*$B56)))</f>
        <v>0</v>
      </c>
      <c r="AP56" s="97">
        <f>IF(Option3="No",0,IF($A56&lt;ImplementationYear,0,IF($A56&gt;(ImplementationYear+(Appraisal_Period-1)),0,SUM('Travel time'!$F$20:$F$21)*$B56)))</f>
        <v>0</v>
      </c>
      <c r="AQ56" s="97">
        <f>IF(Option3="No",0,IF($A56&lt;ImplementationYear,0,IF($A56&gt;(ImplementationYear+(Appraisal_Period-1)),0,SUM(Quality!$F$22:$F$23)*$B56)))</f>
        <v>0</v>
      </c>
      <c r="AR56" s="97">
        <f>IF(Option3="No",0,IF($A56&lt;ImplementationYear,0,IF($A56&gt;(ImplementationYear+(Appraisal_Period-1)),0,SUM(Quality!$F$20:$F$21)*$B56)))</f>
        <v>0</v>
      </c>
      <c r="AS56" s="97">
        <f>IF(Option3="No",0,IF($A56&lt;ImplementationYear,0,IF($A56&gt;(ImplementationYear+(Appraisal_Period-1)),0,'Mode change'!$F$36*$B56)))</f>
        <v>0</v>
      </c>
      <c r="AT56" s="97">
        <f>IF(Option3="No",0,IF($A56&lt;ImplementationYear,0,IF($A56&gt;(ImplementationYear+(Appraisal_Period-1)),0,'Mode change'!$F$37*$B56)))</f>
        <v>0</v>
      </c>
      <c r="AU56" s="97">
        <f>IF(Option3="No",0,IF($A56&lt;ImplementationYear,0,IF($A56&gt;(ImplementationYear+(Appraisal_Period-1)),0,'Road safety'!$F$22*$B56)))</f>
        <v>0</v>
      </c>
      <c r="AV56" s="97">
        <f>IF(Option3="No",0,IF($A56&lt;ImplementationYear,0,IF($A56&gt;(ImplementationYear+(Appraisal_Period-1)),0,'Reduction in car usage'!$F$46*$B56)))</f>
        <v>0</v>
      </c>
      <c r="AW56" s="97">
        <f>IF(Option3="No",0,IF($A56&lt;ImplementationYear,0,IF($A56&gt;(ImplementationYear+(Appraisal_Period-1)),0,'Reduction in car usage'!$F$47*$B56)))</f>
        <v>0</v>
      </c>
      <c r="AX56" s="97">
        <f>IF(Option3="No",0,IF($A56&lt;ImplementationYear,0,IF($A56&gt;(ImplementationYear+(Appraisal_Period-1)),0,'Reduction in car usage'!$F$48*$B56)))</f>
        <v>0</v>
      </c>
    </row>
    <row r="57" spans="1:50">
      <c r="A57" s="335">
        <v>2052</v>
      </c>
      <c r="B57" s="62">
        <f>VLOOKUP($A57,'Time-series parameters'!$E$11:$H$89,2,FALSE)</f>
        <v>3.275675867289634E-2</v>
      </c>
      <c r="C57" s="89"/>
      <c r="D57" s="94">
        <f>IF(Option1="No",0,IF($A57=ImplementationYear,('Project details'!$H$10-'Project details'!$D$10)*VLOOKUP(Year_cost_estimate,'Time-series parameters'!$B$11:$C$89,2,FALSE)*$B57*(1+Contingency),0))</f>
        <v>0</v>
      </c>
      <c r="E57" s="94">
        <f>IF(Option1="No",0,IF($A57&lt;ImplementationYear,0,IF($A57&gt;(ImplementationYear+(Appraisal_Period-1)),0,('Project details'!$H$11-'Project details'!$D$11)*VLOOKUP(Year_cost_estimate,'Time-series parameters'!$B$11:$C$89,2,0))*$B57))</f>
        <v>0</v>
      </c>
      <c r="F57" s="94">
        <f>IF(Option1="No",0,IF($A57=ImplementationYear,('Project details'!$H$12-'Project details'!$D$12)*VLOOKUP(Year_cost_estimate,'Time-series parameters'!$B$11:$C$89,2,FALSE)*$B57,0))</f>
        <v>0</v>
      </c>
      <c r="G57" s="97">
        <f>IF(Option1="No",0,IF($A57&lt;ImplementationYear,0,IF($A57&gt;(ImplementationYear+(Appraisal_Period-1)),0,Health!$D$21*$B57)))</f>
        <v>0</v>
      </c>
      <c r="H57" s="97">
        <f>IF(Option1="No",0,IF($A57&lt;ImplementationYear,0,IF($A57&gt;(ImplementationYear+(Appraisal_Period-1)),0,Health!$D$22*$B57)))</f>
        <v>0</v>
      </c>
      <c r="I57" s="97">
        <f>IF(Option1="No",0,IF($A57&lt;ImplementationYear,0,IF($A57&gt;(ImplementationYear+(Appraisal_Period-1)),0,SUM('Travel time'!$D$22:$D$23)*$B57)))</f>
        <v>0</v>
      </c>
      <c r="J57" s="97">
        <f>IF(Option1="No",0,IF($A57&lt;ImplementationYear,0,IF($A57&gt;(ImplementationYear+(Appraisal_Period-1)),0,SUM('Travel time'!$D$20:$D$21)*$B57)))</f>
        <v>0</v>
      </c>
      <c r="K57" s="97">
        <f>IF(Option1="No",0,IF($A57&lt;ImplementationYear,0,IF($A57&gt;(ImplementationYear+(Appraisal_Period-1)),0,SUM(Quality!$D$22:$D$23)*$B57)))</f>
        <v>0</v>
      </c>
      <c r="L57" s="97">
        <f>IF(Option1="No",0,IF($A57&lt;ImplementationYear,0,IF($A57&gt;(ImplementationYear+(Appraisal_Period-1)),0,SUM(Quality!$D$20:$D$21)*$B57)))</f>
        <v>0</v>
      </c>
      <c r="M57" s="97">
        <f>IF(Option1="No",0,IF($A57&lt;ImplementationYear,0,IF($A57&gt;(ImplementationYear+(Appraisal_Period-1)),0,'Mode change'!$D$36*$B57)))</f>
        <v>0</v>
      </c>
      <c r="N57" s="97">
        <f>IF(Option1="No",0,IF($A57&lt;ImplementationYear,0,IF($A57&gt;(ImplementationYear+(Appraisal_Period-1)),0,'Mode change'!$D$37*$B57)))</f>
        <v>0</v>
      </c>
      <c r="O57" s="97">
        <f>IF(Option1="No",0,IF($A57&lt;ImplementationYear,0,IF($A57&gt;(ImplementationYear+(Appraisal_Period-1)),0,'Road safety'!$D$22*$B57)))</f>
        <v>0</v>
      </c>
      <c r="P57" s="97">
        <f>IF(Option1="No",0,IF($A57&lt;ImplementationYear,0,IF($A57&gt;(ImplementationYear+(Appraisal_Period-1)),0,'Reduction in car usage'!$D$46*$B57)))</f>
        <v>0</v>
      </c>
      <c r="Q57" s="97">
        <f>IF(Option1="No",0,IF($A57&lt;ImplementationYear,0,IF($A57&gt;(ImplementationYear+(Appraisal_Period-1)),0,'Reduction in car usage'!$D$47*$B57)))</f>
        <v>0</v>
      </c>
      <c r="R57" s="97">
        <f>IF(Option1="No",0,IF($A57&lt;ImplementationYear,0,IF($A57&gt;(ImplementationYear+(Appraisal_Period-1)),0,'Reduction in car usage'!$D$48*$B57)))</f>
        <v>0</v>
      </c>
      <c r="S57" s="92"/>
      <c r="T57" s="94">
        <f>IF(Option2="No",0,IF($A57=ImplementationYear,('Project details'!$L$10-'Project details'!$D$10)*VLOOKUP(Year_cost_estimate,'Time-series parameters'!$B$11:$C$89,2,FALSE)*$B57*(1+Contingency),0))</f>
        <v>0</v>
      </c>
      <c r="U57" s="94">
        <f>IF(Option2="No",0,IF($A57&lt;ImplementationYear,0,IF($A57&gt;(ImplementationYear+(Appraisal_Period-1)),0,('Project details'!$L$11-'Project details'!$D$11)*VLOOKUP(Year_cost_estimate,'Time-series parameters'!$B$11:$C$89,2,0))*$B57))</f>
        <v>0</v>
      </c>
      <c r="V57" s="94">
        <f>IF(Option2="No",0,IF($A57=ImplementationYear,('Project details'!$L$12-'Project details'!$D$12)*VLOOKUP(Year_cost_estimate,'Time-series parameters'!$B$11:$C$89,2,FALSE)*$B57,0))</f>
        <v>0</v>
      </c>
      <c r="W57" s="97">
        <f>IF(Option2="No",0,IF($A57&lt;ImplementationYear,0,IF($A57&gt;(ImplementationYear+(Appraisal_Period-1)),0,Health!$E$21*$B57)))</f>
        <v>0</v>
      </c>
      <c r="X57" s="97">
        <f>IF(Option2="No",0,IF($A57&lt;ImplementationYear,0,IF($A57&gt;(ImplementationYear+(Appraisal_Period-1)),0,Health!$E$22*$B57)))</f>
        <v>0</v>
      </c>
      <c r="Y57" s="97">
        <f>IF(Option2="No",0,IF($A57&lt;ImplementationYear,0,IF($A57&gt;(ImplementationYear+(Appraisal_Period-1)),0,SUM('Travel time'!$E$22:$E$23)*$B57)))</f>
        <v>0</v>
      </c>
      <c r="Z57" s="97">
        <f>IF(Option2="No",0,IF($A57&lt;ImplementationYear,0,IF($A57&gt;(ImplementationYear+(Appraisal_Period-1)),0,SUM('Travel time'!$E$20:$E$21)*$B57)))</f>
        <v>0</v>
      </c>
      <c r="AA57" s="97">
        <f>IF(Option2="No",0,IF($A57&lt;ImplementationYear,0,IF($A57&gt;(ImplementationYear+(Appraisal_Period-1)),0,SUM(Quality!$E$22:$E$23)*$B57)))</f>
        <v>0</v>
      </c>
      <c r="AB57" s="97">
        <f>IF(Option2="No",0,IF($A57&lt;ImplementationYear,0,IF($A57&gt;(ImplementationYear+(Appraisal_Period-1)),0,SUM(Quality!$E$20:$E$21)*$B57)))</f>
        <v>0</v>
      </c>
      <c r="AC57" s="97">
        <f>IF(Option2="No",0,IF($A57&lt;ImplementationYear,0,IF($A57&gt;(ImplementationYear+(Appraisal_Period-1)),0,'Mode change'!$E$36*$B57)))</f>
        <v>0</v>
      </c>
      <c r="AD57" s="97">
        <f>IF(Option2="No",0,IF($A57&lt;ImplementationYear,0,IF($A57&gt;(ImplementationYear+(Appraisal_Period-1)),0,'Mode change'!$E$37*$B57)))</f>
        <v>0</v>
      </c>
      <c r="AE57" s="97">
        <f>IF(Option2="No",0,IF($A57&lt;ImplementationYear,0,IF($A57&gt;(ImplementationYear+(Appraisal_Period-1)),0,'Road safety'!$E$22*$B57)))</f>
        <v>0</v>
      </c>
      <c r="AF57" s="97">
        <f>IF(Option2="No",0,IF($A57&lt;ImplementationYear,0,IF($A57&gt;(ImplementationYear+(Appraisal_Period-1)),0,'Reduction in car usage'!$E$46*$B57)))</f>
        <v>0</v>
      </c>
      <c r="AG57" s="97">
        <f>IF(Option2="No",0,IF($A57&lt;ImplementationYear,0,IF($A57&gt;(ImplementationYear+(Appraisal_Period-1)),0,'Reduction in car usage'!$E$47*$B57)))</f>
        <v>0</v>
      </c>
      <c r="AH57" s="97">
        <f>IF(Option2="No",0,IF($A57&lt;ImplementationYear,0,IF($A57&gt;(ImplementationYear+(Appraisal_Period-1)),0,'Reduction in car usage'!$E$48*$B57)))</f>
        <v>0</v>
      </c>
      <c r="AJ57" s="94">
        <f>IF(Option3="No",0,IF($A57=ImplementationYear,('Project details'!$P$10-'Project details'!$D$10)*VLOOKUP(Year_cost_estimate,'Time-series parameters'!$B$11:$C$89,2,FALSE)*$B57*(1+Contingency),0))</f>
        <v>0</v>
      </c>
      <c r="AK57" s="94">
        <f>IF(Option3="No",0,IF($A57&lt;ImplementationYear,0,IF($A57&gt;(ImplementationYear+(Appraisal_Period-1)),0,('Project details'!$P$11-'Project details'!$D$11)*VLOOKUP(Year_cost_estimate,'Time-series parameters'!$B$11:$C$89,2,0))*$B57))</f>
        <v>0</v>
      </c>
      <c r="AL57" s="94">
        <f>IF(Option3="No",0,IF($A57=ImplementationYear,('Project details'!$P$12-'Project details'!$D$12)*VLOOKUP(Year_cost_estimate,'Time-series parameters'!$B$11:$C$89,2,FALSE)*$B57,0))</f>
        <v>0</v>
      </c>
      <c r="AM57" s="97">
        <f>IF(Option3="No",0,IF($A57&lt;ImplementationYear,0,IF($A57&gt;(ImplementationYear+(Appraisal_Period-1)),0,Health!$F$21*$B57)))</f>
        <v>0</v>
      </c>
      <c r="AN57" s="97">
        <f>IF(Option3="No",0,IF($A57&lt;ImplementationYear,0,IF($A57&gt;(ImplementationYear+(Appraisal_Period-1)),0,Health!$F$22*$B57)))</f>
        <v>0</v>
      </c>
      <c r="AO57" s="97">
        <f>IF(Option3="No",0,IF($A57&lt;ImplementationYear,0,IF($A57&gt;(ImplementationYear+(Appraisal_Period-1)),0,SUM('Travel time'!$F$22:$F$23)*$B57)))</f>
        <v>0</v>
      </c>
      <c r="AP57" s="97">
        <f>IF(Option3="No",0,IF($A57&lt;ImplementationYear,0,IF($A57&gt;(ImplementationYear+(Appraisal_Period-1)),0,SUM('Travel time'!$F$20:$F$21)*$B57)))</f>
        <v>0</v>
      </c>
      <c r="AQ57" s="97">
        <f>IF(Option3="No",0,IF($A57&lt;ImplementationYear,0,IF($A57&gt;(ImplementationYear+(Appraisal_Period-1)),0,SUM(Quality!$F$22:$F$23)*$B57)))</f>
        <v>0</v>
      </c>
      <c r="AR57" s="97">
        <f>IF(Option3="No",0,IF($A57&lt;ImplementationYear,0,IF($A57&gt;(ImplementationYear+(Appraisal_Period-1)),0,SUM(Quality!$F$20:$F$21)*$B57)))</f>
        <v>0</v>
      </c>
      <c r="AS57" s="97">
        <f>IF(Option3="No",0,IF($A57&lt;ImplementationYear,0,IF($A57&gt;(ImplementationYear+(Appraisal_Period-1)),0,'Mode change'!$F$36*$B57)))</f>
        <v>0</v>
      </c>
      <c r="AT57" s="97">
        <f>IF(Option3="No",0,IF($A57&lt;ImplementationYear,0,IF($A57&gt;(ImplementationYear+(Appraisal_Period-1)),0,'Mode change'!$F$37*$B57)))</f>
        <v>0</v>
      </c>
      <c r="AU57" s="97">
        <f>IF(Option3="No",0,IF($A57&lt;ImplementationYear,0,IF($A57&gt;(ImplementationYear+(Appraisal_Period-1)),0,'Road safety'!$F$22*$B57)))</f>
        <v>0</v>
      </c>
      <c r="AV57" s="97">
        <f>IF(Option3="No",0,IF($A57&lt;ImplementationYear,0,IF($A57&gt;(ImplementationYear+(Appraisal_Period-1)),0,'Reduction in car usage'!$F$46*$B57)))</f>
        <v>0</v>
      </c>
      <c r="AW57" s="97">
        <f>IF(Option3="No",0,IF($A57&lt;ImplementationYear,0,IF($A57&gt;(ImplementationYear+(Appraisal_Period-1)),0,'Reduction in car usage'!$F$47*$B57)))</f>
        <v>0</v>
      </c>
      <c r="AX57" s="97">
        <f>IF(Option3="No",0,IF($A57&lt;ImplementationYear,0,IF($A57&gt;(ImplementationYear+(Appraisal_Period-1)),0,'Reduction in car usage'!$F$48*$B57)))</f>
        <v>0</v>
      </c>
    </row>
    <row r="58" spans="1:50">
      <c r="A58" s="335">
        <v>2053</v>
      </c>
      <c r="B58" s="62">
        <f>VLOOKUP($A58,'Time-series parameters'!$E$11:$H$89,2,FALSE)</f>
        <v>3.0136217979064631E-2</v>
      </c>
      <c r="C58" s="89"/>
      <c r="D58" s="94">
        <f>IF(Option1="No",0,IF($A58=ImplementationYear,('Project details'!$H$10-'Project details'!$D$10)*VLOOKUP(Year_cost_estimate,'Time-series parameters'!$B$11:$C$89,2,FALSE)*$B58*(1+Contingency),0))</f>
        <v>0</v>
      </c>
      <c r="E58" s="94">
        <f>IF(Option1="No",0,IF($A58&lt;ImplementationYear,0,IF($A58&gt;(ImplementationYear+(Appraisal_Period-1)),0,('Project details'!$H$11-'Project details'!$D$11)*VLOOKUP(Year_cost_estimate,'Time-series parameters'!$B$11:$C$89,2,0))*$B58))</f>
        <v>0</v>
      </c>
      <c r="F58" s="94">
        <f>IF(Option1="No",0,IF($A58=ImplementationYear,('Project details'!$H$12-'Project details'!$D$12)*VLOOKUP(Year_cost_estimate,'Time-series parameters'!$B$11:$C$89,2,FALSE)*$B58,0))</f>
        <v>0</v>
      </c>
      <c r="G58" s="97">
        <f>IF(Option1="No",0,IF($A58&lt;ImplementationYear,0,IF($A58&gt;(ImplementationYear+(Appraisal_Period-1)),0,Health!$D$21*$B58)))</f>
        <v>0</v>
      </c>
      <c r="H58" s="97">
        <f>IF(Option1="No",0,IF($A58&lt;ImplementationYear,0,IF($A58&gt;(ImplementationYear+(Appraisal_Period-1)),0,Health!$D$22*$B58)))</f>
        <v>0</v>
      </c>
      <c r="I58" s="97">
        <f>IF(Option1="No",0,IF($A58&lt;ImplementationYear,0,IF($A58&gt;(ImplementationYear+(Appraisal_Period-1)),0,SUM('Travel time'!$D$22:$D$23)*$B58)))</f>
        <v>0</v>
      </c>
      <c r="J58" s="97">
        <f>IF(Option1="No",0,IF($A58&lt;ImplementationYear,0,IF($A58&gt;(ImplementationYear+(Appraisal_Period-1)),0,SUM('Travel time'!$D$20:$D$21)*$B58)))</f>
        <v>0</v>
      </c>
      <c r="K58" s="97">
        <f>IF(Option1="No",0,IF($A58&lt;ImplementationYear,0,IF($A58&gt;(ImplementationYear+(Appraisal_Period-1)),0,SUM(Quality!$D$22:$D$23)*$B58)))</f>
        <v>0</v>
      </c>
      <c r="L58" s="97">
        <f>IF(Option1="No",0,IF($A58&lt;ImplementationYear,0,IF($A58&gt;(ImplementationYear+(Appraisal_Period-1)),0,SUM(Quality!$D$20:$D$21)*$B58)))</f>
        <v>0</v>
      </c>
      <c r="M58" s="97">
        <f>IF(Option1="No",0,IF($A58&lt;ImplementationYear,0,IF($A58&gt;(ImplementationYear+(Appraisal_Period-1)),0,'Mode change'!$D$36*$B58)))</f>
        <v>0</v>
      </c>
      <c r="N58" s="97">
        <f>IF(Option1="No",0,IF($A58&lt;ImplementationYear,0,IF($A58&gt;(ImplementationYear+(Appraisal_Period-1)),0,'Mode change'!$D$37*$B58)))</f>
        <v>0</v>
      </c>
      <c r="O58" s="97">
        <f>IF(Option1="No",0,IF($A58&lt;ImplementationYear,0,IF($A58&gt;(ImplementationYear+(Appraisal_Period-1)),0,'Road safety'!$D$22*$B58)))</f>
        <v>0</v>
      </c>
      <c r="P58" s="97">
        <f>IF(Option1="No",0,IF($A58&lt;ImplementationYear,0,IF($A58&gt;(ImplementationYear+(Appraisal_Period-1)),0,'Reduction in car usage'!$D$46*$B58)))</f>
        <v>0</v>
      </c>
      <c r="Q58" s="97">
        <f>IF(Option1="No",0,IF($A58&lt;ImplementationYear,0,IF($A58&gt;(ImplementationYear+(Appraisal_Period-1)),0,'Reduction in car usage'!$D$47*$B58)))</f>
        <v>0</v>
      </c>
      <c r="R58" s="97">
        <f>IF(Option1="No",0,IF($A58&lt;ImplementationYear,0,IF($A58&gt;(ImplementationYear+(Appraisal_Period-1)),0,'Reduction in car usage'!$D$48*$B58)))</f>
        <v>0</v>
      </c>
      <c r="S58" s="92"/>
      <c r="T58" s="94">
        <f>IF(Option2="No",0,IF($A58=ImplementationYear,('Project details'!$L$10-'Project details'!$D$10)*VLOOKUP(Year_cost_estimate,'Time-series parameters'!$B$11:$C$89,2,FALSE)*$B58*(1+Contingency),0))</f>
        <v>0</v>
      </c>
      <c r="U58" s="94">
        <f>IF(Option2="No",0,IF($A58&lt;ImplementationYear,0,IF($A58&gt;(ImplementationYear+(Appraisal_Period-1)),0,('Project details'!$L$11-'Project details'!$D$11)*VLOOKUP(Year_cost_estimate,'Time-series parameters'!$B$11:$C$89,2,0))*$B58))</f>
        <v>0</v>
      </c>
      <c r="V58" s="94">
        <f>IF(Option2="No",0,IF($A58=ImplementationYear,('Project details'!$L$12-'Project details'!$D$12)*VLOOKUP(Year_cost_estimate,'Time-series parameters'!$B$11:$C$89,2,FALSE)*$B58,0))</f>
        <v>0</v>
      </c>
      <c r="W58" s="97">
        <f>IF(Option2="No",0,IF($A58&lt;ImplementationYear,0,IF($A58&gt;(ImplementationYear+(Appraisal_Period-1)),0,Health!$E$21*$B58)))</f>
        <v>0</v>
      </c>
      <c r="X58" s="97">
        <f>IF(Option2="No",0,IF($A58&lt;ImplementationYear,0,IF($A58&gt;(ImplementationYear+(Appraisal_Period-1)),0,Health!$E$22*$B58)))</f>
        <v>0</v>
      </c>
      <c r="Y58" s="97">
        <f>IF(Option2="No",0,IF($A58&lt;ImplementationYear,0,IF($A58&gt;(ImplementationYear+(Appraisal_Period-1)),0,SUM('Travel time'!$E$22:$E$23)*$B58)))</f>
        <v>0</v>
      </c>
      <c r="Z58" s="97">
        <f>IF(Option2="No",0,IF($A58&lt;ImplementationYear,0,IF($A58&gt;(ImplementationYear+(Appraisal_Period-1)),0,SUM('Travel time'!$E$20:$E$21)*$B58)))</f>
        <v>0</v>
      </c>
      <c r="AA58" s="97">
        <f>IF(Option2="No",0,IF($A58&lt;ImplementationYear,0,IF($A58&gt;(ImplementationYear+(Appraisal_Period-1)),0,SUM(Quality!$E$22:$E$23)*$B58)))</f>
        <v>0</v>
      </c>
      <c r="AB58" s="97">
        <f>IF(Option2="No",0,IF($A58&lt;ImplementationYear,0,IF($A58&gt;(ImplementationYear+(Appraisal_Period-1)),0,SUM(Quality!$E$20:$E$21)*$B58)))</f>
        <v>0</v>
      </c>
      <c r="AC58" s="97">
        <f>IF(Option2="No",0,IF($A58&lt;ImplementationYear,0,IF($A58&gt;(ImplementationYear+(Appraisal_Period-1)),0,'Mode change'!$E$36*$B58)))</f>
        <v>0</v>
      </c>
      <c r="AD58" s="97">
        <f>IF(Option2="No",0,IF($A58&lt;ImplementationYear,0,IF($A58&gt;(ImplementationYear+(Appraisal_Period-1)),0,'Mode change'!$E$37*$B58)))</f>
        <v>0</v>
      </c>
      <c r="AE58" s="97">
        <f>IF(Option2="No",0,IF($A58&lt;ImplementationYear,0,IF($A58&gt;(ImplementationYear+(Appraisal_Period-1)),0,'Road safety'!$E$22*$B58)))</f>
        <v>0</v>
      </c>
      <c r="AF58" s="97">
        <f>IF(Option2="No",0,IF($A58&lt;ImplementationYear,0,IF($A58&gt;(ImplementationYear+(Appraisal_Period-1)),0,'Reduction in car usage'!$E$46*$B58)))</f>
        <v>0</v>
      </c>
      <c r="AG58" s="97">
        <f>IF(Option2="No",0,IF($A58&lt;ImplementationYear,0,IF($A58&gt;(ImplementationYear+(Appraisal_Period-1)),0,'Reduction in car usage'!$E$47*$B58)))</f>
        <v>0</v>
      </c>
      <c r="AH58" s="97">
        <f>IF(Option2="No",0,IF($A58&lt;ImplementationYear,0,IF($A58&gt;(ImplementationYear+(Appraisal_Period-1)),0,'Reduction in car usage'!$E$48*$B58)))</f>
        <v>0</v>
      </c>
      <c r="AJ58" s="94">
        <f>IF(Option3="No",0,IF($A58=ImplementationYear,('Project details'!$P$10-'Project details'!$D$10)*VLOOKUP(Year_cost_estimate,'Time-series parameters'!$B$11:$C$89,2,FALSE)*$B58*(1+Contingency),0))</f>
        <v>0</v>
      </c>
      <c r="AK58" s="94">
        <f>IF(Option3="No",0,IF($A58&lt;ImplementationYear,0,IF($A58&gt;(ImplementationYear+(Appraisal_Period-1)),0,('Project details'!$P$11-'Project details'!$D$11)*VLOOKUP(Year_cost_estimate,'Time-series parameters'!$B$11:$C$89,2,0))*$B58))</f>
        <v>0</v>
      </c>
      <c r="AL58" s="94">
        <f>IF(Option3="No",0,IF($A58=ImplementationYear,('Project details'!$P$12-'Project details'!$D$12)*VLOOKUP(Year_cost_estimate,'Time-series parameters'!$B$11:$C$89,2,FALSE)*$B58,0))</f>
        <v>0</v>
      </c>
      <c r="AM58" s="97">
        <f>IF(Option3="No",0,IF($A58&lt;ImplementationYear,0,IF($A58&gt;(ImplementationYear+(Appraisal_Period-1)),0,Health!$F$21*$B58)))</f>
        <v>0</v>
      </c>
      <c r="AN58" s="97">
        <f>IF(Option3="No",0,IF($A58&lt;ImplementationYear,0,IF($A58&gt;(ImplementationYear+(Appraisal_Period-1)),0,Health!$F$22*$B58)))</f>
        <v>0</v>
      </c>
      <c r="AO58" s="97">
        <f>IF(Option3="No",0,IF($A58&lt;ImplementationYear,0,IF($A58&gt;(ImplementationYear+(Appraisal_Period-1)),0,SUM('Travel time'!$F$22:$F$23)*$B58)))</f>
        <v>0</v>
      </c>
      <c r="AP58" s="97">
        <f>IF(Option3="No",0,IF($A58&lt;ImplementationYear,0,IF($A58&gt;(ImplementationYear+(Appraisal_Period-1)),0,SUM('Travel time'!$F$20:$F$21)*$B58)))</f>
        <v>0</v>
      </c>
      <c r="AQ58" s="97">
        <f>IF(Option3="No",0,IF($A58&lt;ImplementationYear,0,IF($A58&gt;(ImplementationYear+(Appraisal_Period-1)),0,SUM(Quality!$F$22:$F$23)*$B58)))</f>
        <v>0</v>
      </c>
      <c r="AR58" s="97">
        <f>IF(Option3="No",0,IF($A58&lt;ImplementationYear,0,IF($A58&gt;(ImplementationYear+(Appraisal_Period-1)),0,SUM(Quality!$F$20:$F$21)*$B58)))</f>
        <v>0</v>
      </c>
      <c r="AS58" s="97">
        <f>IF(Option3="No",0,IF($A58&lt;ImplementationYear,0,IF($A58&gt;(ImplementationYear+(Appraisal_Period-1)),0,'Mode change'!$F$36*$B58)))</f>
        <v>0</v>
      </c>
      <c r="AT58" s="97">
        <f>IF(Option3="No",0,IF($A58&lt;ImplementationYear,0,IF($A58&gt;(ImplementationYear+(Appraisal_Period-1)),0,'Mode change'!$F$37*$B58)))</f>
        <v>0</v>
      </c>
      <c r="AU58" s="97">
        <f>IF(Option3="No",0,IF($A58&lt;ImplementationYear,0,IF($A58&gt;(ImplementationYear+(Appraisal_Period-1)),0,'Road safety'!$F$22*$B58)))</f>
        <v>0</v>
      </c>
      <c r="AV58" s="97">
        <f>IF(Option3="No",0,IF($A58&lt;ImplementationYear,0,IF($A58&gt;(ImplementationYear+(Appraisal_Period-1)),0,'Reduction in car usage'!$F$46*$B58)))</f>
        <v>0</v>
      </c>
      <c r="AW58" s="97">
        <f>IF(Option3="No",0,IF($A58&lt;ImplementationYear,0,IF($A58&gt;(ImplementationYear+(Appraisal_Period-1)),0,'Reduction in car usage'!$F$47*$B58)))</f>
        <v>0</v>
      </c>
      <c r="AX58" s="97">
        <f>IF(Option3="No",0,IF($A58&lt;ImplementationYear,0,IF($A58&gt;(ImplementationYear+(Appraisal_Period-1)),0,'Reduction in car usage'!$F$48*$B58)))</f>
        <v>0</v>
      </c>
    </row>
    <row r="59" spans="1:50">
      <c r="A59" s="335">
        <v>2054</v>
      </c>
      <c r="B59" s="62">
        <f>VLOOKUP($A59,'Time-series parameters'!$E$11:$H$89,2,FALSE)</f>
        <v>2.7725320540739461E-2</v>
      </c>
      <c r="C59" s="89"/>
      <c r="D59" s="94">
        <f>IF(Option1="No",0,IF($A59=ImplementationYear,('Project details'!$H$10-'Project details'!$D$10)*VLOOKUP(Year_cost_estimate,'Time-series parameters'!$B$11:$C$89,2,FALSE)*$B59*(1+Contingency),0))</f>
        <v>0</v>
      </c>
      <c r="E59" s="94">
        <f>IF(Option1="No",0,IF($A59&lt;ImplementationYear,0,IF($A59&gt;(ImplementationYear+(Appraisal_Period-1)),0,('Project details'!$H$11-'Project details'!$D$11)*VLOOKUP(Year_cost_estimate,'Time-series parameters'!$B$11:$C$89,2,0))*$B59))</f>
        <v>0</v>
      </c>
      <c r="F59" s="94">
        <f>IF(Option1="No",0,IF($A59=ImplementationYear,('Project details'!$H$12-'Project details'!$D$12)*VLOOKUP(Year_cost_estimate,'Time-series parameters'!$B$11:$C$89,2,FALSE)*$B59,0))</f>
        <v>0</v>
      </c>
      <c r="G59" s="97">
        <f>IF(Option1="No",0,IF($A59&lt;ImplementationYear,0,IF($A59&gt;(ImplementationYear+(Appraisal_Period-1)),0,Health!$D$21*$B59)))</f>
        <v>0</v>
      </c>
      <c r="H59" s="97">
        <f>IF(Option1="No",0,IF($A59&lt;ImplementationYear,0,IF($A59&gt;(ImplementationYear+(Appraisal_Period-1)),0,Health!$D$22*$B59)))</f>
        <v>0</v>
      </c>
      <c r="I59" s="97">
        <f>IF(Option1="No",0,IF($A59&lt;ImplementationYear,0,IF($A59&gt;(ImplementationYear+(Appraisal_Period-1)),0,SUM('Travel time'!$D$22:$D$23)*$B59)))</f>
        <v>0</v>
      </c>
      <c r="J59" s="97">
        <f>IF(Option1="No",0,IF($A59&lt;ImplementationYear,0,IF($A59&gt;(ImplementationYear+(Appraisal_Period-1)),0,SUM('Travel time'!$D$20:$D$21)*$B59)))</f>
        <v>0</v>
      </c>
      <c r="K59" s="97">
        <f>IF(Option1="No",0,IF($A59&lt;ImplementationYear,0,IF($A59&gt;(ImplementationYear+(Appraisal_Period-1)),0,SUM(Quality!$D$22:$D$23)*$B59)))</f>
        <v>0</v>
      </c>
      <c r="L59" s="97">
        <f>IF(Option1="No",0,IF($A59&lt;ImplementationYear,0,IF($A59&gt;(ImplementationYear+(Appraisal_Period-1)),0,SUM(Quality!$D$20:$D$21)*$B59)))</f>
        <v>0</v>
      </c>
      <c r="M59" s="97">
        <f>IF(Option1="No",0,IF($A59&lt;ImplementationYear,0,IF($A59&gt;(ImplementationYear+(Appraisal_Period-1)),0,'Mode change'!$D$36*$B59)))</f>
        <v>0</v>
      </c>
      <c r="N59" s="97">
        <f>IF(Option1="No",0,IF($A59&lt;ImplementationYear,0,IF($A59&gt;(ImplementationYear+(Appraisal_Period-1)),0,'Mode change'!$D$37*$B59)))</f>
        <v>0</v>
      </c>
      <c r="O59" s="97">
        <f>IF(Option1="No",0,IF($A59&lt;ImplementationYear,0,IF($A59&gt;(ImplementationYear+(Appraisal_Period-1)),0,'Road safety'!$D$22*$B59)))</f>
        <v>0</v>
      </c>
      <c r="P59" s="97">
        <f>IF(Option1="No",0,IF($A59&lt;ImplementationYear,0,IF($A59&gt;(ImplementationYear+(Appraisal_Period-1)),0,'Reduction in car usage'!$D$46*$B59)))</f>
        <v>0</v>
      </c>
      <c r="Q59" s="97">
        <f>IF(Option1="No",0,IF($A59&lt;ImplementationYear,0,IF($A59&gt;(ImplementationYear+(Appraisal_Period-1)),0,'Reduction in car usage'!$D$47*$B59)))</f>
        <v>0</v>
      </c>
      <c r="R59" s="97">
        <f>IF(Option1="No",0,IF($A59&lt;ImplementationYear,0,IF($A59&gt;(ImplementationYear+(Appraisal_Period-1)),0,'Reduction in car usage'!$D$48*$B59)))</f>
        <v>0</v>
      </c>
      <c r="S59" s="92"/>
      <c r="T59" s="94">
        <f>IF(Option2="No",0,IF($A59=ImplementationYear,('Project details'!$L$10-'Project details'!$D$10)*VLOOKUP(Year_cost_estimate,'Time-series parameters'!$B$11:$C$89,2,FALSE)*$B59*(1+Contingency),0))</f>
        <v>0</v>
      </c>
      <c r="U59" s="94">
        <f>IF(Option2="No",0,IF($A59&lt;ImplementationYear,0,IF($A59&gt;(ImplementationYear+(Appraisal_Period-1)),0,('Project details'!$L$11-'Project details'!$D$11)*VLOOKUP(Year_cost_estimate,'Time-series parameters'!$B$11:$C$89,2,0))*$B59))</f>
        <v>0</v>
      </c>
      <c r="V59" s="94">
        <f>IF(Option2="No",0,IF($A59=ImplementationYear,('Project details'!$L$12-'Project details'!$D$12)*VLOOKUP(Year_cost_estimate,'Time-series parameters'!$B$11:$C$89,2,FALSE)*$B59,0))</f>
        <v>0</v>
      </c>
      <c r="W59" s="97">
        <f>IF(Option2="No",0,IF($A59&lt;ImplementationYear,0,IF($A59&gt;(ImplementationYear+(Appraisal_Period-1)),0,Health!$E$21*$B59)))</f>
        <v>0</v>
      </c>
      <c r="X59" s="97">
        <f>IF(Option2="No",0,IF($A59&lt;ImplementationYear,0,IF($A59&gt;(ImplementationYear+(Appraisal_Period-1)),0,Health!$E$22*$B59)))</f>
        <v>0</v>
      </c>
      <c r="Y59" s="97">
        <f>IF(Option2="No",0,IF($A59&lt;ImplementationYear,0,IF($A59&gt;(ImplementationYear+(Appraisal_Period-1)),0,SUM('Travel time'!$E$22:$E$23)*$B59)))</f>
        <v>0</v>
      </c>
      <c r="Z59" s="97">
        <f>IF(Option2="No",0,IF($A59&lt;ImplementationYear,0,IF($A59&gt;(ImplementationYear+(Appraisal_Period-1)),0,SUM('Travel time'!$E$20:$E$21)*$B59)))</f>
        <v>0</v>
      </c>
      <c r="AA59" s="97">
        <f>IF(Option2="No",0,IF($A59&lt;ImplementationYear,0,IF($A59&gt;(ImplementationYear+(Appraisal_Period-1)),0,SUM(Quality!$E$22:$E$23)*$B59)))</f>
        <v>0</v>
      </c>
      <c r="AB59" s="97">
        <f>IF(Option2="No",0,IF($A59&lt;ImplementationYear,0,IF($A59&gt;(ImplementationYear+(Appraisal_Period-1)),0,SUM(Quality!$E$20:$E$21)*$B59)))</f>
        <v>0</v>
      </c>
      <c r="AC59" s="97">
        <f>IF(Option2="No",0,IF($A59&lt;ImplementationYear,0,IF($A59&gt;(ImplementationYear+(Appraisal_Period-1)),0,'Mode change'!$E$36*$B59)))</f>
        <v>0</v>
      </c>
      <c r="AD59" s="97">
        <f>IF(Option2="No",0,IF($A59&lt;ImplementationYear,0,IF($A59&gt;(ImplementationYear+(Appraisal_Period-1)),0,'Mode change'!$E$37*$B59)))</f>
        <v>0</v>
      </c>
      <c r="AE59" s="97">
        <f>IF(Option2="No",0,IF($A59&lt;ImplementationYear,0,IF($A59&gt;(ImplementationYear+(Appraisal_Period-1)),0,'Road safety'!$E$22*$B59)))</f>
        <v>0</v>
      </c>
      <c r="AF59" s="97">
        <f>IF(Option2="No",0,IF($A59&lt;ImplementationYear,0,IF($A59&gt;(ImplementationYear+(Appraisal_Period-1)),0,'Reduction in car usage'!$E$46*$B59)))</f>
        <v>0</v>
      </c>
      <c r="AG59" s="97">
        <f>IF(Option2="No",0,IF($A59&lt;ImplementationYear,0,IF($A59&gt;(ImplementationYear+(Appraisal_Period-1)),0,'Reduction in car usage'!$E$47*$B59)))</f>
        <v>0</v>
      </c>
      <c r="AH59" s="97">
        <f>IF(Option2="No",0,IF($A59&lt;ImplementationYear,0,IF($A59&gt;(ImplementationYear+(Appraisal_Period-1)),0,'Reduction in car usage'!$E$48*$B59)))</f>
        <v>0</v>
      </c>
      <c r="AJ59" s="94">
        <f>IF(Option3="No",0,IF($A59=ImplementationYear,('Project details'!$P$10-'Project details'!$D$10)*VLOOKUP(Year_cost_estimate,'Time-series parameters'!$B$11:$C$89,2,FALSE)*$B59*(1+Contingency),0))</f>
        <v>0</v>
      </c>
      <c r="AK59" s="94">
        <f>IF(Option3="No",0,IF($A59&lt;ImplementationYear,0,IF($A59&gt;(ImplementationYear+(Appraisal_Period-1)),0,('Project details'!$P$11-'Project details'!$D$11)*VLOOKUP(Year_cost_estimate,'Time-series parameters'!$B$11:$C$89,2,0))*$B59))</f>
        <v>0</v>
      </c>
      <c r="AL59" s="94">
        <f>IF(Option3="No",0,IF($A59=ImplementationYear,('Project details'!$P$12-'Project details'!$D$12)*VLOOKUP(Year_cost_estimate,'Time-series parameters'!$B$11:$C$89,2,FALSE)*$B59,0))</f>
        <v>0</v>
      </c>
      <c r="AM59" s="97">
        <f>IF(Option3="No",0,IF($A59&lt;ImplementationYear,0,IF($A59&gt;(ImplementationYear+(Appraisal_Period-1)),0,Health!$F$21*$B59)))</f>
        <v>0</v>
      </c>
      <c r="AN59" s="97">
        <f>IF(Option3="No",0,IF($A59&lt;ImplementationYear,0,IF($A59&gt;(ImplementationYear+(Appraisal_Period-1)),0,Health!$F$22*$B59)))</f>
        <v>0</v>
      </c>
      <c r="AO59" s="97">
        <f>IF(Option3="No",0,IF($A59&lt;ImplementationYear,0,IF($A59&gt;(ImplementationYear+(Appraisal_Period-1)),0,SUM('Travel time'!$F$22:$F$23)*$B59)))</f>
        <v>0</v>
      </c>
      <c r="AP59" s="97">
        <f>IF(Option3="No",0,IF($A59&lt;ImplementationYear,0,IF($A59&gt;(ImplementationYear+(Appraisal_Period-1)),0,SUM('Travel time'!$F$20:$F$21)*$B59)))</f>
        <v>0</v>
      </c>
      <c r="AQ59" s="97">
        <f>IF(Option3="No",0,IF($A59&lt;ImplementationYear,0,IF($A59&gt;(ImplementationYear+(Appraisal_Period-1)),0,SUM(Quality!$F$22:$F$23)*$B59)))</f>
        <v>0</v>
      </c>
      <c r="AR59" s="97">
        <f>IF(Option3="No",0,IF($A59&lt;ImplementationYear,0,IF($A59&gt;(ImplementationYear+(Appraisal_Period-1)),0,SUM(Quality!$F$20:$F$21)*$B59)))</f>
        <v>0</v>
      </c>
      <c r="AS59" s="97">
        <f>IF(Option3="No",0,IF($A59&lt;ImplementationYear,0,IF($A59&gt;(ImplementationYear+(Appraisal_Period-1)),0,'Mode change'!$F$36*$B59)))</f>
        <v>0</v>
      </c>
      <c r="AT59" s="97">
        <f>IF(Option3="No",0,IF($A59&lt;ImplementationYear,0,IF($A59&gt;(ImplementationYear+(Appraisal_Period-1)),0,'Mode change'!$F$37*$B59)))</f>
        <v>0</v>
      </c>
      <c r="AU59" s="97">
        <f>IF(Option3="No",0,IF($A59&lt;ImplementationYear,0,IF($A59&gt;(ImplementationYear+(Appraisal_Period-1)),0,'Road safety'!$F$22*$B59)))</f>
        <v>0</v>
      </c>
      <c r="AV59" s="97">
        <f>IF(Option3="No",0,IF($A59&lt;ImplementationYear,0,IF($A59&gt;(ImplementationYear+(Appraisal_Period-1)),0,'Reduction in car usage'!$F$46*$B59)))</f>
        <v>0</v>
      </c>
      <c r="AW59" s="97">
        <f>IF(Option3="No",0,IF($A59&lt;ImplementationYear,0,IF($A59&gt;(ImplementationYear+(Appraisal_Period-1)),0,'Reduction in car usage'!$F$47*$B59)))</f>
        <v>0</v>
      </c>
      <c r="AX59" s="97">
        <f>IF(Option3="No",0,IF($A59&lt;ImplementationYear,0,IF($A59&gt;(ImplementationYear+(Appraisal_Period-1)),0,'Reduction in car usage'!$F$48*$B59)))</f>
        <v>0</v>
      </c>
    </row>
    <row r="60" spans="1:50">
      <c r="A60" s="335">
        <v>2055</v>
      </c>
      <c r="B60" s="62">
        <f>VLOOKUP($A60,'Time-series parameters'!$E$11:$H$89,2,FALSE)</f>
        <v>2.5507294897480305E-2</v>
      </c>
      <c r="C60" s="89"/>
      <c r="D60" s="94">
        <f>IF(Option1="No",0,IF($A60=ImplementationYear,('Project details'!$H$10-'Project details'!$D$10)*VLOOKUP(Year_cost_estimate,'Time-series parameters'!$B$11:$C$89,2,FALSE)*$B60*(1+Contingency),0))</f>
        <v>0</v>
      </c>
      <c r="E60" s="94">
        <f>IF(Option1="No",0,IF($A60&lt;ImplementationYear,0,IF($A60&gt;(ImplementationYear+(Appraisal_Period-1)),0,('Project details'!$H$11-'Project details'!$D$11)*VLOOKUP(Year_cost_estimate,'Time-series parameters'!$B$11:$C$89,2,0))*$B60))</f>
        <v>0</v>
      </c>
      <c r="F60" s="94">
        <f>IF(Option1="No",0,IF($A60=ImplementationYear,('Project details'!$H$12-'Project details'!$D$12)*VLOOKUP(Year_cost_estimate,'Time-series parameters'!$B$11:$C$89,2,FALSE)*$B60,0))</f>
        <v>0</v>
      </c>
      <c r="G60" s="97">
        <f>IF(Option1="No",0,IF($A60&lt;ImplementationYear,0,IF($A60&gt;(ImplementationYear+(Appraisal_Period-1)),0,Health!$D$21*$B60)))</f>
        <v>0</v>
      </c>
      <c r="H60" s="97">
        <f>IF(Option1="No",0,IF($A60&lt;ImplementationYear,0,IF($A60&gt;(ImplementationYear+(Appraisal_Period-1)),0,Health!$D$22*$B60)))</f>
        <v>0</v>
      </c>
      <c r="I60" s="97">
        <f>IF(Option1="No",0,IF($A60&lt;ImplementationYear,0,IF($A60&gt;(ImplementationYear+(Appraisal_Period-1)),0,SUM('Travel time'!$D$22:$D$23)*$B60)))</f>
        <v>0</v>
      </c>
      <c r="J60" s="97">
        <f>IF(Option1="No",0,IF($A60&lt;ImplementationYear,0,IF($A60&gt;(ImplementationYear+(Appraisal_Period-1)),0,SUM('Travel time'!$D$20:$D$21)*$B60)))</f>
        <v>0</v>
      </c>
      <c r="K60" s="97">
        <f>IF(Option1="No",0,IF($A60&lt;ImplementationYear,0,IF($A60&gt;(ImplementationYear+(Appraisal_Period-1)),0,SUM(Quality!$D$22:$D$23)*$B60)))</f>
        <v>0</v>
      </c>
      <c r="L60" s="97">
        <f>IF(Option1="No",0,IF($A60&lt;ImplementationYear,0,IF($A60&gt;(ImplementationYear+(Appraisal_Period-1)),0,SUM(Quality!$D$20:$D$21)*$B60)))</f>
        <v>0</v>
      </c>
      <c r="M60" s="97">
        <f>IF(Option1="No",0,IF($A60&lt;ImplementationYear,0,IF($A60&gt;(ImplementationYear+(Appraisal_Period-1)),0,'Mode change'!$D$36*$B60)))</f>
        <v>0</v>
      </c>
      <c r="N60" s="97">
        <f>IF(Option1="No",0,IF($A60&lt;ImplementationYear,0,IF($A60&gt;(ImplementationYear+(Appraisal_Period-1)),0,'Mode change'!$D$37*$B60)))</f>
        <v>0</v>
      </c>
      <c r="O60" s="97">
        <f>IF(Option1="No",0,IF($A60&lt;ImplementationYear,0,IF($A60&gt;(ImplementationYear+(Appraisal_Period-1)),0,'Road safety'!$D$22*$B60)))</f>
        <v>0</v>
      </c>
      <c r="P60" s="97">
        <f>IF(Option1="No",0,IF($A60&lt;ImplementationYear,0,IF($A60&gt;(ImplementationYear+(Appraisal_Period-1)),0,'Reduction in car usage'!$D$46*$B60)))</f>
        <v>0</v>
      </c>
      <c r="Q60" s="97">
        <f>IF(Option1="No",0,IF($A60&lt;ImplementationYear,0,IF($A60&gt;(ImplementationYear+(Appraisal_Period-1)),0,'Reduction in car usage'!$D$47*$B60)))</f>
        <v>0</v>
      </c>
      <c r="R60" s="97">
        <f>IF(Option1="No",0,IF($A60&lt;ImplementationYear,0,IF($A60&gt;(ImplementationYear+(Appraisal_Period-1)),0,'Reduction in car usage'!$D$48*$B60)))</f>
        <v>0</v>
      </c>
      <c r="S60" s="92"/>
      <c r="T60" s="94">
        <f>IF(Option2="No",0,IF($A60=ImplementationYear,('Project details'!$L$10-'Project details'!$D$10)*VLOOKUP(Year_cost_estimate,'Time-series parameters'!$B$11:$C$89,2,FALSE)*$B60*(1+Contingency),0))</f>
        <v>0</v>
      </c>
      <c r="U60" s="94">
        <f>IF(Option2="No",0,IF($A60&lt;ImplementationYear,0,IF($A60&gt;(ImplementationYear+(Appraisal_Period-1)),0,('Project details'!$L$11-'Project details'!$D$11)*VLOOKUP(Year_cost_estimate,'Time-series parameters'!$B$11:$C$89,2,0))*$B60))</f>
        <v>0</v>
      </c>
      <c r="V60" s="94">
        <f>IF(Option2="No",0,IF($A60=ImplementationYear,('Project details'!$L$12-'Project details'!$D$12)*VLOOKUP(Year_cost_estimate,'Time-series parameters'!$B$11:$C$89,2,FALSE)*$B60,0))</f>
        <v>0</v>
      </c>
      <c r="W60" s="97">
        <f>IF(Option2="No",0,IF($A60&lt;ImplementationYear,0,IF($A60&gt;(ImplementationYear+(Appraisal_Period-1)),0,Health!$E$21*$B60)))</f>
        <v>0</v>
      </c>
      <c r="X60" s="97">
        <f>IF(Option2="No",0,IF($A60&lt;ImplementationYear,0,IF($A60&gt;(ImplementationYear+(Appraisal_Period-1)),0,Health!$E$22*$B60)))</f>
        <v>0</v>
      </c>
      <c r="Y60" s="97">
        <f>IF(Option2="No",0,IF($A60&lt;ImplementationYear,0,IF($A60&gt;(ImplementationYear+(Appraisal_Period-1)),0,SUM('Travel time'!$E$22:$E$23)*$B60)))</f>
        <v>0</v>
      </c>
      <c r="Z60" s="97">
        <f>IF(Option2="No",0,IF($A60&lt;ImplementationYear,0,IF($A60&gt;(ImplementationYear+(Appraisal_Period-1)),0,SUM('Travel time'!$E$20:$E$21)*$B60)))</f>
        <v>0</v>
      </c>
      <c r="AA60" s="97">
        <f>IF(Option2="No",0,IF($A60&lt;ImplementationYear,0,IF($A60&gt;(ImplementationYear+(Appraisal_Period-1)),0,SUM(Quality!$E$22:$E$23)*$B60)))</f>
        <v>0</v>
      </c>
      <c r="AB60" s="97">
        <f>IF(Option2="No",0,IF($A60&lt;ImplementationYear,0,IF($A60&gt;(ImplementationYear+(Appraisal_Period-1)),0,SUM(Quality!$E$20:$E$21)*$B60)))</f>
        <v>0</v>
      </c>
      <c r="AC60" s="97">
        <f>IF(Option2="No",0,IF($A60&lt;ImplementationYear,0,IF($A60&gt;(ImplementationYear+(Appraisal_Period-1)),0,'Mode change'!$E$36*$B60)))</f>
        <v>0</v>
      </c>
      <c r="AD60" s="97">
        <f>IF(Option2="No",0,IF($A60&lt;ImplementationYear,0,IF($A60&gt;(ImplementationYear+(Appraisal_Period-1)),0,'Mode change'!$E$37*$B60)))</f>
        <v>0</v>
      </c>
      <c r="AE60" s="97">
        <f>IF(Option2="No",0,IF($A60&lt;ImplementationYear,0,IF($A60&gt;(ImplementationYear+(Appraisal_Period-1)),0,'Road safety'!$E$22*$B60)))</f>
        <v>0</v>
      </c>
      <c r="AF60" s="97">
        <f>IF(Option2="No",0,IF($A60&lt;ImplementationYear,0,IF($A60&gt;(ImplementationYear+(Appraisal_Period-1)),0,'Reduction in car usage'!$E$46*$B60)))</f>
        <v>0</v>
      </c>
      <c r="AG60" s="97">
        <f>IF(Option2="No",0,IF($A60&lt;ImplementationYear,0,IF($A60&gt;(ImplementationYear+(Appraisal_Period-1)),0,'Reduction in car usage'!$E$47*$B60)))</f>
        <v>0</v>
      </c>
      <c r="AH60" s="97">
        <f>IF(Option2="No",0,IF($A60&lt;ImplementationYear,0,IF($A60&gt;(ImplementationYear+(Appraisal_Period-1)),0,'Reduction in car usage'!$E$48*$B60)))</f>
        <v>0</v>
      </c>
      <c r="AJ60" s="94">
        <f>IF(Option3="No",0,IF($A60=ImplementationYear,('Project details'!$P$10-'Project details'!$D$10)*VLOOKUP(Year_cost_estimate,'Time-series parameters'!$B$11:$C$89,2,FALSE)*$B60*(1+Contingency),0))</f>
        <v>0</v>
      </c>
      <c r="AK60" s="94">
        <f>IF(Option3="No",0,IF($A60&lt;ImplementationYear,0,IF($A60&gt;(ImplementationYear+(Appraisal_Period-1)),0,('Project details'!$P$11-'Project details'!$D$11)*VLOOKUP(Year_cost_estimate,'Time-series parameters'!$B$11:$C$89,2,0))*$B60))</f>
        <v>0</v>
      </c>
      <c r="AL60" s="94">
        <f>IF(Option3="No",0,IF($A60=ImplementationYear,('Project details'!$P$12-'Project details'!$D$12)*VLOOKUP(Year_cost_estimate,'Time-series parameters'!$B$11:$C$89,2,FALSE)*$B60,0))</f>
        <v>0</v>
      </c>
      <c r="AM60" s="97">
        <f>IF(Option3="No",0,IF($A60&lt;ImplementationYear,0,IF($A60&gt;(ImplementationYear+(Appraisal_Period-1)),0,Health!$F$21*$B60)))</f>
        <v>0</v>
      </c>
      <c r="AN60" s="97">
        <f>IF(Option3="No",0,IF($A60&lt;ImplementationYear,0,IF($A60&gt;(ImplementationYear+(Appraisal_Period-1)),0,Health!$F$22*$B60)))</f>
        <v>0</v>
      </c>
      <c r="AO60" s="97">
        <f>IF(Option3="No",0,IF($A60&lt;ImplementationYear,0,IF($A60&gt;(ImplementationYear+(Appraisal_Period-1)),0,SUM('Travel time'!$F$22:$F$23)*$B60)))</f>
        <v>0</v>
      </c>
      <c r="AP60" s="97">
        <f>IF(Option3="No",0,IF($A60&lt;ImplementationYear,0,IF($A60&gt;(ImplementationYear+(Appraisal_Period-1)),0,SUM('Travel time'!$F$20:$F$21)*$B60)))</f>
        <v>0</v>
      </c>
      <c r="AQ60" s="97">
        <f>IF(Option3="No",0,IF($A60&lt;ImplementationYear,0,IF($A60&gt;(ImplementationYear+(Appraisal_Period-1)),0,SUM(Quality!$F$22:$F$23)*$B60)))</f>
        <v>0</v>
      </c>
      <c r="AR60" s="97">
        <f>IF(Option3="No",0,IF($A60&lt;ImplementationYear,0,IF($A60&gt;(ImplementationYear+(Appraisal_Period-1)),0,SUM(Quality!$F$20:$F$21)*$B60)))</f>
        <v>0</v>
      </c>
      <c r="AS60" s="97">
        <f>IF(Option3="No",0,IF($A60&lt;ImplementationYear,0,IF($A60&gt;(ImplementationYear+(Appraisal_Period-1)),0,'Mode change'!$F$36*$B60)))</f>
        <v>0</v>
      </c>
      <c r="AT60" s="97">
        <f>IF(Option3="No",0,IF($A60&lt;ImplementationYear,0,IF($A60&gt;(ImplementationYear+(Appraisal_Period-1)),0,'Mode change'!$F$37*$B60)))</f>
        <v>0</v>
      </c>
      <c r="AU60" s="97">
        <f>IF(Option3="No",0,IF($A60&lt;ImplementationYear,0,IF($A60&gt;(ImplementationYear+(Appraisal_Period-1)),0,'Road safety'!$F$22*$B60)))</f>
        <v>0</v>
      </c>
      <c r="AV60" s="97">
        <f>IF(Option3="No",0,IF($A60&lt;ImplementationYear,0,IF($A60&gt;(ImplementationYear+(Appraisal_Period-1)),0,'Reduction in car usage'!$F$46*$B60)))</f>
        <v>0</v>
      </c>
      <c r="AW60" s="97">
        <f>IF(Option3="No",0,IF($A60&lt;ImplementationYear,0,IF($A60&gt;(ImplementationYear+(Appraisal_Period-1)),0,'Reduction in car usage'!$F$47*$B60)))</f>
        <v>0</v>
      </c>
      <c r="AX60" s="97">
        <f>IF(Option3="No",0,IF($A60&lt;ImplementationYear,0,IF($A60&gt;(ImplementationYear+(Appraisal_Period-1)),0,'Reduction in car usage'!$F$48*$B60)))</f>
        <v>0</v>
      </c>
    </row>
    <row r="61" spans="1:50">
      <c r="A61" s="335">
        <v>2056</v>
      </c>
      <c r="B61" s="62">
        <f>VLOOKUP($A61,'Time-series parameters'!$E$11:$H$89,2,FALSE)</f>
        <v>2.346671130568188E-2</v>
      </c>
      <c r="C61" s="89"/>
      <c r="D61" s="94">
        <f>IF(Option1="No",0,IF($A61=ImplementationYear,('Project details'!$H$10-'Project details'!$D$10)*VLOOKUP(Year_cost_estimate,'Time-series parameters'!$B$11:$C$89,2,FALSE)*$B61*(1+Contingency),0))</f>
        <v>0</v>
      </c>
      <c r="E61" s="94">
        <f>IF(Option1="No",0,IF($A61&lt;ImplementationYear,0,IF($A61&gt;(ImplementationYear+(Appraisal_Period-1)),0,('Project details'!$H$11-'Project details'!$D$11)*VLOOKUP(Year_cost_estimate,'Time-series parameters'!$B$11:$C$89,2,0))*$B61))</f>
        <v>0</v>
      </c>
      <c r="F61" s="94">
        <f>IF(Option1="No",0,IF($A61=ImplementationYear,('Project details'!$H$12-'Project details'!$D$12)*VLOOKUP(Year_cost_estimate,'Time-series parameters'!$B$11:$C$89,2,FALSE)*$B61,0))</f>
        <v>0</v>
      </c>
      <c r="G61" s="97">
        <f>IF(Option1="No",0,IF($A61&lt;ImplementationYear,0,IF($A61&gt;(ImplementationYear+(Appraisal_Period-1)),0,Health!$D$21*$B61)))</f>
        <v>0</v>
      </c>
      <c r="H61" s="97">
        <f>IF(Option1="No",0,IF($A61&lt;ImplementationYear,0,IF($A61&gt;(ImplementationYear+(Appraisal_Period-1)),0,Health!$D$22*$B61)))</f>
        <v>0</v>
      </c>
      <c r="I61" s="97">
        <f>IF(Option1="No",0,IF($A61&lt;ImplementationYear,0,IF($A61&gt;(ImplementationYear+(Appraisal_Period-1)),0,SUM('Travel time'!$D$22:$D$23)*$B61)))</f>
        <v>0</v>
      </c>
      <c r="J61" s="97">
        <f>IF(Option1="No",0,IF($A61&lt;ImplementationYear,0,IF($A61&gt;(ImplementationYear+(Appraisal_Period-1)),0,SUM('Travel time'!$D$20:$D$21)*$B61)))</f>
        <v>0</v>
      </c>
      <c r="K61" s="97">
        <f>IF(Option1="No",0,IF($A61&lt;ImplementationYear,0,IF($A61&gt;(ImplementationYear+(Appraisal_Period-1)),0,SUM(Quality!$D$22:$D$23)*$B61)))</f>
        <v>0</v>
      </c>
      <c r="L61" s="97">
        <f>IF(Option1="No",0,IF($A61&lt;ImplementationYear,0,IF($A61&gt;(ImplementationYear+(Appraisal_Period-1)),0,SUM(Quality!$D$20:$D$21)*$B61)))</f>
        <v>0</v>
      </c>
      <c r="M61" s="97">
        <f>IF(Option1="No",0,IF($A61&lt;ImplementationYear,0,IF($A61&gt;(ImplementationYear+(Appraisal_Period-1)),0,'Mode change'!$D$36*$B61)))</f>
        <v>0</v>
      </c>
      <c r="N61" s="97">
        <f>IF(Option1="No",0,IF($A61&lt;ImplementationYear,0,IF($A61&gt;(ImplementationYear+(Appraisal_Period-1)),0,'Mode change'!$D$37*$B61)))</f>
        <v>0</v>
      </c>
      <c r="O61" s="97">
        <f>IF(Option1="No",0,IF($A61&lt;ImplementationYear,0,IF($A61&gt;(ImplementationYear+(Appraisal_Period-1)),0,'Road safety'!$D$22*$B61)))</f>
        <v>0</v>
      </c>
      <c r="P61" s="97">
        <f>IF(Option1="No",0,IF($A61&lt;ImplementationYear,0,IF($A61&gt;(ImplementationYear+(Appraisal_Period-1)),0,'Reduction in car usage'!$D$46*$B61)))</f>
        <v>0</v>
      </c>
      <c r="Q61" s="97">
        <f>IF(Option1="No",0,IF($A61&lt;ImplementationYear,0,IF($A61&gt;(ImplementationYear+(Appraisal_Period-1)),0,'Reduction in car usage'!$D$47*$B61)))</f>
        <v>0</v>
      </c>
      <c r="R61" s="97">
        <f>IF(Option1="No",0,IF($A61&lt;ImplementationYear,0,IF($A61&gt;(ImplementationYear+(Appraisal_Period-1)),0,'Reduction in car usage'!$D$48*$B61)))</f>
        <v>0</v>
      </c>
      <c r="S61" s="92"/>
      <c r="T61" s="94">
        <f>IF(Option2="No",0,IF($A61=ImplementationYear,('Project details'!$L$10-'Project details'!$D$10)*VLOOKUP(Year_cost_estimate,'Time-series parameters'!$B$11:$C$89,2,FALSE)*$B61*(1+Contingency),0))</f>
        <v>0</v>
      </c>
      <c r="U61" s="94">
        <f>IF(Option2="No",0,IF($A61&lt;ImplementationYear,0,IF($A61&gt;(ImplementationYear+(Appraisal_Period-1)),0,('Project details'!$L$11-'Project details'!$D$11)*VLOOKUP(Year_cost_estimate,'Time-series parameters'!$B$11:$C$89,2,0))*$B61))</f>
        <v>0</v>
      </c>
      <c r="V61" s="94">
        <f>IF(Option2="No",0,IF($A61=ImplementationYear,('Project details'!$L$12-'Project details'!$D$12)*VLOOKUP(Year_cost_estimate,'Time-series parameters'!$B$11:$C$89,2,FALSE)*$B61,0))</f>
        <v>0</v>
      </c>
      <c r="W61" s="97">
        <f>IF(Option2="No",0,IF($A61&lt;ImplementationYear,0,IF($A61&gt;(ImplementationYear+(Appraisal_Period-1)),0,Health!$E$21*$B61)))</f>
        <v>0</v>
      </c>
      <c r="X61" s="97">
        <f>IF(Option2="No",0,IF($A61&lt;ImplementationYear,0,IF($A61&gt;(ImplementationYear+(Appraisal_Period-1)),0,Health!$E$22*$B61)))</f>
        <v>0</v>
      </c>
      <c r="Y61" s="97">
        <f>IF(Option2="No",0,IF($A61&lt;ImplementationYear,0,IF($A61&gt;(ImplementationYear+(Appraisal_Period-1)),0,SUM('Travel time'!$E$22:$E$23)*$B61)))</f>
        <v>0</v>
      </c>
      <c r="Z61" s="97">
        <f>IF(Option2="No",0,IF($A61&lt;ImplementationYear,0,IF($A61&gt;(ImplementationYear+(Appraisal_Period-1)),0,SUM('Travel time'!$E$20:$E$21)*$B61)))</f>
        <v>0</v>
      </c>
      <c r="AA61" s="97">
        <f>IF(Option2="No",0,IF($A61&lt;ImplementationYear,0,IF($A61&gt;(ImplementationYear+(Appraisal_Period-1)),0,SUM(Quality!$E$22:$E$23)*$B61)))</f>
        <v>0</v>
      </c>
      <c r="AB61" s="97">
        <f>IF(Option2="No",0,IF($A61&lt;ImplementationYear,0,IF($A61&gt;(ImplementationYear+(Appraisal_Period-1)),0,SUM(Quality!$E$20:$E$21)*$B61)))</f>
        <v>0</v>
      </c>
      <c r="AC61" s="97">
        <f>IF(Option2="No",0,IF($A61&lt;ImplementationYear,0,IF($A61&gt;(ImplementationYear+(Appraisal_Period-1)),0,'Mode change'!$E$36*$B61)))</f>
        <v>0</v>
      </c>
      <c r="AD61" s="97">
        <f>IF(Option2="No",0,IF($A61&lt;ImplementationYear,0,IF($A61&gt;(ImplementationYear+(Appraisal_Period-1)),0,'Mode change'!$E$37*$B61)))</f>
        <v>0</v>
      </c>
      <c r="AE61" s="97">
        <f>IF(Option2="No",0,IF($A61&lt;ImplementationYear,0,IF($A61&gt;(ImplementationYear+(Appraisal_Period-1)),0,'Road safety'!$E$22*$B61)))</f>
        <v>0</v>
      </c>
      <c r="AF61" s="97">
        <f>IF(Option2="No",0,IF($A61&lt;ImplementationYear,0,IF($A61&gt;(ImplementationYear+(Appraisal_Period-1)),0,'Reduction in car usage'!$E$46*$B61)))</f>
        <v>0</v>
      </c>
      <c r="AG61" s="97">
        <f>IF(Option2="No",0,IF($A61&lt;ImplementationYear,0,IF($A61&gt;(ImplementationYear+(Appraisal_Period-1)),0,'Reduction in car usage'!$E$47*$B61)))</f>
        <v>0</v>
      </c>
      <c r="AH61" s="97">
        <f>IF(Option2="No",0,IF($A61&lt;ImplementationYear,0,IF($A61&gt;(ImplementationYear+(Appraisal_Period-1)),0,'Reduction in car usage'!$E$48*$B61)))</f>
        <v>0</v>
      </c>
      <c r="AJ61" s="94">
        <f>IF(Option3="No",0,IF($A61=ImplementationYear,('Project details'!$P$10-'Project details'!$D$10)*VLOOKUP(Year_cost_estimate,'Time-series parameters'!$B$11:$C$89,2,FALSE)*$B61*(1+Contingency),0))</f>
        <v>0</v>
      </c>
      <c r="AK61" s="94">
        <f>IF(Option3="No",0,IF($A61&lt;ImplementationYear,0,IF($A61&gt;(ImplementationYear+(Appraisal_Period-1)),0,('Project details'!$P$11-'Project details'!$D$11)*VLOOKUP(Year_cost_estimate,'Time-series parameters'!$B$11:$C$89,2,0))*$B61))</f>
        <v>0</v>
      </c>
      <c r="AL61" s="94">
        <f>IF(Option3="No",0,IF($A61=ImplementationYear,('Project details'!$P$12-'Project details'!$D$12)*VLOOKUP(Year_cost_estimate,'Time-series parameters'!$B$11:$C$89,2,FALSE)*$B61,0))</f>
        <v>0</v>
      </c>
      <c r="AM61" s="97">
        <f>IF(Option3="No",0,IF($A61&lt;ImplementationYear,0,IF($A61&gt;(ImplementationYear+(Appraisal_Period-1)),0,Health!$F$21*$B61)))</f>
        <v>0</v>
      </c>
      <c r="AN61" s="97">
        <f>IF(Option3="No",0,IF($A61&lt;ImplementationYear,0,IF($A61&gt;(ImplementationYear+(Appraisal_Period-1)),0,Health!$F$22*$B61)))</f>
        <v>0</v>
      </c>
      <c r="AO61" s="97">
        <f>IF(Option3="No",0,IF($A61&lt;ImplementationYear,0,IF($A61&gt;(ImplementationYear+(Appraisal_Period-1)),0,SUM('Travel time'!$F$22:$F$23)*$B61)))</f>
        <v>0</v>
      </c>
      <c r="AP61" s="97">
        <f>IF(Option3="No",0,IF($A61&lt;ImplementationYear,0,IF($A61&gt;(ImplementationYear+(Appraisal_Period-1)),0,SUM('Travel time'!$F$20:$F$21)*$B61)))</f>
        <v>0</v>
      </c>
      <c r="AQ61" s="97">
        <f>IF(Option3="No",0,IF($A61&lt;ImplementationYear,0,IF($A61&gt;(ImplementationYear+(Appraisal_Period-1)),0,SUM(Quality!$F$22:$F$23)*$B61)))</f>
        <v>0</v>
      </c>
      <c r="AR61" s="97">
        <f>IF(Option3="No",0,IF($A61&lt;ImplementationYear,0,IF($A61&gt;(ImplementationYear+(Appraisal_Period-1)),0,SUM(Quality!$F$20:$F$21)*$B61)))</f>
        <v>0</v>
      </c>
      <c r="AS61" s="97">
        <f>IF(Option3="No",0,IF($A61&lt;ImplementationYear,0,IF($A61&gt;(ImplementationYear+(Appraisal_Period-1)),0,'Mode change'!$F$36*$B61)))</f>
        <v>0</v>
      </c>
      <c r="AT61" s="97">
        <f>IF(Option3="No",0,IF($A61&lt;ImplementationYear,0,IF($A61&gt;(ImplementationYear+(Appraisal_Period-1)),0,'Mode change'!$F$37*$B61)))</f>
        <v>0</v>
      </c>
      <c r="AU61" s="97">
        <f>IF(Option3="No",0,IF($A61&lt;ImplementationYear,0,IF($A61&gt;(ImplementationYear+(Appraisal_Period-1)),0,'Road safety'!$F$22*$B61)))</f>
        <v>0</v>
      </c>
      <c r="AV61" s="97">
        <f>IF(Option3="No",0,IF($A61&lt;ImplementationYear,0,IF($A61&gt;(ImplementationYear+(Appraisal_Period-1)),0,'Reduction in car usage'!$F$46*$B61)))</f>
        <v>0</v>
      </c>
      <c r="AW61" s="97">
        <f>IF(Option3="No",0,IF($A61&lt;ImplementationYear,0,IF($A61&gt;(ImplementationYear+(Appraisal_Period-1)),0,'Reduction in car usage'!$F$47*$B61)))</f>
        <v>0</v>
      </c>
      <c r="AX61" s="97">
        <f>IF(Option3="No",0,IF($A61&lt;ImplementationYear,0,IF($A61&gt;(ImplementationYear+(Appraisal_Period-1)),0,'Reduction in car usage'!$F$48*$B61)))</f>
        <v>0</v>
      </c>
    </row>
    <row r="62" spans="1:50">
      <c r="A62" s="335">
        <v>2057</v>
      </c>
      <c r="B62" s="62">
        <f>VLOOKUP($A62,'Time-series parameters'!$E$11:$H$89,2,FALSE)</f>
        <v>2.1589374401227331E-2</v>
      </c>
      <c r="C62" s="89"/>
      <c r="D62" s="94">
        <f>IF(Option1="No",0,IF($A62=ImplementationYear,('Project details'!$H$10-'Project details'!$D$10)*VLOOKUP(Year_cost_estimate,'Time-series parameters'!$B$11:$C$89,2,FALSE)*$B62*(1+Contingency),0))</f>
        <v>0</v>
      </c>
      <c r="E62" s="94">
        <f>IF(Option1="No",0,IF($A62&lt;ImplementationYear,0,IF($A62&gt;(ImplementationYear+(Appraisal_Period-1)),0,('Project details'!$H$11-'Project details'!$D$11)*VLOOKUP(Year_cost_estimate,'Time-series parameters'!$B$11:$C$89,2,0))*$B62))</f>
        <v>0</v>
      </c>
      <c r="F62" s="94">
        <f>IF(Option1="No",0,IF($A62=ImplementationYear,('Project details'!$H$12-'Project details'!$D$12)*VLOOKUP(Year_cost_estimate,'Time-series parameters'!$B$11:$C$89,2,FALSE)*$B62,0))</f>
        <v>0</v>
      </c>
      <c r="G62" s="97">
        <f>IF(Option1="No",0,IF($A62&lt;ImplementationYear,0,IF($A62&gt;(ImplementationYear+(Appraisal_Period-1)),0,Health!$D$21*$B62)))</f>
        <v>0</v>
      </c>
      <c r="H62" s="97">
        <f>IF(Option1="No",0,IF($A62&lt;ImplementationYear,0,IF($A62&gt;(ImplementationYear+(Appraisal_Period-1)),0,Health!$D$22*$B62)))</f>
        <v>0</v>
      </c>
      <c r="I62" s="97">
        <f>IF(Option1="No",0,IF($A62&lt;ImplementationYear,0,IF($A62&gt;(ImplementationYear+(Appraisal_Period-1)),0,SUM('Travel time'!$D$22:$D$23)*$B62)))</f>
        <v>0</v>
      </c>
      <c r="J62" s="97">
        <f>IF(Option1="No",0,IF($A62&lt;ImplementationYear,0,IF($A62&gt;(ImplementationYear+(Appraisal_Period-1)),0,SUM('Travel time'!$D$20:$D$21)*$B62)))</f>
        <v>0</v>
      </c>
      <c r="K62" s="97">
        <f>IF(Option1="No",0,IF($A62&lt;ImplementationYear,0,IF($A62&gt;(ImplementationYear+(Appraisal_Period-1)),0,SUM(Quality!$D$22:$D$23)*$B62)))</f>
        <v>0</v>
      </c>
      <c r="L62" s="97">
        <f>IF(Option1="No",0,IF($A62&lt;ImplementationYear,0,IF($A62&gt;(ImplementationYear+(Appraisal_Period-1)),0,SUM(Quality!$D$20:$D$21)*$B62)))</f>
        <v>0</v>
      </c>
      <c r="M62" s="97">
        <f>IF(Option1="No",0,IF($A62&lt;ImplementationYear,0,IF($A62&gt;(ImplementationYear+(Appraisal_Period-1)),0,'Mode change'!$D$36*$B62)))</f>
        <v>0</v>
      </c>
      <c r="N62" s="97">
        <f>IF(Option1="No",0,IF($A62&lt;ImplementationYear,0,IF($A62&gt;(ImplementationYear+(Appraisal_Period-1)),0,'Mode change'!$D$37*$B62)))</f>
        <v>0</v>
      </c>
      <c r="O62" s="97">
        <f>IF(Option1="No",0,IF($A62&lt;ImplementationYear,0,IF($A62&gt;(ImplementationYear+(Appraisal_Period-1)),0,'Road safety'!$D$22*$B62)))</f>
        <v>0</v>
      </c>
      <c r="P62" s="97">
        <f>IF(Option1="No",0,IF($A62&lt;ImplementationYear,0,IF($A62&gt;(ImplementationYear+(Appraisal_Period-1)),0,'Reduction in car usage'!$D$46*$B62)))</f>
        <v>0</v>
      </c>
      <c r="Q62" s="97">
        <f>IF(Option1="No",0,IF($A62&lt;ImplementationYear,0,IF($A62&gt;(ImplementationYear+(Appraisal_Period-1)),0,'Reduction in car usage'!$D$47*$B62)))</f>
        <v>0</v>
      </c>
      <c r="R62" s="97">
        <f>IF(Option1="No",0,IF($A62&lt;ImplementationYear,0,IF($A62&gt;(ImplementationYear+(Appraisal_Period-1)),0,'Reduction in car usage'!$D$48*$B62)))</f>
        <v>0</v>
      </c>
      <c r="S62" s="92"/>
      <c r="T62" s="94">
        <f>IF(Option2="No",0,IF($A62=ImplementationYear,('Project details'!$L$10-'Project details'!$D$10)*VLOOKUP(Year_cost_estimate,'Time-series parameters'!$B$11:$C$89,2,FALSE)*$B62*(1+Contingency),0))</f>
        <v>0</v>
      </c>
      <c r="U62" s="94">
        <f>IF(Option2="No",0,IF($A62&lt;ImplementationYear,0,IF($A62&gt;(ImplementationYear+(Appraisal_Period-1)),0,('Project details'!$L$11-'Project details'!$D$11)*VLOOKUP(Year_cost_estimate,'Time-series parameters'!$B$11:$C$89,2,0))*$B62))</f>
        <v>0</v>
      </c>
      <c r="V62" s="94">
        <f>IF(Option2="No",0,IF($A62=ImplementationYear,('Project details'!$L$12-'Project details'!$D$12)*VLOOKUP(Year_cost_estimate,'Time-series parameters'!$B$11:$C$89,2,FALSE)*$B62,0))</f>
        <v>0</v>
      </c>
      <c r="W62" s="97">
        <f>IF(Option2="No",0,IF($A62&lt;ImplementationYear,0,IF($A62&gt;(ImplementationYear+(Appraisal_Period-1)),0,Health!$E$21*$B62)))</f>
        <v>0</v>
      </c>
      <c r="X62" s="97">
        <f>IF(Option2="No",0,IF($A62&lt;ImplementationYear,0,IF($A62&gt;(ImplementationYear+(Appraisal_Period-1)),0,Health!$E$22*$B62)))</f>
        <v>0</v>
      </c>
      <c r="Y62" s="97">
        <f>IF(Option2="No",0,IF($A62&lt;ImplementationYear,0,IF($A62&gt;(ImplementationYear+(Appraisal_Period-1)),0,SUM('Travel time'!$E$22:$E$23)*$B62)))</f>
        <v>0</v>
      </c>
      <c r="Z62" s="97">
        <f>IF(Option2="No",0,IF($A62&lt;ImplementationYear,0,IF($A62&gt;(ImplementationYear+(Appraisal_Period-1)),0,SUM('Travel time'!$E$20:$E$21)*$B62)))</f>
        <v>0</v>
      </c>
      <c r="AA62" s="97">
        <f>IF(Option2="No",0,IF($A62&lt;ImplementationYear,0,IF($A62&gt;(ImplementationYear+(Appraisal_Period-1)),0,SUM(Quality!$E$22:$E$23)*$B62)))</f>
        <v>0</v>
      </c>
      <c r="AB62" s="97">
        <f>IF(Option2="No",0,IF($A62&lt;ImplementationYear,0,IF($A62&gt;(ImplementationYear+(Appraisal_Period-1)),0,SUM(Quality!$E$20:$E$21)*$B62)))</f>
        <v>0</v>
      </c>
      <c r="AC62" s="97">
        <f>IF(Option2="No",0,IF($A62&lt;ImplementationYear,0,IF($A62&gt;(ImplementationYear+(Appraisal_Period-1)),0,'Mode change'!$E$36*$B62)))</f>
        <v>0</v>
      </c>
      <c r="AD62" s="97">
        <f>IF(Option2="No",0,IF($A62&lt;ImplementationYear,0,IF($A62&gt;(ImplementationYear+(Appraisal_Period-1)),0,'Mode change'!$E$37*$B62)))</f>
        <v>0</v>
      </c>
      <c r="AE62" s="97">
        <f>IF(Option2="No",0,IF($A62&lt;ImplementationYear,0,IF($A62&gt;(ImplementationYear+(Appraisal_Period-1)),0,'Road safety'!$E$22*$B62)))</f>
        <v>0</v>
      </c>
      <c r="AF62" s="97">
        <f>IF(Option2="No",0,IF($A62&lt;ImplementationYear,0,IF($A62&gt;(ImplementationYear+(Appraisal_Period-1)),0,'Reduction in car usage'!$E$46*$B62)))</f>
        <v>0</v>
      </c>
      <c r="AG62" s="97">
        <f>IF(Option2="No",0,IF($A62&lt;ImplementationYear,0,IF($A62&gt;(ImplementationYear+(Appraisal_Period-1)),0,'Reduction in car usage'!$E$47*$B62)))</f>
        <v>0</v>
      </c>
      <c r="AH62" s="97">
        <f>IF(Option2="No",0,IF($A62&lt;ImplementationYear,0,IF($A62&gt;(ImplementationYear+(Appraisal_Period-1)),0,'Reduction in car usage'!$E$48*$B62)))</f>
        <v>0</v>
      </c>
      <c r="AJ62" s="94">
        <f>IF(Option3="No",0,IF($A62=ImplementationYear,('Project details'!$P$10-'Project details'!$D$10)*VLOOKUP(Year_cost_estimate,'Time-series parameters'!$B$11:$C$89,2,FALSE)*$B62*(1+Contingency),0))</f>
        <v>0</v>
      </c>
      <c r="AK62" s="94">
        <f>IF(Option3="No",0,IF($A62&lt;ImplementationYear,0,IF($A62&gt;(ImplementationYear+(Appraisal_Period-1)),0,('Project details'!$P$11-'Project details'!$D$11)*VLOOKUP(Year_cost_estimate,'Time-series parameters'!$B$11:$C$89,2,0))*$B62))</f>
        <v>0</v>
      </c>
      <c r="AL62" s="94">
        <f>IF(Option3="No",0,IF($A62=ImplementationYear,('Project details'!$P$12-'Project details'!$D$12)*VLOOKUP(Year_cost_estimate,'Time-series parameters'!$B$11:$C$89,2,FALSE)*$B62,0))</f>
        <v>0</v>
      </c>
      <c r="AM62" s="97">
        <f>IF(Option3="No",0,IF($A62&lt;ImplementationYear,0,IF($A62&gt;(ImplementationYear+(Appraisal_Period-1)),0,Health!$F$21*$B62)))</f>
        <v>0</v>
      </c>
      <c r="AN62" s="97">
        <f>IF(Option3="No",0,IF($A62&lt;ImplementationYear,0,IF($A62&gt;(ImplementationYear+(Appraisal_Period-1)),0,Health!$F$22*$B62)))</f>
        <v>0</v>
      </c>
      <c r="AO62" s="97">
        <f>IF(Option3="No",0,IF($A62&lt;ImplementationYear,0,IF($A62&gt;(ImplementationYear+(Appraisal_Period-1)),0,SUM('Travel time'!$F$22:$F$23)*$B62)))</f>
        <v>0</v>
      </c>
      <c r="AP62" s="97">
        <f>IF(Option3="No",0,IF($A62&lt;ImplementationYear,0,IF($A62&gt;(ImplementationYear+(Appraisal_Period-1)),0,SUM('Travel time'!$F$20:$F$21)*$B62)))</f>
        <v>0</v>
      </c>
      <c r="AQ62" s="97">
        <f>IF(Option3="No",0,IF($A62&lt;ImplementationYear,0,IF($A62&gt;(ImplementationYear+(Appraisal_Period-1)),0,SUM(Quality!$F$22:$F$23)*$B62)))</f>
        <v>0</v>
      </c>
      <c r="AR62" s="97">
        <f>IF(Option3="No",0,IF($A62&lt;ImplementationYear,0,IF($A62&gt;(ImplementationYear+(Appraisal_Period-1)),0,SUM(Quality!$F$20:$F$21)*$B62)))</f>
        <v>0</v>
      </c>
      <c r="AS62" s="97">
        <f>IF(Option3="No",0,IF($A62&lt;ImplementationYear,0,IF($A62&gt;(ImplementationYear+(Appraisal_Period-1)),0,'Mode change'!$F$36*$B62)))</f>
        <v>0</v>
      </c>
      <c r="AT62" s="97">
        <f>IF(Option3="No",0,IF($A62&lt;ImplementationYear,0,IF($A62&gt;(ImplementationYear+(Appraisal_Period-1)),0,'Mode change'!$F$37*$B62)))</f>
        <v>0</v>
      </c>
      <c r="AU62" s="97">
        <f>IF(Option3="No",0,IF($A62&lt;ImplementationYear,0,IF($A62&gt;(ImplementationYear+(Appraisal_Period-1)),0,'Road safety'!$F$22*$B62)))</f>
        <v>0</v>
      </c>
      <c r="AV62" s="97">
        <f>IF(Option3="No",0,IF($A62&lt;ImplementationYear,0,IF($A62&gt;(ImplementationYear+(Appraisal_Period-1)),0,'Reduction in car usage'!$F$46*$B62)))</f>
        <v>0</v>
      </c>
      <c r="AW62" s="97">
        <f>IF(Option3="No",0,IF($A62&lt;ImplementationYear,0,IF($A62&gt;(ImplementationYear+(Appraisal_Period-1)),0,'Reduction in car usage'!$F$47*$B62)))</f>
        <v>0</v>
      </c>
      <c r="AX62" s="97">
        <f>IF(Option3="No",0,IF($A62&lt;ImplementationYear,0,IF($A62&gt;(ImplementationYear+(Appraisal_Period-1)),0,'Reduction in car usage'!$F$48*$B62)))</f>
        <v>0</v>
      </c>
    </row>
    <row r="63" spans="1:50">
      <c r="A63" s="335">
        <v>2058</v>
      </c>
      <c r="B63" s="62">
        <f>VLOOKUP($A63,'Time-series parameters'!$E$11:$H$89,2,FALSE)</f>
        <v>1.9862224449129145E-2</v>
      </c>
      <c r="C63" s="89"/>
      <c r="D63" s="94">
        <f>IF(Option1="No",0,IF($A63=ImplementationYear,('Project details'!$H$10-'Project details'!$D$10)*VLOOKUP(Year_cost_estimate,'Time-series parameters'!$B$11:$C$89,2,FALSE)*$B63*(1+Contingency),0))</f>
        <v>0</v>
      </c>
      <c r="E63" s="94">
        <f>IF(Option1="No",0,IF($A63&lt;ImplementationYear,0,IF($A63&gt;(ImplementationYear+(Appraisal_Period-1)),0,('Project details'!$H$11-'Project details'!$D$11)*VLOOKUP(Year_cost_estimate,'Time-series parameters'!$B$11:$C$89,2,0))*$B63))</f>
        <v>0</v>
      </c>
      <c r="F63" s="94">
        <f>IF(Option1="No",0,IF($A63=ImplementationYear,('Project details'!$H$12-'Project details'!$D$12)*VLOOKUP(Year_cost_estimate,'Time-series parameters'!$B$11:$C$89,2,FALSE)*$B63,0))</f>
        <v>0</v>
      </c>
      <c r="G63" s="97">
        <f>IF(Option1="No",0,IF($A63&lt;ImplementationYear,0,IF($A63&gt;(ImplementationYear+(Appraisal_Period-1)),0,Health!$D$21*$B63)))</f>
        <v>0</v>
      </c>
      <c r="H63" s="97">
        <f>IF(Option1="No",0,IF($A63&lt;ImplementationYear,0,IF($A63&gt;(ImplementationYear+(Appraisal_Period-1)),0,Health!$D$22*$B63)))</f>
        <v>0</v>
      </c>
      <c r="I63" s="97">
        <f>IF(Option1="No",0,IF($A63&lt;ImplementationYear,0,IF($A63&gt;(ImplementationYear+(Appraisal_Period-1)),0,SUM('Travel time'!$D$22:$D$23)*$B63)))</f>
        <v>0</v>
      </c>
      <c r="J63" s="97">
        <f>IF(Option1="No",0,IF($A63&lt;ImplementationYear,0,IF($A63&gt;(ImplementationYear+(Appraisal_Period-1)),0,SUM('Travel time'!$D$20:$D$21)*$B63)))</f>
        <v>0</v>
      </c>
      <c r="K63" s="97">
        <f>IF(Option1="No",0,IF($A63&lt;ImplementationYear,0,IF($A63&gt;(ImplementationYear+(Appraisal_Period-1)),0,SUM(Quality!$D$22:$D$23)*$B63)))</f>
        <v>0</v>
      </c>
      <c r="L63" s="97">
        <f>IF(Option1="No",0,IF($A63&lt;ImplementationYear,0,IF($A63&gt;(ImplementationYear+(Appraisal_Period-1)),0,SUM(Quality!$D$20:$D$21)*$B63)))</f>
        <v>0</v>
      </c>
      <c r="M63" s="97">
        <f>IF(Option1="No",0,IF($A63&lt;ImplementationYear,0,IF($A63&gt;(ImplementationYear+(Appraisal_Period-1)),0,'Mode change'!$D$36*$B63)))</f>
        <v>0</v>
      </c>
      <c r="N63" s="97">
        <f>IF(Option1="No",0,IF($A63&lt;ImplementationYear,0,IF($A63&gt;(ImplementationYear+(Appraisal_Period-1)),0,'Mode change'!$D$37*$B63)))</f>
        <v>0</v>
      </c>
      <c r="O63" s="97">
        <f>IF(Option1="No",0,IF($A63&lt;ImplementationYear,0,IF($A63&gt;(ImplementationYear+(Appraisal_Period-1)),0,'Road safety'!$D$22*$B63)))</f>
        <v>0</v>
      </c>
      <c r="P63" s="97">
        <f>IF(Option1="No",0,IF($A63&lt;ImplementationYear,0,IF($A63&gt;(ImplementationYear+(Appraisal_Period-1)),0,'Reduction in car usage'!$D$46*$B63)))</f>
        <v>0</v>
      </c>
      <c r="Q63" s="97">
        <f>IF(Option1="No",0,IF($A63&lt;ImplementationYear,0,IF($A63&gt;(ImplementationYear+(Appraisal_Period-1)),0,'Reduction in car usage'!$D$47*$B63)))</f>
        <v>0</v>
      </c>
      <c r="R63" s="97">
        <f>IF(Option1="No",0,IF($A63&lt;ImplementationYear,0,IF($A63&gt;(ImplementationYear+(Appraisal_Period-1)),0,'Reduction in car usage'!$D$48*$B63)))</f>
        <v>0</v>
      </c>
      <c r="S63" s="92"/>
      <c r="T63" s="94">
        <f>IF(Option2="No",0,IF($A63=ImplementationYear,('Project details'!$L$10-'Project details'!$D$10)*VLOOKUP(Year_cost_estimate,'Time-series parameters'!$B$11:$C$89,2,FALSE)*$B63*(1+Contingency),0))</f>
        <v>0</v>
      </c>
      <c r="U63" s="94">
        <f>IF(Option2="No",0,IF($A63&lt;ImplementationYear,0,IF($A63&gt;(ImplementationYear+(Appraisal_Period-1)),0,('Project details'!$L$11-'Project details'!$D$11)*VLOOKUP(Year_cost_estimate,'Time-series parameters'!$B$11:$C$89,2,0))*$B63))</f>
        <v>0</v>
      </c>
      <c r="V63" s="94">
        <f>IF(Option2="No",0,IF($A63=ImplementationYear,('Project details'!$L$12-'Project details'!$D$12)*VLOOKUP(Year_cost_estimate,'Time-series parameters'!$B$11:$C$89,2,FALSE)*$B63,0))</f>
        <v>0</v>
      </c>
      <c r="W63" s="97">
        <f>IF(Option2="No",0,IF($A63&lt;ImplementationYear,0,IF($A63&gt;(ImplementationYear+(Appraisal_Period-1)),0,Health!$E$21*$B63)))</f>
        <v>0</v>
      </c>
      <c r="X63" s="97">
        <f>IF(Option2="No",0,IF($A63&lt;ImplementationYear,0,IF($A63&gt;(ImplementationYear+(Appraisal_Period-1)),0,Health!$E$22*$B63)))</f>
        <v>0</v>
      </c>
      <c r="Y63" s="97">
        <f>IF(Option2="No",0,IF($A63&lt;ImplementationYear,0,IF($A63&gt;(ImplementationYear+(Appraisal_Period-1)),0,SUM('Travel time'!$E$22:$E$23)*$B63)))</f>
        <v>0</v>
      </c>
      <c r="Z63" s="97">
        <f>IF(Option2="No",0,IF($A63&lt;ImplementationYear,0,IF($A63&gt;(ImplementationYear+(Appraisal_Period-1)),0,SUM('Travel time'!$E$20:$E$21)*$B63)))</f>
        <v>0</v>
      </c>
      <c r="AA63" s="97">
        <f>IF(Option2="No",0,IF($A63&lt;ImplementationYear,0,IF($A63&gt;(ImplementationYear+(Appraisal_Period-1)),0,SUM(Quality!$E$22:$E$23)*$B63)))</f>
        <v>0</v>
      </c>
      <c r="AB63" s="97">
        <f>IF(Option2="No",0,IF($A63&lt;ImplementationYear,0,IF($A63&gt;(ImplementationYear+(Appraisal_Period-1)),0,SUM(Quality!$E$20:$E$21)*$B63)))</f>
        <v>0</v>
      </c>
      <c r="AC63" s="97">
        <f>IF(Option2="No",0,IF($A63&lt;ImplementationYear,0,IF($A63&gt;(ImplementationYear+(Appraisal_Period-1)),0,'Mode change'!$E$36*$B63)))</f>
        <v>0</v>
      </c>
      <c r="AD63" s="97">
        <f>IF(Option2="No",0,IF($A63&lt;ImplementationYear,0,IF($A63&gt;(ImplementationYear+(Appraisal_Period-1)),0,'Mode change'!$E$37*$B63)))</f>
        <v>0</v>
      </c>
      <c r="AE63" s="97">
        <f>IF(Option2="No",0,IF($A63&lt;ImplementationYear,0,IF($A63&gt;(ImplementationYear+(Appraisal_Period-1)),0,'Road safety'!$E$22*$B63)))</f>
        <v>0</v>
      </c>
      <c r="AF63" s="97">
        <f>IF(Option2="No",0,IF($A63&lt;ImplementationYear,0,IF($A63&gt;(ImplementationYear+(Appraisal_Period-1)),0,'Reduction in car usage'!$E$46*$B63)))</f>
        <v>0</v>
      </c>
      <c r="AG63" s="97">
        <f>IF(Option2="No",0,IF($A63&lt;ImplementationYear,0,IF($A63&gt;(ImplementationYear+(Appraisal_Period-1)),0,'Reduction in car usage'!$E$47*$B63)))</f>
        <v>0</v>
      </c>
      <c r="AH63" s="97">
        <f>IF(Option2="No",0,IF($A63&lt;ImplementationYear,0,IF($A63&gt;(ImplementationYear+(Appraisal_Period-1)),0,'Reduction in car usage'!$E$48*$B63)))</f>
        <v>0</v>
      </c>
      <c r="AJ63" s="94">
        <f>IF(Option3="No",0,IF($A63=ImplementationYear,('Project details'!$P$10-'Project details'!$D$10)*VLOOKUP(Year_cost_estimate,'Time-series parameters'!$B$11:$C$89,2,FALSE)*$B63*(1+Contingency),0))</f>
        <v>0</v>
      </c>
      <c r="AK63" s="94">
        <f>IF(Option3="No",0,IF($A63&lt;ImplementationYear,0,IF($A63&gt;(ImplementationYear+(Appraisal_Period-1)),0,('Project details'!$P$11-'Project details'!$D$11)*VLOOKUP(Year_cost_estimate,'Time-series parameters'!$B$11:$C$89,2,0))*$B63))</f>
        <v>0</v>
      </c>
      <c r="AL63" s="94">
        <f>IF(Option3="No",0,IF($A63=ImplementationYear,('Project details'!$P$12-'Project details'!$D$12)*VLOOKUP(Year_cost_estimate,'Time-series parameters'!$B$11:$C$89,2,FALSE)*$B63,0))</f>
        <v>0</v>
      </c>
      <c r="AM63" s="97">
        <f>IF(Option3="No",0,IF($A63&lt;ImplementationYear,0,IF($A63&gt;(ImplementationYear+(Appraisal_Period-1)),0,Health!$F$21*$B63)))</f>
        <v>0</v>
      </c>
      <c r="AN63" s="97">
        <f>IF(Option3="No",0,IF($A63&lt;ImplementationYear,0,IF($A63&gt;(ImplementationYear+(Appraisal_Period-1)),0,Health!$F$22*$B63)))</f>
        <v>0</v>
      </c>
      <c r="AO63" s="97">
        <f>IF(Option3="No",0,IF($A63&lt;ImplementationYear,0,IF($A63&gt;(ImplementationYear+(Appraisal_Period-1)),0,SUM('Travel time'!$F$22:$F$23)*$B63)))</f>
        <v>0</v>
      </c>
      <c r="AP63" s="97">
        <f>IF(Option3="No",0,IF($A63&lt;ImplementationYear,0,IF($A63&gt;(ImplementationYear+(Appraisal_Period-1)),0,SUM('Travel time'!$F$20:$F$21)*$B63)))</f>
        <v>0</v>
      </c>
      <c r="AQ63" s="97">
        <f>IF(Option3="No",0,IF($A63&lt;ImplementationYear,0,IF($A63&gt;(ImplementationYear+(Appraisal_Period-1)),0,SUM(Quality!$F$22:$F$23)*$B63)))</f>
        <v>0</v>
      </c>
      <c r="AR63" s="97">
        <f>IF(Option3="No",0,IF($A63&lt;ImplementationYear,0,IF($A63&gt;(ImplementationYear+(Appraisal_Period-1)),0,SUM(Quality!$F$20:$F$21)*$B63)))</f>
        <v>0</v>
      </c>
      <c r="AS63" s="97">
        <f>IF(Option3="No",0,IF($A63&lt;ImplementationYear,0,IF($A63&gt;(ImplementationYear+(Appraisal_Period-1)),0,'Mode change'!$F$36*$B63)))</f>
        <v>0</v>
      </c>
      <c r="AT63" s="97">
        <f>IF(Option3="No",0,IF($A63&lt;ImplementationYear,0,IF($A63&gt;(ImplementationYear+(Appraisal_Period-1)),0,'Mode change'!$F$37*$B63)))</f>
        <v>0</v>
      </c>
      <c r="AU63" s="97">
        <f>IF(Option3="No",0,IF($A63&lt;ImplementationYear,0,IF($A63&gt;(ImplementationYear+(Appraisal_Period-1)),0,'Road safety'!$F$22*$B63)))</f>
        <v>0</v>
      </c>
      <c r="AV63" s="97">
        <f>IF(Option3="No",0,IF($A63&lt;ImplementationYear,0,IF($A63&gt;(ImplementationYear+(Appraisal_Period-1)),0,'Reduction in car usage'!$F$46*$B63)))</f>
        <v>0</v>
      </c>
      <c r="AW63" s="97">
        <f>IF(Option3="No",0,IF($A63&lt;ImplementationYear,0,IF($A63&gt;(ImplementationYear+(Appraisal_Period-1)),0,'Reduction in car usage'!$F$47*$B63)))</f>
        <v>0</v>
      </c>
      <c r="AX63" s="97">
        <f>IF(Option3="No",0,IF($A63&lt;ImplementationYear,0,IF($A63&gt;(ImplementationYear+(Appraisal_Period-1)),0,'Reduction in car usage'!$F$48*$B63)))</f>
        <v>0</v>
      </c>
    </row>
    <row r="64" spans="1:50">
      <c r="A64" s="335">
        <v>2059</v>
      </c>
      <c r="B64" s="62">
        <f>VLOOKUP($A64,'Time-series parameters'!$E$11:$H$89,2,FALSE)</f>
        <v>1.8273246493198815E-2</v>
      </c>
      <c r="C64" s="89"/>
      <c r="D64" s="94">
        <f>IF(Option1="No",0,IF($A64=ImplementationYear,('Project details'!$H$10-'Project details'!$D$10)*VLOOKUP(Year_cost_estimate,'Time-series parameters'!$B$11:$C$89,2,FALSE)*$B64*(1+Contingency),0))</f>
        <v>0</v>
      </c>
      <c r="E64" s="94">
        <f>IF(Option1="No",0,IF($A64&lt;ImplementationYear,0,IF($A64&gt;(ImplementationYear+(Appraisal_Period-1)),0,('Project details'!$H$11-'Project details'!$D$11)*VLOOKUP(Year_cost_estimate,'Time-series parameters'!$B$11:$C$89,2,0))*$B64))</f>
        <v>0</v>
      </c>
      <c r="F64" s="94">
        <f>IF(Option1="No",0,IF($A64=ImplementationYear,('Project details'!$H$12-'Project details'!$D$12)*VLOOKUP(Year_cost_estimate,'Time-series parameters'!$B$11:$C$89,2,FALSE)*$B64,0))</f>
        <v>0</v>
      </c>
      <c r="G64" s="97">
        <f>IF(Option1="No",0,IF($A64&lt;ImplementationYear,0,IF($A64&gt;(ImplementationYear+(Appraisal_Period-1)),0,Health!$D$21*$B64)))</f>
        <v>0</v>
      </c>
      <c r="H64" s="97">
        <f>IF(Option1="No",0,IF($A64&lt;ImplementationYear,0,IF($A64&gt;(ImplementationYear+(Appraisal_Period-1)),0,Health!$D$22*$B64)))</f>
        <v>0</v>
      </c>
      <c r="I64" s="97">
        <f>IF(Option1="No",0,IF($A64&lt;ImplementationYear,0,IF($A64&gt;(ImplementationYear+(Appraisal_Period-1)),0,SUM('Travel time'!$D$22:$D$23)*$B64)))</f>
        <v>0</v>
      </c>
      <c r="J64" s="97">
        <f>IF(Option1="No",0,IF($A64&lt;ImplementationYear,0,IF($A64&gt;(ImplementationYear+(Appraisal_Period-1)),0,SUM('Travel time'!$D$20:$D$21)*$B64)))</f>
        <v>0</v>
      </c>
      <c r="K64" s="97">
        <f>IF(Option1="No",0,IF($A64&lt;ImplementationYear,0,IF($A64&gt;(ImplementationYear+(Appraisal_Period-1)),0,SUM(Quality!$D$22:$D$23)*$B64)))</f>
        <v>0</v>
      </c>
      <c r="L64" s="97">
        <f>IF(Option1="No",0,IF($A64&lt;ImplementationYear,0,IF($A64&gt;(ImplementationYear+(Appraisal_Period-1)),0,SUM(Quality!$D$20:$D$21)*$B64)))</f>
        <v>0</v>
      </c>
      <c r="M64" s="97">
        <f>IF(Option1="No",0,IF($A64&lt;ImplementationYear,0,IF($A64&gt;(ImplementationYear+(Appraisal_Period-1)),0,'Mode change'!$D$36*$B64)))</f>
        <v>0</v>
      </c>
      <c r="N64" s="97">
        <f>IF(Option1="No",0,IF($A64&lt;ImplementationYear,0,IF($A64&gt;(ImplementationYear+(Appraisal_Period-1)),0,'Mode change'!$D$37*$B64)))</f>
        <v>0</v>
      </c>
      <c r="O64" s="97">
        <f>IF(Option1="No",0,IF($A64&lt;ImplementationYear,0,IF($A64&gt;(ImplementationYear+(Appraisal_Period-1)),0,'Road safety'!$D$22*$B64)))</f>
        <v>0</v>
      </c>
      <c r="P64" s="97">
        <f>IF(Option1="No",0,IF($A64&lt;ImplementationYear,0,IF($A64&gt;(ImplementationYear+(Appraisal_Period-1)),0,'Reduction in car usage'!$D$46*$B64)))</f>
        <v>0</v>
      </c>
      <c r="Q64" s="97">
        <f>IF(Option1="No",0,IF($A64&lt;ImplementationYear,0,IF($A64&gt;(ImplementationYear+(Appraisal_Period-1)),0,'Reduction in car usage'!$D$47*$B64)))</f>
        <v>0</v>
      </c>
      <c r="R64" s="97">
        <f>IF(Option1="No",0,IF($A64&lt;ImplementationYear,0,IF($A64&gt;(ImplementationYear+(Appraisal_Period-1)),0,'Reduction in car usage'!$D$48*$B64)))</f>
        <v>0</v>
      </c>
      <c r="S64" s="92"/>
      <c r="T64" s="94">
        <f>IF(Option2="No",0,IF($A64=ImplementationYear,('Project details'!$L$10-'Project details'!$D$10)*VLOOKUP(Year_cost_estimate,'Time-series parameters'!$B$11:$C$89,2,FALSE)*$B64*(1+Contingency),0))</f>
        <v>0</v>
      </c>
      <c r="U64" s="94">
        <f>IF(Option2="No",0,IF($A64&lt;ImplementationYear,0,IF($A64&gt;(ImplementationYear+(Appraisal_Period-1)),0,('Project details'!$L$11-'Project details'!$D$11)*VLOOKUP(Year_cost_estimate,'Time-series parameters'!$B$11:$C$89,2,0))*$B64))</f>
        <v>0</v>
      </c>
      <c r="V64" s="94">
        <f>IF(Option2="No",0,IF($A64=ImplementationYear,('Project details'!$L$12-'Project details'!$D$12)*VLOOKUP(Year_cost_estimate,'Time-series parameters'!$B$11:$C$89,2,FALSE)*$B64,0))</f>
        <v>0</v>
      </c>
      <c r="W64" s="97">
        <f>IF(Option2="No",0,IF($A64&lt;ImplementationYear,0,IF($A64&gt;(ImplementationYear+(Appraisal_Period-1)),0,Health!$E$21*$B64)))</f>
        <v>0</v>
      </c>
      <c r="X64" s="97">
        <f>IF(Option2="No",0,IF($A64&lt;ImplementationYear,0,IF($A64&gt;(ImplementationYear+(Appraisal_Period-1)),0,Health!$E$22*$B64)))</f>
        <v>0</v>
      </c>
      <c r="Y64" s="97">
        <f>IF(Option2="No",0,IF($A64&lt;ImplementationYear,0,IF($A64&gt;(ImplementationYear+(Appraisal_Period-1)),0,SUM('Travel time'!$E$22:$E$23)*$B64)))</f>
        <v>0</v>
      </c>
      <c r="Z64" s="97">
        <f>IF(Option2="No",0,IF($A64&lt;ImplementationYear,0,IF($A64&gt;(ImplementationYear+(Appraisal_Period-1)),0,SUM('Travel time'!$E$20:$E$21)*$B64)))</f>
        <v>0</v>
      </c>
      <c r="AA64" s="97">
        <f>IF(Option2="No",0,IF($A64&lt;ImplementationYear,0,IF($A64&gt;(ImplementationYear+(Appraisal_Period-1)),0,SUM(Quality!$E$22:$E$23)*$B64)))</f>
        <v>0</v>
      </c>
      <c r="AB64" s="97">
        <f>IF(Option2="No",0,IF($A64&lt;ImplementationYear,0,IF($A64&gt;(ImplementationYear+(Appraisal_Period-1)),0,SUM(Quality!$E$20:$E$21)*$B64)))</f>
        <v>0</v>
      </c>
      <c r="AC64" s="97">
        <f>IF(Option2="No",0,IF($A64&lt;ImplementationYear,0,IF($A64&gt;(ImplementationYear+(Appraisal_Period-1)),0,'Mode change'!$E$36*$B64)))</f>
        <v>0</v>
      </c>
      <c r="AD64" s="97">
        <f>IF(Option2="No",0,IF($A64&lt;ImplementationYear,0,IF($A64&gt;(ImplementationYear+(Appraisal_Period-1)),0,'Mode change'!$E$37*$B64)))</f>
        <v>0</v>
      </c>
      <c r="AE64" s="97">
        <f>IF(Option2="No",0,IF($A64&lt;ImplementationYear,0,IF($A64&gt;(ImplementationYear+(Appraisal_Period-1)),0,'Road safety'!$E$22*$B64)))</f>
        <v>0</v>
      </c>
      <c r="AF64" s="97">
        <f>IF(Option2="No",0,IF($A64&lt;ImplementationYear,0,IF($A64&gt;(ImplementationYear+(Appraisal_Period-1)),0,'Reduction in car usage'!$E$46*$B64)))</f>
        <v>0</v>
      </c>
      <c r="AG64" s="97">
        <f>IF(Option2="No",0,IF($A64&lt;ImplementationYear,0,IF($A64&gt;(ImplementationYear+(Appraisal_Period-1)),0,'Reduction in car usage'!$E$47*$B64)))</f>
        <v>0</v>
      </c>
      <c r="AH64" s="97">
        <f>IF(Option2="No",0,IF($A64&lt;ImplementationYear,0,IF($A64&gt;(ImplementationYear+(Appraisal_Period-1)),0,'Reduction in car usage'!$E$48*$B64)))</f>
        <v>0</v>
      </c>
      <c r="AJ64" s="94">
        <f>IF(Option3="No",0,IF($A64=ImplementationYear,('Project details'!$P$10-'Project details'!$D$10)*VLOOKUP(Year_cost_estimate,'Time-series parameters'!$B$11:$C$89,2,FALSE)*$B64*(1+Contingency),0))</f>
        <v>0</v>
      </c>
      <c r="AK64" s="94">
        <f>IF(Option3="No",0,IF($A64&lt;ImplementationYear,0,IF($A64&gt;(ImplementationYear+(Appraisal_Period-1)),0,('Project details'!$P$11-'Project details'!$D$11)*VLOOKUP(Year_cost_estimate,'Time-series parameters'!$B$11:$C$89,2,0))*$B64))</f>
        <v>0</v>
      </c>
      <c r="AL64" s="94">
        <f>IF(Option3="No",0,IF($A64=ImplementationYear,('Project details'!$P$12-'Project details'!$D$12)*VLOOKUP(Year_cost_estimate,'Time-series parameters'!$B$11:$C$89,2,FALSE)*$B64,0))</f>
        <v>0</v>
      </c>
      <c r="AM64" s="97">
        <f>IF(Option3="No",0,IF($A64&lt;ImplementationYear,0,IF($A64&gt;(ImplementationYear+(Appraisal_Period-1)),0,Health!$F$21*$B64)))</f>
        <v>0</v>
      </c>
      <c r="AN64" s="97">
        <f>IF(Option3="No",0,IF($A64&lt;ImplementationYear,0,IF($A64&gt;(ImplementationYear+(Appraisal_Period-1)),0,Health!$F$22*$B64)))</f>
        <v>0</v>
      </c>
      <c r="AO64" s="97">
        <f>IF(Option3="No",0,IF($A64&lt;ImplementationYear,0,IF($A64&gt;(ImplementationYear+(Appraisal_Period-1)),0,SUM('Travel time'!$F$22:$F$23)*$B64)))</f>
        <v>0</v>
      </c>
      <c r="AP64" s="97">
        <f>IF(Option3="No",0,IF($A64&lt;ImplementationYear,0,IF($A64&gt;(ImplementationYear+(Appraisal_Period-1)),0,SUM('Travel time'!$F$20:$F$21)*$B64)))</f>
        <v>0</v>
      </c>
      <c r="AQ64" s="97">
        <f>IF(Option3="No",0,IF($A64&lt;ImplementationYear,0,IF($A64&gt;(ImplementationYear+(Appraisal_Period-1)),0,SUM(Quality!$F$22:$F$23)*$B64)))</f>
        <v>0</v>
      </c>
      <c r="AR64" s="97">
        <f>IF(Option3="No",0,IF($A64&lt;ImplementationYear,0,IF($A64&gt;(ImplementationYear+(Appraisal_Period-1)),0,SUM(Quality!$F$20:$F$21)*$B64)))</f>
        <v>0</v>
      </c>
      <c r="AS64" s="97">
        <f>IF(Option3="No",0,IF($A64&lt;ImplementationYear,0,IF($A64&gt;(ImplementationYear+(Appraisal_Period-1)),0,'Mode change'!$F$36*$B64)))</f>
        <v>0</v>
      </c>
      <c r="AT64" s="97">
        <f>IF(Option3="No",0,IF($A64&lt;ImplementationYear,0,IF($A64&gt;(ImplementationYear+(Appraisal_Period-1)),0,'Mode change'!$F$37*$B64)))</f>
        <v>0</v>
      </c>
      <c r="AU64" s="97">
        <f>IF(Option3="No",0,IF($A64&lt;ImplementationYear,0,IF($A64&gt;(ImplementationYear+(Appraisal_Period-1)),0,'Road safety'!$F$22*$B64)))</f>
        <v>0</v>
      </c>
      <c r="AV64" s="97">
        <f>IF(Option3="No",0,IF($A64&lt;ImplementationYear,0,IF($A64&gt;(ImplementationYear+(Appraisal_Period-1)),0,'Reduction in car usage'!$F$46*$B64)))</f>
        <v>0</v>
      </c>
      <c r="AW64" s="97">
        <f>IF(Option3="No",0,IF($A64&lt;ImplementationYear,0,IF($A64&gt;(ImplementationYear+(Appraisal_Period-1)),0,'Reduction in car usage'!$F$47*$B64)))</f>
        <v>0</v>
      </c>
      <c r="AX64" s="97">
        <f>IF(Option3="No",0,IF($A64&lt;ImplementationYear,0,IF($A64&gt;(ImplementationYear+(Appraisal_Period-1)),0,'Reduction in car usage'!$F$48*$B64)))</f>
        <v>0</v>
      </c>
    </row>
    <row r="65" spans="1:50">
      <c r="A65" s="335">
        <v>2060</v>
      </c>
      <c r="B65" s="62">
        <f>VLOOKUP($A65,'Time-series parameters'!$E$11:$H$89,2,FALSE)</f>
        <v>1.6811386773742911E-2</v>
      </c>
      <c r="C65" s="89"/>
      <c r="D65" s="94">
        <f>IF(Option1="No",0,IF($A65=ImplementationYear,('Project details'!$H$10-'Project details'!$D$10)*VLOOKUP(Year_cost_estimate,'Time-series parameters'!$B$11:$C$89,2,FALSE)*$B65*(1+Contingency),0))</f>
        <v>0</v>
      </c>
      <c r="E65" s="94">
        <f>IF(Option1="No",0,IF($A65&lt;ImplementationYear,0,IF($A65&gt;(ImplementationYear+(Appraisal_Period-1)),0,('Project details'!$H$11-'Project details'!$D$11)*VLOOKUP(Year_cost_estimate,'Time-series parameters'!$B$11:$C$89,2,0))*$B65))</f>
        <v>0</v>
      </c>
      <c r="F65" s="94">
        <f>IF(Option1="No",0,IF($A65=ImplementationYear,('Project details'!$H$12-'Project details'!$D$12)*VLOOKUP(Year_cost_estimate,'Time-series parameters'!$B$11:$C$89,2,FALSE)*$B65,0))</f>
        <v>0</v>
      </c>
      <c r="G65" s="97">
        <f>IF(Option1="No",0,IF($A65&lt;ImplementationYear,0,IF($A65&gt;(ImplementationYear+(Appraisal_Period-1)),0,Health!$D$21*$B65)))</f>
        <v>0</v>
      </c>
      <c r="H65" s="97">
        <f>IF(Option1="No",0,IF($A65&lt;ImplementationYear,0,IF($A65&gt;(ImplementationYear+(Appraisal_Period-1)),0,Health!$D$22*$B65)))</f>
        <v>0</v>
      </c>
      <c r="I65" s="97">
        <f>IF(Option1="No",0,IF($A65&lt;ImplementationYear,0,IF($A65&gt;(ImplementationYear+(Appraisal_Period-1)),0,SUM('Travel time'!$D$22:$D$23)*$B65)))</f>
        <v>0</v>
      </c>
      <c r="J65" s="97">
        <f>IF(Option1="No",0,IF($A65&lt;ImplementationYear,0,IF($A65&gt;(ImplementationYear+(Appraisal_Period-1)),0,SUM('Travel time'!$D$20:$D$21)*$B65)))</f>
        <v>0</v>
      </c>
      <c r="K65" s="97">
        <f>IF(Option1="No",0,IF($A65&lt;ImplementationYear,0,IF($A65&gt;(ImplementationYear+(Appraisal_Period-1)),0,SUM(Quality!$D$22:$D$23)*$B65)))</f>
        <v>0</v>
      </c>
      <c r="L65" s="97">
        <f>IF(Option1="No",0,IF($A65&lt;ImplementationYear,0,IF($A65&gt;(ImplementationYear+(Appraisal_Period-1)),0,SUM(Quality!$D$20:$D$21)*$B65)))</f>
        <v>0</v>
      </c>
      <c r="M65" s="97">
        <f>IF(Option1="No",0,IF($A65&lt;ImplementationYear,0,IF($A65&gt;(ImplementationYear+(Appraisal_Period-1)),0,'Mode change'!$D$36*$B65)))</f>
        <v>0</v>
      </c>
      <c r="N65" s="97">
        <f>IF(Option1="No",0,IF($A65&lt;ImplementationYear,0,IF($A65&gt;(ImplementationYear+(Appraisal_Period-1)),0,'Mode change'!$D$37*$B65)))</f>
        <v>0</v>
      </c>
      <c r="O65" s="97">
        <f>IF(Option1="No",0,IF($A65&lt;ImplementationYear,0,IF($A65&gt;(ImplementationYear+(Appraisal_Period-1)),0,'Road safety'!$D$22*$B65)))</f>
        <v>0</v>
      </c>
      <c r="P65" s="97">
        <f>IF(Option1="No",0,IF($A65&lt;ImplementationYear,0,IF($A65&gt;(ImplementationYear+(Appraisal_Period-1)),0,'Reduction in car usage'!$D$46*$B65)))</f>
        <v>0</v>
      </c>
      <c r="Q65" s="97">
        <f>IF(Option1="No",0,IF($A65&lt;ImplementationYear,0,IF($A65&gt;(ImplementationYear+(Appraisal_Period-1)),0,'Reduction in car usage'!$D$47*$B65)))</f>
        <v>0</v>
      </c>
      <c r="R65" s="97">
        <f>IF(Option1="No",0,IF($A65&lt;ImplementationYear,0,IF($A65&gt;(ImplementationYear+(Appraisal_Period-1)),0,'Reduction in car usage'!$D$48*$B65)))</f>
        <v>0</v>
      </c>
      <c r="S65" s="92"/>
      <c r="T65" s="94">
        <f>IF(Option2="No",0,IF($A65=ImplementationYear,('Project details'!$L$10-'Project details'!$D$10)*VLOOKUP(Year_cost_estimate,'Time-series parameters'!$B$11:$C$89,2,FALSE)*$B65*(1+Contingency),0))</f>
        <v>0</v>
      </c>
      <c r="U65" s="94">
        <f>IF(Option2="No",0,IF($A65&lt;ImplementationYear,0,IF($A65&gt;(ImplementationYear+(Appraisal_Period-1)),0,('Project details'!$L$11-'Project details'!$D$11)*VLOOKUP(Year_cost_estimate,'Time-series parameters'!$B$11:$C$89,2,0))*$B65))</f>
        <v>0</v>
      </c>
      <c r="V65" s="94">
        <f>IF(Option2="No",0,IF($A65=ImplementationYear,('Project details'!$L$12-'Project details'!$D$12)*VLOOKUP(Year_cost_estimate,'Time-series parameters'!$B$11:$C$89,2,FALSE)*$B65,0))</f>
        <v>0</v>
      </c>
      <c r="W65" s="97">
        <f>IF(Option2="No",0,IF($A65&lt;ImplementationYear,0,IF($A65&gt;(ImplementationYear+(Appraisal_Period-1)),0,Health!$E$21*$B65)))</f>
        <v>0</v>
      </c>
      <c r="X65" s="97">
        <f>IF(Option2="No",0,IF($A65&lt;ImplementationYear,0,IF($A65&gt;(ImplementationYear+(Appraisal_Period-1)),0,Health!$E$22*$B65)))</f>
        <v>0</v>
      </c>
      <c r="Y65" s="97">
        <f>IF(Option2="No",0,IF($A65&lt;ImplementationYear,0,IF($A65&gt;(ImplementationYear+(Appraisal_Period-1)),0,SUM('Travel time'!$E$22:$E$23)*$B65)))</f>
        <v>0</v>
      </c>
      <c r="Z65" s="97">
        <f>IF(Option2="No",0,IF($A65&lt;ImplementationYear,0,IF($A65&gt;(ImplementationYear+(Appraisal_Period-1)),0,SUM('Travel time'!$E$20:$E$21)*$B65)))</f>
        <v>0</v>
      </c>
      <c r="AA65" s="97">
        <f>IF(Option2="No",0,IF($A65&lt;ImplementationYear,0,IF($A65&gt;(ImplementationYear+(Appraisal_Period-1)),0,SUM(Quality!$E$22:$E$23)*$B65)))</f>
        <v>0</v>
      </c>
      <c r="AB65" s="97">
        <f>IF(Option2="No",0,IF($A65&lt;ImplementationYear,0,IF($A65&gt;(ImplementationYear+(Appraisal_Period-1)),0,SUM(Quality!$E$20:$E$21)*$B65)))</f>
        <v>0</v>
      </c>
      <c r="AC65" s="97">
        <f>IF(Option2="No",0,IF($A65&lt;ImplementationYear,0,IF($A65&gt;(ImplementationYear+(Appraisal_Period-1)),0,'Mode change'!$E$36*$B65)))</f>
        <v>0</v>
      </c>
      <c r="AD65" s="97">
        <f>IF(Option2="No",0,IF($A65&lt;ImplementationYear,0,IF($A65&gt;(ImplementationYear+(Appraisal_Period-1)),0,'Mode change'!$E$37*$B65)))</f>
        <v>0</v>
      </c>
      <c r="AE65" s="97">
        <f>IF(Option2="No",0,IF($A65&lt;ImplementationYear,0,IF($A65&gt;(ImplementationYear+(Appraisal_Period-1)),0,'Road safety'!$E$22*$B65)))</f>
        <v>0</v>
      </c>
      <c r="AF65" s="97">
        <f>IF(Option2="No",0,IF($A65&lt;ImplementationYear,0,IF($A65&gt;(ImplementationYear+(Appraisal_Period-1)),0,'Reduction in car usage'!$E$46*$B65)))</f>
        <v>0</v>
      </c>
      <c r="AG65" s="97">
        <f>IF(Option2="No",0,IF($A65&lt;ImplementationYear,0,IF($A65&gt;(ImplementationYear+(Appraisal_Period-1)),0,'Reduction in car usage'!$E$47*$B65)))</f>
        <v>0</v>
      </c>
      <c r="AH65" s="97">
        <f>IF(Option2="No",0,IF($A65&lt;ImplementationYear,0,IF($A65&gt;(ImplementationYear+(Appraisal_Period-1)),0,'Reduction in car usage'!$E$48*$B65)))</f>
        <v>0</v>
      </c>
      <c r="AJ65" s="94">
        <f>IF(Option3="No",0,IF($A65=ImplementationYear,('Project details'!$P$10-'Project details'!$D$10)*VLOOKUP(Year_cost_estimate,'Time-series parameters'!$B$11:$C$89,2,FALSE)*$B65*(1+Contingency),0))</f>
        <v>0</v>
      </c>
      <c r="AK65" s="94">
        <f>IF(Option3="No",0,IF($A65&lt;ImplementationYear,0,IF($A65&gt;(ImplementationYear+(Appraisal_Period-1)),0,('Project details'!$P$11-'Project details'!$D$11)*VLOOKUP(Year_cost_estimate,'Time-series parameters'!$B$11:$C$89,2,0))*$B65))</f>
        <v>0</v>
      </c>
      <c r="AL65" s="94">
        <f>IF(Option3="No",0,IF($A65=ImplementationYear,('Project details'!$P$12-'Project details'!$D$12)*VLOOKUP(Year_cost_estimate,'Time-series parameters'!$B$11:$C$89,2,FALSE)*$B65,0))</f>
        <v>0</v>
      </c>
      <c r="AM65" s="97">
        <f>IF(Option3="No",0,IF($A65&lt;ImplementationYear,0,IF($A65&gt;(ImplementationYear+(Appraisal_Period-1)),0,Health!$F$21*$B65)))</f>
        <v>0</v>
      </c>
      <c r="AN65" s="97">
        <f>IF(Option3="No",0,IF($A65&lt;ImplementationYear,0,IF($A65&gt;(ImplementationYear+(Appraisal_Period-1)),0,Health!$F$22*$B65)))</f>
        <v>0</v>
      </c>
      <c r="AO65" s="97">
        <f>IF(Option3="No",0,IF($A65&lt;ImplementationYear,0,IF($A65&gt;(ImplementationYear+(Appraisal_Period-1)),0,SUM('Travel time'!$F$22:$F$23)*$B65)))</f>
        <v>0</v>
      </c>
      <c r="AP65" s="97">
        <f>IF(Option3="No",0,IF($A65&lt;ImplementationYear,0,IF($A65&gt;(ImplementationYear+(Appraisal_Period-1)),0,SUM('Travel time'!$F$20:$F$21)*$B65)))</f>
        <v>0</v>
      </c>
      <c r="AQ65" s="97">
        <f>IF(Option3="No",0,IF($A65&lt;ImplementationYear,0,IF($A65&gt;(ImplementationYear+(Appraisal_Period-1)),0,SUM(Quality!$F$22:$F$23)*$B65)))</f>
        <v>0</v>
      </c>
      <c r="AR65" s="97">
        <f>IF(Option3="No",0,IF($A65&lt;ImplementationYear,0,IF($A65&gt;(ImplementationYear+(Appraisal_Period-1)),0,SUM(Quality!$F$20:$F$21)*$B65)))</f>
        <v>0</v>
      </c>
      <c r="AS65" s="97">
        <f>IF(Option3="No",0,IF($A65&lt;ImplementationYear,0,IF($A65&gt;(ImplementationYear+(Appraisal_Period-1)),0,'Mode change'!$F$36*$B65)))</f>
        <v>0</v>
      </c>
      <c r="AT65" s="97">
        <f>IF(Option3="No",0,IF($A65&lt;ImplementationYear,0,IF($A65&gt;(ImplementationYear+(Appraisal_Period-1)),0,'Mode change'!$F$37*$B65)))</f>
        <v>0</v>
      </c>
      <c r="AU65" s="97">
        <f>IF(Option3="No",0,IF($A65&lt;ImplementationYear,0,IF($A65&gt;(ImplementationYear+(Appraisal_Period-1)),0,'Road safety'!$F$22*$B65)))</f>
        <v>0</v>
      </c>
      <c r="AV65" s="97">
        <f>IF(Option3="No",0,IF($A65&lt;ImplementationYear,0,IF($A65&gt;(ImplementationYear+(Appraisal_Period-1)),0,'Reduction in car usage'!$F$46*$B65)))</f>
        <v>0</v>
      </c>
      <c r="AW65" s="97">
        <f>IF(Option3="No",0,IF($A65&lt;ImplementationYear,0,IF($A65&gt;(ImplementationYear+(Appraisal_Period-1)),0,'Reduction in car usage'!$F$47*$B65)))</f>
        <v>0</v>
      </c>
      <c r="AX65" s="97">
        <f>IF(Option3="No",0,IF($A65&lt;ImplementationYear,0,IF($A65&gt;(ImplementationYear+(Appraisal_Period-1)),0,'Reduction in car usage'!$F$48*$B65)))</f>
        <v>0</v>
      </c>
    </row>
    <row r="66" spans="1:50">
      <c r="A66" s="335">
        <v>2061</v>
      </c>
      <c r="B66" s="62">
        <f>VLOOKUP($A66,'Time-series parameters'!$E$11:$H$89,2,FALSE)</f>
        <v>1.5466475831843478E-2</v>
      </c>
      <c r="C66" s="89"/>
      <c r="D66" s="94">
        <f>IF(Option1="No",0,IF($A66=ImplementationYear,('Project details'!$H$10-'Project details'!$D$10)*VLOOKUP(Year_cost_estimate,'Time-series parameters'!$B$11:$C$89,2,FALSE)*$B66*(1+Contingency),0))</f>
        <v>0</v>
      </c>
      <c r="E66" s="94">
        <f>IF(Option1="No",0,IF($A66&lt;ImplementationYear,0,IF($A66&gt;(ImplementationYear+(Appraisal_Period-1)),0,('Project details'!$H$11-'Project details'!$D$11)*VLOOKUP(Year_cost_estimate,'Time-series parameters'!$B$11:$C$89,2,0))*$B66))</f>
        <v>0</v>
      </c>
      <c r="F66" s="94">
        <f>IF(Option1="No",0,IF($A66=ImplementationYear,('Project details'!$H$12-'Project details'!$D$12)*VLOOKUP(Year_cost_estimate,'Time-series parameters'!$B$11:$C$89,2,FALSE)*$B66,0))</f>
        <v>0</v>
      </c>
      <c r="G66" s="97">
        <f>IF(Option1="No",0,IF($A66&lt;ImplementationYear,0,IF($A66&gt;(ImplementationYear+(Appraisal_Period-1)),0,Health!$D$21*$B66)))</f>
        <v>0</v>
      </c>
      <c r="H66" s="97">
        <f>IF(Option1="No",0,IF($A66&lt;ImplementationYear,0,IF($A66&gt;(ImplementationYear+(Appraisal_Period-1)),0,Health!$D$22*$B66)))</f>
        <v>0</v>
      </c>
      <c r="I66" s="97">
        <f>IF(Option1="No",0,IF($A66&lt;ImplementationYear,0,IF($A66&gt;(ImplementationYear+(Appraisal_Period-1)),0,SUM('Travel time'!$D$22:$D$23)*$B66)))</f>
        <v>0</v>
      </c>
      <c r="J66" s="97">
        <f>IF(Option1="No",0,IF($A66&lt;ImplementationYear,0,IF($A66&gt;(ImplementationYear+(Appraisal_Period-1)),0,SUM('Travel time'!$D$20:$D$21)*$B66)))</f>
        <v>0</v>
      </c>
      <c r="K66" s="97">
        <f>IF(Option1="No",0,IF($A66&lt;ImplementationYear,0,IF($A66&gt;(ImplementationYear+(Appraisal_Period-1)),0,SUM(Quality!$D$22:$D$23)*$B66)))</f>
        <v>0</v>
      </c>
      <c r="L66" s="97">
        <f>IF(Option1="No",0,IF($A66&lt;ImplementationYear,0,IF($A66&gt;(ImplementationYear+(Appraisal_Period-1)),0,SUM(Quality!$D$20:$D$21)*$B66)))</f>
        <v>0</v>
      </c>
      <c r="M66" s="97">
        <f>IF(Option1="No",0,IF($A66&lt;ImplementationYear,0,IF($A66&gt;(ImplementationYear+(Appraisal_Period-1)),0,'Mode change'!$D$36*$B66)))</f>
        <v>0</v>
      </c>
      <c r="N66" s="97">
        <f>IF(Option1="No",0,IF($A66&lt;ImplementationYear,0,IF($A66&gt;(ImplementationYear+(Appraisal_Period-1)),0,'Mode change'!$D$37*$B66)))</f>
        <v>0</v>
      </c>
      <c r="O66" s="97">
        <f>IF(Option1="No",0,IF($A66&lt;ImplementationYear,0,IF($A66&gt;(ImplementationYear+(Appraisal_Period-1)),0,'Road safety'!$D$22*$B66)))</f>
        <v>0</v>
      </c>
      <c r="P66" s="97">
        <f>IF(Option1="No",0,IF($A66&lt;ImplementationYear,0,IF($A66&gt;(ImplementationYear+(Appraisal_Period-1)),0,'Reduction in car usage'!$D$46*$B66)))</f>
        <v>0</v>
      </c>
      <c r="Q66" s="97">
        <f>IF(Option1="No",0,IF($A66&lt;ImplementationYear,0,IF($A66&gt;(ImplementationYear+(Appraisal_Period-1)),0,'Reduction in car usage'!$D$47*$B66)))</f>
        <v>0</v>
      </c>
      <c r="R66" s="97">
        <f>IF(Option1="No",0,IF($A66&lt;ImplementationYear,0,IF($A66&gt;(ImplementationYear+(Appraisal_Period-1)),0,'Reduction in car usage'!$D$48*$B66)))</f>
        <v>0</v>
      </c>
      <c r="S66" s="92"/>
      <c r="T66" s="94">
        <f>IF(Option2="No",0,IF($A66=ImplementationYear,('Project details'!$L$10-'Project details'!$D$10)*VLOOKUP(Year_cost_estimate,'Time-series parameters'!$B$11:$C$89,2,FALSE)*$B66*(1+Contingency),0))</f>
        <v>0</v>
      </c>
      <c r="U66" s="94">
        <f>IF(Option2="No",0,IF($A66&lt;ImplementationYear,0,IF($A66&gt;(ImplementationYear+(Appraisal_Period-1)),0,('Project details'!$L$11-'Project details'!$D$11)*VLOOKUP(Year_cost_estimate,'Time-series parameters'!$B$11:$C$89,2,0))*$B66))</f>
        <v>0</v>
      </c>
      <c r="V66" s="94">
        <f>IF(Option2="No",0,IF($A66=ImplementationYear,('Project details'!$L$12-'Project details'!$D$12)*VLOOKUP(Year_cost_estimate,'Time-series parameters'!$B$11:$C$89,2,FALSE)*$B66,0))</f>
        <v>0</v>
      </c>
      <c r="W66" s="97">
        <f>IF(Option2="No",0,IF($A66&lt;ImplementationYear,0,IF($A66&gt;(ImplementationYear+(Appraisal_Period-1)),0,Health!$E$21*$B66)))</f>
        <v>0</v>
      </c>
      <c r="X66" s="97">
        <f>IF(Option2="No",0,IF($A66&lt;ImplementationYear,0,IF($A66&gt;(ImplementationYear+(Appraisal_Period-1)),0,Health!$E$22*$B66)))</f>
        <v>0</v>
      </c>
      <c r="Y66" s="97">
        <f>IF(Option2="No",0,IF($A66&lt;ImplementationYear,0,IF($A66&gt;(ImplementationYear+(Appraisal_Period-1)),0,SUM('Travel time'!$E$22:$E$23)*$B66)))</f>
        <v>0</v>
      </c>
      <c r="Z66" s="97">
        <f>IF(Option2="No",0,IF($A66&lt;ImplementationYear,0,IF($A66&gt;(ImplementationYear+(Appraisal_Period-1)),0,SUM('Travel time'!$E$20:$E$21)*$B66)))</f>
        <v>0</v>
      </c>
      <c r="AA66" s="97">
        <f>IF(Option2="No",0,IF($A66&lt;ImplementationYear,0,IF($A66&gt;(ImplementationYear+(Appraisal_Period-1)),0,SUM(Quality!$E$22:$E$23)*$B66)))</f>
        <v>0</v>
      </c>
      <c r="AB66" s="97">
        <f>IF(Option2="No",0,IF($A66&lt;ImplementationYear,0,IF($A66&gt;(ImplementationYear+(Appraisal_Period-1)),0,SUM(Quality!$E$20:$E$21)*$B66)))</f>
        <v>0</v>
      </c>
      <c r="AC66" s="97">
        <f>IF(Option2="No",0,IF($A66&lt;ImplementationYear,0,IF($A66&gt;(ImplementationYear+(Appraisal_Period-1)),0,'Mode change'!$E$36*$B66)))</f>
        <v>0</v>
      </c>
      <c r="AD66" s="97">
        <f>IF(Option2="No",0,IF($A66&lt;ImplementationYear,0,IF($A66&gt;(ImplementationYear+(Appraisal_Period-1)),0,'Mode change'!$E$37*$B66)))</f>
        <v>0</v>
      </c>
      <c r="AE66" s="97">
        <f>IF(Option2="No",0,IF($A66&lt;ImplementationYear,0,IF($A66&gt;(ImplementationYear+(Appraisal_Period-1)),0,'Road safety'!$E$22*$B66)))</f>
        <v>0</v>
      </c>
      <c r="AF66" s="97">
        <f>IF(Option2="No",0,IF($A66&lt;ImplementationYear,0,IF($A66&gt;(ImplementationYear+(Appraisal_Period-1)),0,'Reduction in car usage'!$E$46*$B66)))</f>
        <v>0</v>
      </c>
      <c r="AG66" s="97">
        <f>IF(Option2="No",0,IF($A66&lt;ImplementationYear,0,IF($A66&gt;(ImplementationYear+(Appraisal_Period-1)),0,'Reduction in car usage'!$E$47*$B66)))</f>
        <v>0</v>
      </c>
      <c r="AH66" s="97">
        <f>IF(Option2="No",0,IF($A66&lt;ImplementationYear,0,IF($A66&gt;(ImplementationYear+(Appraisal_Period-1)),0,'Reduction in car usage'!$E$48*$B66)))</f>
        <v>0</v>
      </c>
      <c r="AJ66" s="94">
        <f>IF(Option3="No",0,IF($A66=ImplementationYear,('Project details'!$P$10-'Project details'!$D$10)*VLOOKUP(Year_cost_estimate,'Time-series parameters'!$B$11:$C$89,2,FALSE)*$B66*(1+Contingency),0))</f>
        <v>0</v>
      </c>
      <c r="AK66" s="94">
        <f>IF(Option3="No",0,IF($A66&lt;ImplementationYear,0,IF($A66&gt;(ImplementationYear+(Appraisal_Period-1)),0,('Project details'!$P$11-'Project details'!$D$11)*VLOOKUP(Year_cost_estimate,'Time-series parameters'!$B$11:$C$89,2,0))*$B66))</f>
        <v>0</v>
      </c>
      <c r="AL66" s="94">
        <f>IF(Option3="No",0,IF($A66=ImplementationYear,('Project details'!$P$12-'Project details'!$D$12)*VLOOKUP(Year_cost_estimate,'Time-series parameters'!$B$11:$C$89,2,FALSE)*$B66,0))</f>
        <v>0</v>
      </c>
      <c r="AM66" s="97">
        <f>IF(Option3="No",0,IF($A66&lt;ImplementationYear,0,IF($A66&gt;(ImplementationYear+(Appraisal_Period-1)),0,Health!$F$21*$B66)))</f>
        <v>0</v>
      </c>
      <c r="AN66" s="97">
        <f>IF(Option3="No",0,IF($A66&lt;ImplementationYear,0,IF($A66&gt;(ImplementationYear+(Appraisal_Period-1)),0,Health!$F$22*$B66)))</f>
        <v>0</v>
      </c>
      <c r="AO66" s="97">
        <f>IF(Option3="No",0,IF($A66&lt;ImplementationYear,0,IF($A66&gt;(ImplementationYear+(Appraisal_Period-1)),0,SUM('Travel time'!$F$22:$F$23)*$B66)))</f>
        <v>0</v>
      </c>
      <c r="AP66" s="97">
        <f>IF(Option3="No",0,IF($A66&lt;ImplementationYear,0,IF($A66&gt;(ImplementationYear+(Appraisal_Period-1)),0,SUM('Travel time'!$F$20:$F$21)*$B66)))</f>
        <v>0</v>
      </c>
      <c r="AQ66" s="97">
        <f>IF(Option3="No",0,IF($A66&lt;ImplementationYear,0,IF($A66&gt;(ImplementationYear+(Appraisal_Period-1)),0,SUM(Quality!$F$22:$F$23)*$B66)))</f>
        <v>0</v>
      </c>
      <c r="AR66" s="97">
        <f>IF(Option3="No",0,IF($A66&lt;ImplementationYear,0,IF($A66&gt;(ImplementationYear+(Appraisal_Period-1)),0,SUM(Quality!$F$20:$F$21)*$B66)))</f>
        <v>0</v>
      </c>
      <c r="AS66" s="97">
        <f>IF(Option3="No",0,IF($A66&lt;ImplementationYear,0,IF($A66&gt;(ImplementationYear+(Appraisal_Period-1)),0,'Mode change'!$F$36*$B66)))</f>
        <v>0</v>
      </c>
      <c r="AT66" s="97">
        <f>IF(Option3="No",0,IF($A66&lt;ImplementationYear,0,IF($A66&gt;(ImplementationYear+(Appraisal_Period-1)),0,'Mode change'!$F$37*$B66)))</f>
        <v>0</v>
      </c>
      <c r="AU66" s="97">
        <f>IF(Option3="No",0,IF($A66&lt;ImplementationYear,0,IF($A66&gt;(ImplementationYear+(Appraisal_Period-1)),0,'Road safety'!$F$22*$B66)))</f>
        <v>0</v>
      </c>
      <c r="AV66" s="97">
        <f>IF(Option3="No",0,IF($A66&lt;ImplementationYear,0,IF($A66&gt;(ImplementationYear+(Appraisal_Period-1)),0,'Reduction in car usage'!$F$46*$B66)))</f>
        <v>0</v>
      </c>
      <c r="AW66" s="97">
        <f>IF(Option3="No",0,IF($A66&lt;ImplementationYear,0,IF($A66&gt;(ImplementationYear+(Appraisal_Period-1)),0,'Reduction in car usage'!$F$47*$B66)))</f>
        <v>0</v>
      </c>
      <c r="AX66" s="97">
        <f>IF(Option3="No",0,IF($A66&lt;ImplementationYear,0,IF($A66&gt;(ImplementationYear+(Appraisal_Period-1)),0,'Reduction in car usage'!$F$48*$B66)))</f>
        <v>0</v>
      </c>
    </row>
    <row r="67" spans="1:50">
      <c r="A67" s="335">
        <v>2062</v>
      </c>
      <c r="B67" s="62">
        <f>VLOOKUP($A67,'Time-series parameters'!$E$11:$H$89,2,FALSE)</f>
        <v>1.4229157765295999E-2</v>
      </c>
      <c r="C67" s="89"/>
      <c r="D67" s="94">
        <f>IF(Option1="No",0,IF($A67=ImplementationYear,('Project details'!$H$10-'Project details'!$D$10)*VLOOKUP(Year_cost_estimate,'Time-series parameters'!$B$11:$C$89,2,FALSE)*$B67*(1+Contingency),0))</f>
        <v>0</v>
      </c>
      <c r="E67" s="94">
        <f>IF(Option1="No",0,IF($A67&lt;ImplementationYear,0,IF($A67&gt;(ImplementationYear+(Appraisal_Period-1)),0,('Project details'!$H$11-'Project details'!$D$11)*VLOOKUP(Year_cost_estimate,'Time-series parameters'!$B$11:$C$89,2,0))*$B67))</f>
        <v>0</v>
      </c>
      <c r="F67" s="94">
        <f>IF(Option1="No",0,IF($A67=ImplementationYear,('Project details'!$H$12-'Project details'!$D$12)*VLOOKUP(Year_cost_estimate,'Time-series parameters'!$B$11:$C$89,2,FALSE)*$B67,0))</f>
        <v>0</v>
      </c>
      <c r="G67" s="97">
        <f>IF(Option1="No",0,IF($A67&lt;ImplementationYear,0,IF($A67&gt;(ImplementationYear+(Appraisal_Period-1)),0,Health!$D$21*$B67)))</f>
        <v>0</v>
      </c>
      <c r="H67" s="97">
        <f>IF(Option1="No",0,IF($A67&lt;ImplementationYear,0,IF($A67&gt;(ImplementationYear+(Appraisal_Period-1)),0,Health!$D$22*$B67)))</f>
        <v>0</v>
      </c>
      <c r="I67" s="97">
        <f>IF(Option1="No",0,IF($A67&lt;ImplementationYear,0,IF($A67&gt;(ImplementationYear+(Appraisal_Period-1)),0,SUM('Travel time'!$D$22:$D$23)*$B67)))</f>
        <v>0</v>
      </c>
      <c r="J67" s="97">
        <f>IF(Option1="No",0,IF($A67&lt;ImplementationYear,0,IF($A67&gt;(ImplementationYear+(Appraisal_Period-1)),0,SUM('Travel time'!$D$20:$D$21)*$B67)))</f>
        <v>0</v>
      </c>
      <c r="K67" s="97">
        <f>IF(Option1="No",0,IF($A67&lt;ImplementationYear,0,IF($A67&gt;(ImplementationYear+(Appraisal_Period-1)),0,SUM(Quality!$D$22:$D$23)*$B67)))</f>
        <v>0</v>
      </c>
      <c r="L67" s="97">
        <f>IF(Option1="No",0,IF($A67&lt;ImplementationYear,0,IF($A67&gt;(ImplementationYear+(Appraisal_Period-1)),0,SUM(Quality!$D$20:$D$21)*$B67)))</f>
        <v>0</v>
      </c>
      <c r="M67" s="97">
        <f>IF(Option1="No",0,IF($A67&lt;ImplementationYear,0,IF($A67&gt;(ImplementationYear+(Appraisal_Period-1)),0,'Mode change'!$D$36*$B67)))</f>
        <v>0</v>
      </c>
      <c r="N67" s="97">
        <f>IF(Option1="No",0,IF($A67&lt;ImplementationYear,0,IF($A67&gt;(ImplementationYear+(Appraisal_Period-1)),0,'Mode change'!$D$37*$B67)))</f>
        <v>0</v>
      </c>
      <c r="O67" s="97">
        <f>IF(Option1="No",0,IF($A67&lt;ImplementationYear,0,IF($A67&gt;(ImplementationYear+(Appraisal_Period-1)),0,'Road safety'!$D$22*$B67)))</f>
        <v>0</v>
      </c>
      <c r="P67" s="97">
        <f>IF(Option1="No",0,IF($A67&lt;ImplementationYear,0,IF($A67&gt;(ImplementationYear+(Appraisal_Period-1)),0,'Reduction in car usage'!$D$46*$B67)))</f>
        <v>0</v>
      </c>
      <c r="Q67" s="97">
        <f>IF(Option1="No",0,IF($A67&lt;ImplementationYear,0,IF($A67&gt;(ImplementationYear+(Appraisal_Period-1)),0,'Reduction in car usage'!$D$47*$B67)))</f>
        <v>0</v>
      </c>
      <c r="R67" s="97">
        <f>IF(Option1="No",0,IF($A67&lt;ImplementationYear,0,IF($A67&gt;(ImplementationYear+(Appraisal_Period-1)),0,'Reduction in car usage'!$D$48*$B67)))</f>
        <v>0</v>
      </c>
      <c r="S67" s="92"/>
      <c r="T67" s="94">
        <f>IF(Option2="No",0,IF($A67=ImplementationYear,('Project details'!$L$10-'Project details'!$D$10)*VLOOKUP(Year_cost_estimate,'Time-series parameters'!$B$11:$C$89,2,FALSE)*$B67*(1+Contingency),0))</f>
        <v>0</v>
      </c>
      <c r="U67" s="94">
        <f>IF(Option2="No",0,IF($A67&lt;ImplementationYear,0,IF($A67&gt;(ImplementationYear+(Appraisal_Period-1)),0,('Project details'!$L$11-'Project details'!$D$11)*VLOOKUP(Year_cost_estimate,'Time-series parameters'!$B$11:$C$89,2,0))*$B67))</f>
        <v>0</v>
      </c>
      <c r="V67" s="94">
        <f>IF(Option2="No",0,IF($A67=ImplementationYear,('Project details'!$L$12-'Project details'!$D$12)*VLOOKUP(Year_cost_estimate,'Time-series parameters'!$B$11:$C$89,2,FALSE)*$B67,0))</f>
        <v>0</v>
      </c>
      <c r="W67" s="97">
        <f>IF(Option2="No",0,IF($A67&lt;ImplementationYear,0,IF($A67&gt;(ImplementationYear+(Appraisal_Period-1)),0,Health!$E$21*$B67)))</f>
        <v>0</v>
      </c>
      <c r="X67" s="97">
        <f>IF(Option2="No",0,IF($A67&lt;ImplementationYear,0,IF($A67&gt;(ImplementationYear+(Appraisal_Period-1)),0,Health!$E$22*$B67)))</f>
        <v>0</v>
      </c>
      <c r="Y67" s="97">
        <f>IF(Option2="No",0,IF($A67&lt;ImplementationYear,0,IF($A67&gt;(ImplementationYear+(Appraisal_Period-1)),0,SUM('Travel time'!$E$22:$E$23)*$B67)))</f>
        <v>0</v>
      </c>
      <c r="Z67" s="97">
        <f>IF(Option2="No",0,IF($A67&lt;ImplementationYear,0,IF($A67&gt;(ImplementationYear+(Appraisal_Period-1)),0,SUM('Travel time'!$E$20:$E$21)*$B67)))</f>
        <v>0</v>
      </c>
      <c r="AA67" s="97">
        <f>IF(Option2="No",0,IF($A67&lt;ImplementationYear,0,IF($A67&gt;(ImplementationYear+(Appraisal_Period-1)),0,SUM(Quality!$E$22:$E$23)*$B67)))</f>
        <v>0</v>
      </c>
      <c r="AB67" s="97">
        <f>IF(Option2="No",0,IF($A67&lt;ImplementationYear,0,IF($A67&gt;(ImplementationYear+(Appraisal_Period-1)),0,SUM(Quality!$E$20:$E$21)*$B67)))</f>
        <v>0</v>
      </c>
      <c r="AC67" s="97">
        <f>IF(Option2="No",0,IF($A67&lt;ImplementationYear,0,IF($A67&gt;(ImplementationYear+(Appraisal_Period-1)),0,'Mode change'!$E$36*$B67)))</f>
        <v>0</v>
      </c>
      <c r="AD67" s="97">
        <f>IF(Option2="No",0,IF($A67&lt;ImplementationYear,0,IF($A67&gt;(ImplementationYear+(Appraisal_Period-1)),0,'Mode change'!$E$37*$B67)))</f>
        <v>0</v>
      </c>
      <c r="AE67" s="97">
        <f>IF(Option2="No",0,IF($A67&lt;ImplementationYear,0,IF($A67&gt;(ImplementationYear+(Appraisal_Period-1)),0,'Road safety'!$E$22*$B67)))</f>
        <v>0</v>
      </c>
      <c r="AF67" s="97">
        <f>IF(Option2="No",0,IF($A67&lt;ImplementationYear,0,IF($A67&gt;(ImplementationYear+(Appraisal_Period-1)),0,'Reduction in car usage'!$E$46*$B67)))</f>
        <v>0</v>
      </c>
      <c r="AG67" s="97">
        <f>IF(Option2="No",0,IF($A67&lt;ImplementationYear,0,IF($A67&gt;(ImplementationYear+(Appraisal_Period-1)),0,'Reduction in car usage'!$E$47*$B67)))</f>
        <v>0</v>
      </c>
      <c r="AH67" s="97">
        <f>IF(Option2="No",0,IF($A67&lt;ImplementationYear,0,IF($A67&gt;(ImplementationYear+(Appraisal_Period-1)),0,'Reduction in car usage'!$E$48*$B67)))</f>
        <v>0</v>
      </c>
      <c r="AJ67" s="94">
        <f>IF(Option3="No",0,IF($A67=ImplementationYear,('Project details'!$P$10-'Project details'!$D$10)*VLOOKUP(Year_cost_estimate,'Time-series parameters'!$B$11:$C$89,2,FALSE)*$B67*(1+Contingency),0))</f>
        <v>0</v>
      </c>
      <c r="AK67" s="94">
        <f>IF(Option3="No",0,IF($A67&lt;ImplementationYear,0,IF($A67&gt;(ImplementationYear+(Appraisal_Period-1)),0,('Project details'!$P$11-'Project details'!$D$11)*VLOOKUP(Year_cost_estimate,'Time-series parameters'!$B$11:$C$89,2,0))*$B67))</f>
        <v>0</v>
      </c>
      <c r="AL67" s="94">
        <f>IF(Option3="No",0,IF($A67=ImplementationYear,('Project details'!$P$12-'Project details'!$D$12)*VLOOKUP(Year_cost_estimate,'Time-series parameters'!$B$11:$C$89,2,FALSE)*$B67,0))</f>
        <v>0</v>
      </c>
      <c r="AM67" s="97">
        <f>IF(Option3="No",0,IF($A67&lt;ImplementationYear,0,IF($A67&gt;(ImplementationYear+(Appraisal_Period-1)),0,Health!$F$21*$B67)))</f>
        <v>0</v>
      </c>
      <c r="AN67" s="97">
        <f>IF(Option3="No",0,IF($A67&lt;ImplementationYear,0,IF($A67&gt;(ImplementationYear+(Appraisal_Period-1)),0,Health!$F$22*$B67)))</f>
        <v>0</v>
      </c>
      <c r="AO67" s="97">
        <f>IF(Option3="No",0,IF($A67&lt;ImplementationYear,0,IF($A67&gt;(ImplementationYear+(Appraisal_Period-1)),0,SUM('Travel time'!$F$22:$F$23)*$B67)))</f>
        <v>0</v>
      </c>
      <c r="AP67" s="97">
        <f>IF(Option3="No",0,IF($A67&lt;ImplementationYear,0,IF($A67&gt;(ImplementationYear+(Appraisal_Period-1)),0,SUM('Travel time'!$F$20:$F$21)*$B67)))</f>
        <v>0</v>
      </c>
      <c r="AQ67" s="97">
        <f>IF(Option3="No",0,IF($A67&lt;ImplementationYear,0,IF($A67&gt;(ImplementationYear+(Appraisal_Period-1)),0,SUM(Quality!$F$22:$F$23)*$B67)))</f>
        <v>0</v>
      </c>
      <c r="AR67" s="97">
        <f>IF(Option3="No",0,IF($A67&lt;ImplementationYear,0,IF($A67&gt;(ImplementationYear+(Appraisal_Period-1)),0,SUM(Quality!$F$20:$F$21)*$B67)))</f>
        <v>0</v>
      </c>
      <c r="AS67" s="97">
        <f>IF(Option3="No",0,IF($A67&lt;ImplementationYear,0,IF($A67&gt;(ImplementationYear+(Appraisal_Period-1)),0,'Mode change'!$F$36*$B67)))</f>
        <v>0</v>
      </c>
      <c r="AT67" s="97">
        <f>IF(Option3="No",0,IF($A67&lt;ImplementationYear,0,IF($A67&gt;(ImplementationYear+(Appraisal_Period-1)),0,'Mode change'!$F$37*$B67)))</f>
        <v>0</v>
      </c>
      <c r="AU67" s="97">
        <f>IF(Option3="No",0,IF($A67&lt;ImplementationYear,0,IF($A67&gt;(ImplementationYear+(Appraisal_Period-1)),0,'Road safety'!$F$22*$B67)))</f>
        <v>0</v>
      </c>
      <c r="AV67" s="97">
        <f>IF(Option3="No",0,IF($A67&lt;ImplementationYear,0,IF($A67&gt;(ImplementationYear+(Appraisal_Period-1)),0,'Reduction in car usage'!$F$46*$B67)))</f>
        <v>0</v>
      </c>
      <c r="AW67" s="97">
        <f>IF(Option3="No",0,IF($A67&lt;ImplementationYear,0,IF($A67&gt;(ImplementationYear+(Appraisal_Period-1)),0,'Reduction in car usage'!$F$47*$B67)))</f>
        <v>0</v>
      </c>
      <c r="AX67" s="97">
        <f>IF(Option3="No",0,IF($A67&lt;ImplementationYear,0,IF($A67&gt;(ImplementationYear+(Appraisal_Period-1)),0,'Reduction in car usage'!$F$48*$B67)))</f>
        <v>0</v>
      </c>
    </row>
    <row r="68" spans="1:50">
      <c r="A68" s="335">
        <v>2063</v>
      </c>
      <c r="B68" s="62">
        <f>VLOOKUP($A68,'Time-series parameters'!$E$11:$H$89,2,FALSE)</f>
        <v>1.3090825144072319E-2</v>
      </c>
      <c r="C68" s="89"/>
      <c r="D68" s="94">
        <f>IF(Option1="No",0,IF($A68=ImplementationYear,('Project details'!$H$10-'Project details'!$D$10)*VLOOKUP(Year_cost_estimate,'Time-series parameters'!$B$11:$C$89,2,FALSE)*$B68*(1+Contingency),0))</f>
        <v>0</v>
      </c>
      <c r="E68" s="94">
        <f>IF(Option1="No",0,IF($A68&lt;ImplementationYear,0,IF($A68&gt;(ImplementationYear+(Appraisal_Period-1)),0,('Project details'!$H$11-'Project details'!$D$11)*VLOOKUP(Year_cost_estimate,'Time-series parameters'!$B$11:$C$89,2,0))*$B68))</f>
        <v>0</v>
      </c>
      <c r="F68" s="94">
        <f>IF(Option1="No",0,IF($A68=ImplementationYear,('Project details'!$H$12-'Project details'!$D$12)*VLOOKUP(Year_cost_estimate,'Time-series parameters'!$B$11:$C$89,2,FALSE)*$B68,0))</f>
        <v>0</v>
      </c>
      <c r="G68" s="97">
        <f>IF(Option1="No",0,IF($A68&lt;ImplementationYear,0,IF($A68&gt;(ImplementationYear+(Appraisal_Period-1)),0,Health!$D$21*$B68)))</f>
        <v>0</v>
      </c>
      <c r="H68" s="97">
        <f>IF(Option1="No",0,IF($A68&lt;ImplementationYear,0,IF($A68&gt;(ImplementationYear+(Appraisal_Period-1)),0,Health!$D$22*$B68)))</f>
        <v>0</v>
      </c>
      <c r="I68" s="97">
        <f>IF(Option1="No",0,IF($A68&lt;ImplementationYear,0,IF($A68&gt;(ImplementationYear+(Appraisal_Period-1)),0,SUM('Travel time'!$D$22:$D$23)*$B68)))</f>
        <v>0</v>
      </c>
      <c r="J68" s="97">
        <f>IF(Option1="No",0,IF($A68&lt;ImplementationYear,0,IF($A68&gt;(ImplementationYear+(Appraisal_Period-1)),0,SUM('Travel time'!$D$20:$D$21)*$B68)))</f>
        <v>0</v>
      </c>
      <c r="K68" s="97">
        <f>IF(Option1="No",0,IF($A68&lt;ImplementationYear,0,IF($A68&gt;(ImplementationYear+(Appraisal_Period-1)),0,SUM(Quality!$D$22:$D$23)*$B68)))</f>
        <v>0</v>
      </c>
      <c r="L68" s="97">
        <f>IF(Option1="No",0,IF($A68&lt;ImplementationYear,0,IF($A68&gt;(ImplementationYear+(Appraisal_Period-1)),0,SUM(Quality!$D$20:$D$21)*$B68)))</f>
        <v>0</v>
      </c>
      <c r="M68" s="97">
        <f>IF(Option1="No",0,IF($A68&lt;ImplementationYear,0,IF($A68&gt;(ImplementationYear+(Appraisal_Period-1)),0,'Mode change'!$D$36*$B68)))</f>
        <v>0</v>
      </c>
      <c r="N68" s="97">
        <f>IF(Option1="No",0,IF($A68&lt;ImplementationYear,0,IF($A68&gt;(ImplementationYear+(Appraisal_Period-1)),0,'Mode change'!$D$37*$B68)))</f>
        <v>0</v>
      </c>
      <c r="O68" s="97">
        <f>IF(Option1="No",0,IF($A68&lt;ImplementationYear,0,IF($A68&gt;(ImplementationYear+(Appraisal_Period-1)),0,'Road safety'!$D$22*$B68)))</f>
        <v>0</v>
      </c>
      <c r="P68" s="97">
        <f>IF(Option1="No",0,IF($A68&lt;ImplementationYear,0,IF($A68&gt;(ImplementationYear+(Appraisal_Period-1)),0,'Reduction in car usage'!$D$46*$B68)))</f>
        <v>0</v>
      </c>
      <c r="Q68" s="97">
        <f>IF(Option1="No",0,IF($A68&lt;ImplementationYear,0,IF($A68&gt;(ImplementationYear+(Appraisal_Period-1)),0,'Reduction in car usage'!$D$47*$B68)))</f>
        <v>0</v>
      </c>
      <c r="R68" s="97">
        <f>IF(Option1="No",0,IF($A68&lt;ImplementationYear,0,IF($A68&gt;(ImplementationYear+(Appraisal_Period-1)),0,'Reduction in car usage'!$D$48*$B68)))</f>
        <v>0</v>
      </c>
      <c r="S68" s="92"/>
      <c r="T68" s="94">
        <f>IF(Option2="No",0,IF($A68=ImplementationYear,('Project details'!$L$10-'Project details'!$D$10)*VLOOKUP(Year_cost_estimate,'Time-series parameters'!$B$11:$C$89,2,FALSE)*$B68*(1+Contingency),0))</f>
        <v>0</v>
      </c>
      <c r="U68" s="94">
        <f>IF(Option2="No",0,IF($A68&lt;ImplementationYear,0,IF($A68&gt;(ImplementationYear+(Appraisal_Period-1)),0,('Project details'!$L$11-'Project details'!$D$11)*VLOOKUP(Year_cost_estimate,'Time-series parameters'!$B$11:$C$89,2,0))*$B68))</f>
        <v>0</v>
      </c>
      <c r="V68" s="94">
        <f>IF(Option2="No",0,IF($A68=ImplementationYear,('Project details'!$L$12-'Project details'!$D$12)*VLOOKUP(Year_cost_estimate,'Time-series parameters'!$B$11:$C$89,2,FALSE)*$B68,0))</f>
        <v>0</v>
      </c>
      <c r="W68" s="97">
        <f>IF(Option2="No",0,IF($A68&lt;ImplementationYear,0,IF($A68&gt;(ImplementationYear+(Appraisal_Period-1)),0,Health!$E$21*$B68)))</f>
        <v>0</v>
      </c>
      <c r="X68" s="97">
        <f>IF(Option2="No",0,IF($A68&lt;ImplementationYear,0,IF($A68&gt;(ImplementationYear+(Appraisal_Period-1)),0,Health!$E$22*$B68)))</f>
        <v>0</v>
      </c>
      <c r="Y68" s="97">
        <f>IF(Option2="No",0,IF($A68&lt;ImplementationYear,0,IF($A68&gt;(ImplementationYear+(Appraisal_Period-1)),0,SUM('Travel time'!$E$22:$E$23)*$B68)))</f>
        <v>0</v>
      </c>
      <c r="Z68" s="97">
        <f>IF(Option2="No",0,IF($A68&lt;ImplementationYear,0,IF($A68&gt;(ImplementationYear+(Appraisal_Period-1)),0,SUM('Travel time'!$E$20:$E$21)*$B68)))</f>
        <v>0</v>
      </c>
      <c r="AA68" s="97">
        <f>IF(Option2="No",0,IF($A68&lt;ImplementationYear,0,IF($A68&gt;(ImplementationYear+(Appraisal_Period-1)),0,SUM(Quality!$E$22:$E$23)*$B68)))</f>
        <v>0</v>
      </c>
      <c r="AB68" s="97">
        <f>IF(Option2="No",0,IF($A68&lt;ImplementationYear,0,IF($A68&gt;(ImplementationYear+(Appraisal_Period-1)),0,SUM(Quality!$E$20:$E$21)*$B68)))</f>
        <v>0</v>
      </c>
      <c r="AC68" s="97">
        <f>IF(Option2="No",0,IF($A68&lt;ImplementationYear,0,IF($A68&gt;(ImplementationYear+(Appraisal_Period-1)),0,'Mode change'!$E$36*$B68)))</f>
        <v>0</v>
      </c>
      <c r="AD68" s="97">
        <f>IF(Option2="No",0,IF($A68&lt;ImplementationYear,0,IF($A68&gt;(ImplementationYear+(Appraisal_Period-1)),0,'Mode change'!$E$37*$B68)))</f>
        <v>0</v>
      </c>
      <c r="AE68" s="97">
        <f>IF(Option2="No",0,IF($A68&lt;ImplementationYear,0,IF($A68&gt;(ImplementationYear+(Appraisal_Period-1)),0,'Road safety'!$E$22*$B68)))</f>
        <v>0</v>
      </c>
      <c r="AF68" s="97">
        <f>IF(Option2="No",0,IF($A68&lt;ImplementationYear,0,IF($A68&gt;(ImplementationYear+(Appraisal_Period-1)),0,'Reduction in car usage'!$E$46*$B68)))</f>
        <v>0</v>
      </c>
      <c r="AG68" s="97">
        <f>IF(Option2="No",0,IF($A68&lt;ImplementationYear,0,IF($A68&gt;(ImplementationYear+(Appraisal_Period-1)),0,'Reduction in car usage'!$E$47*$B68)))</f>
        <v>0</v>
      </c>
      <c r="AH68" s="97">
        <f>IF(Option2="No",0,IF($A68&lt;ImplementationYear,0,IF($A68&gt;(ImplementationYear+(Appraisal_Period-1)),0,'Reduction in car usage'!$E$48*$B68)))</f>
        <v>0</v>
      </c>
      <c r="AJ68" s="94">
        <f>IF(Option3="No",0,IF($A68=ImplementationYear,('Project details'!$P$10-'Project details'!$D$10)*VLOOKUP(Year_cost_estimate,'Time-series parameters'!$B$11:$C$89,2,FALSE)*$B68*(1+Contingency),0))</f>
        <v>0</v>
      </c>
      <c r="AK68" s="94">
        <f>IF(Option3="No",0,IF($A68&lt;ImplementationYear,0,IF($A68&gt;(ImplementationYear+(Appraisal_Period-1)),0,('Project details'!$P$11-'Project details'!$D$11)*VLOOKUP(Year_cost_estimate,'Time-series parameters'!$B$11:$C$89,2,0))*$B68))</f>
        <v>0</v>
      </c>
      <c r="AL68" s="94">
        <f>IF(Option3="No",0,IF($A68=ImplementationYear,('Project details'!$P$12-'Project details'!$D$12)*VLOOKUP(Year_cost_estimate,'Time-series parameters'!$B$11:$C$89,2,FALSE)*$B68,0))</f>
        <v>0</v>
      </c>
      <c r="AM68" s="97">
        <f>IF(Option3="No",0,IF($A68&lt;ImplementationYear,0,IF($A68&gt;(ImplementationYear+(Appraisal_Period-1)),0,Health!$F$21*$B68)))</f>
        <v>0</v>
      </c>
      <c r="AN68" s="97">
        <f>IF(Option3="No",0,IF($A68&lt;ImplementationYear,0,IF($A68&gt;(ImplementationYear+(Appraisal_Period-1)),0,Health!$F$22*$B68)))</f>
        <v>0</v>
      </c>
      <c r="AO68" s="97">
        <f>IF(Option3="No",0,IF($A68&lt;ImplementationYear,0,IF($A68&gt;(ImplementationYear+(Appraisal_Period-1)),0,SUM('Travel time'!$F$22:$F$23)*$B68)))</f>
        <v>0</v>
      </c>
      <c r="AP68" s="97">
        <f>IF(Option3="No",0,IF($A68&lt;ImplementationYear,0,IF($A68&gt;(ImplementationYear+(Appraisal_Period-1)),0,SUM('Travel time'!$F$20:$F$21)*$B68)))</f>
        <v>0</v>
      </c>
      <c r="AQ68" s="97">
        <f>IF(Option3="No",0,IF($A68&lt;ImplementationYear,0,IF($A68&gt;(ImplementationYear+(Appraisal_Period-1)),0,SUM(Quality!$F$22:$F$23)*$B68)))</f>
        <v>0</v>
      </c>
      <c r="AR68" s="97">
        <f>IF(Option3="No",0,IF($A68&lt;ImplementationYear,0,IF($A68&gt;(ImplementationYear+(Appraisal_Period-1)),0,SUM(Quality!$F$20:$F$21)*$B68)))</f>
        <v>0</v>
      </c>
      <c r="AS68" s="97">
        <f>IF(Option3="No",0,IF($A68&lt;ImplementationYear,0,IF($A68&gt;(ImplementationYear+(Appraisal_Period-1)),0,'Mode change'!$F$36*$B68)))</f>
        <v>0</v>
      </c>
      <c r="AT68" s="97">
        <f>IF(Option3="No",0,IF($A68&lt;ImplementationYear,0,IF($A68&gt;(ImplementationYear+(Appraisal_Period-1)),0,'Mode change'!$F$37*$B68)))</f>
        <v>0</v>
      </c>
      <c r="AU68" s="97">
        <f>IF(Option3="No",0,IF($A68&lt;ImplementationYear,0,IF($A68&gt;(ImplementationYear+(Appraisal_Period-1)),0,'Road safety'!$F$22*$B68)))</f>
        <v>0</v>
      </c>
      <c r="AV68" s="97">
        <f>IF(Option3="No",0,IF($A68&lt;ImplementationYear,0,IF($A68&gt;(ImplementationYear+(Appraisal_Period-1)),0,'Reduction in car usage'!$F$46*$B68)))</f>
        <v>0</v>
      </c>
      <c r="AW68" s="97">
        <f>IF(Option3="No",0,IF($A68&lt;ImplementationYear,0,IF($A68&gt;(ImplementationYear+(Appraisal_Period-1)),0,'Reduction in car usage'!$F$47*$B68)))</f>
        <v>0</v>
      </c>
      <c r="AX68" s="97">
        <f>IF(Option3="No",0,IF($A68&lt;ImplementationYear,0,IF($A68&gt;(ImplementationYear+(Appraisal_Period-1)),0,'Reduction in car usage'!$F$48*$B68)))</f>
        <v>0</v>
      </c>
    </row>
    <row r="69" spans="1:50">
      <c r="A69" s="335">
        <v>2064</v>
      </c>
      <c r="B69" s="62">
        <f>VLOOKUP($A69,'Time-series parameters'!$E$11:$H$89,2,FALSE)</f>
        <v>1.2043559132546533E-2</v>
      </c>
      <c r="C69" s="89"/>
      <c r="D69" s="94">
        <f>IF(Option1="No",0,IF($A69=ImplementationYear,('Project details'!$H$10-'Project details'!$D$10)*VLOOKUP(Year_cost_estimate,'Time-series parameters'!$B$11:$C$89,2,FALSE)*$B69*(1+Contingency),0))</f>
        <v>0</v>
      </c>
      <c r="E69" s="94">
        <f>IF(Option1="No",0,IF($A69&lt;ImplementationYear,0,IF($A69&gt;(ImplementationYear+(Appraisal_Period-1)),0,('Project details'!$H$11-'Project details'!$D$11)*VLOOKUP(Year_cost_estimate,'Time-series parameters'!$B$11:$C$89,2,0))*$B69))</f>
        <v>0</v>
      </c>
      <c r="F69" s="94">
        <f>IF(Option1="No",0,IF($A69=ImplementationYear,('Project details'!$H$12-'Project details'!$D$12)*VLOOKUP(Year_cost_estimate,'Time-series parameters'!$B$11:$C$89,2,FALSE)*$B69,0))</f>
        <v>0</v>
      </c>
      <c r="G69" s="97">
        <f>IF(Option1="No",0,IF($A69&lt;ImplementationYear,0,IF($A69&gt;(ImplementationYear+(Appraisal_Period-1)),0,Health!$D$21*$B69)))</f>
        <v>0</v>
      </c>
      <c r="H69" s="97">
        <f>IF(Option1="No",0,IF($A69&lt;ImplementationYear,0,IF($A69&gt;(ImplementationYear+(Appraisal_Period-1)),0,Health!$D$22*$B69)))</f>
        <v>0</v>
      </c>
      <c r="I69" s="97">
        <f>IF(Option1="No",0,IF($A69&lt;ImplementationYear,0,IF($A69&gt;(ImplementationYear+(Appraisal_Period-1)),0,SUM('Travel time'!$D$22:$D$23)*$B69)))</f>
        <v>0</v>
      </c>
      <c r="J69" s="97">
        <f>IF(Option1="No",0,IF($A69&lt;ImplementationYear,0,IF($A69&gt;(ImplementationYear+(Appraisal_Period-1)),0,SUM('Travel time'!$D$20:$D$21)*$B69)))</f>
        <v>0</v>
      </c>
      <c r="K69" s="97">
        <f>IF(Option1="No",0,IF($A69&lt;ImplementationYear,0,IF($A69&gt;(ImplementationYear+(Appraisal_Period-1)),0,SUM(Quality!$D$22:$D$23)*$B69)))</f>
        <v>0</v>
      </c>
      <c r="L69" s="97">
        <f>IF(Option1="No",0,IF($A69&lt;ImplementationYear,0,IF($A69&gt;(ImplementationYear+(Appraisal_Period-1)),0,SUM(Quality!$D$20:$D$21)*$B69)))</f>
        <v>0</v>
      </c>
      <c r="M69" s="97">
        <f>IF(Option1="No",0,IF($A69&lt;ImplementationYear,0,IF($A69&gt;(ImplementationYear+(Appraisal_Period-1)),0,'Mode change'!$D$36*$B69)))</f>
        <v>0</v>
      </c>
      <c r="N69" s="97">
        <f>IF(Option1="No",0,IF($A69&lt;ImplementationYear,0,IF($A69&gt;(ImplementationYear+(Appraisal_Period-1)),0,'Mode change'!$D$37*$B69)))</f>
        <v>0</v>
      </c>
      <c r="O69" s="97">
        <f>IF(Option1="No",0,IF($A69&lt;ImplementationYear,0,IF($A69&gt;(ImplementationYear+(Appraisal_Period-1)),0,'Road safety'!$D$22*$B69)))</f>
        <v>0</v>
      </c>
      <c r="P69" s="97">
        <f>IF(Option1="No",0,IF($A69&lt;ImplementationYear,0,IF($A69&gt;(ImplementationYear+(Appraisal_Period-1)),0,'Reduction in car usage'!$D$46*$B69)))</f>
        <v>0</v>
      </c>
      <c r="Q69" s="97">
        <f>IF(Option1="No",0,IF($A69&lt;ImplementationYear,0,IF($A69&gt;(ImplementationYear+(Appraisal_Period-1)),0,'Reduction in car usage'!$D$47*$B69)))</f>
        <v>0</v>
      </c>
      <c r="R69" s="97">
        <f>IF(Option1="No",0,IF($A69&lt;ImplementationYear,0,IF($A69&gt;(ImplementationYear+(Appraisal_Period-1)),0,'Reduction in car usage'!$D$48*$B69)))</f>
        <v>0</v>
      </c>
      <c r="S69" s="92"/>
      <c r="T69" s="94">
        <f>IF(Option2="No",0,IF($A69=ImplementationYear,('Project details'!$L$10-'Project details'!$D$10)*VLOOKUP(Year_cost_estimate,'Time-series parameters'!$B$11:$C$89,2,FALSE)*$B69*(1+Contingency),0))</f>
        <v>0</v>
      </c>
      <c r="U69" s="94">
        <f>IF(Option2="No",0,IF($A69&lt;ImplementationYear,0,IF($A69&gt;(ImplementationYear+(Appraisal_Period-1)),0,('Project details'!$L$11-'Project details'!$D$11)*VLOOKUP(Year_cost_estimate,'Time-series parameters'!$B$11:$C$89,2,0))*$B69))</f>
        <v>0</v>
      </c>
      <c r="V69" s="94">
        <f>IF(Option2="No",0,IF($A69=ImplementationYear,('Project details'!$L$12-'Project details'!$D$12)*VLOOKUP(Year_cost_estimate,'Time-series parameters'!$B$11:$C$89,2,FALSE)*$B69,0))</f>
        <v>0</v>
      </c>
      <c r="W69" s="97">
        <f>IF(Option2="No",0,IF($A69&lt;ImplementationYear,0,IF($A69&gt;(ImplementationYear+(Appraisal_Period-1)),0,Health!$E$21*$B69)))</f>
        <v>0</v>
      </c>
      <c r="X69" s="97">
        <f>IF(Option2="No",0,IF($A69&lt;ImplementationYear,0,IF($A69&gt;(ImplementationYear+(Appraisal_Period-1)),0,Health!$E$22*$B69)))</f>
        <v>0</v>
      </c>
      <c r="Y69" s="97">
        <f>IF(Option2="No",0,IF($A69&lt;ImplementationYear,0,IF($A69&gt;(ImplementationYear+(Appraisal_Period-1)),0,SUM('Travel time'!$E$22:$E$23)*$B69)))</f>
        <v>0</v>
      </c>
      <c r="Z69" s="97">
        <f>IF(Option2="No",0,IF($A69&lt;ImplementationYear,0,IF($A69&gt;(ImplementationYear+(Appraisal_Period-1)),0,SUM('Travel time'!$E$20:$E$21)*$B69)))</f>
        <v>0</v>
      </c>
      <c r="AA69" s="97">
        <f>IF(Option2="No",0,IF($A69&lt;ImplementationYear,0,IF($A69&gt;(ImplementationYear+(Appraisal_Period-1)),0,SUM(Quality!$E$22:$E$23)*$B69)))</f>
        <v>0</v>
      </c>
      <c r="AB69" s="97">
        <f>IF(Option2="No",0,IF($A69&lt;ImplementationYear,0,IF($A69&gt;(ImplementationYear+(Appraisal_Period-1)),0,SUM(Quality!$E$20:$E$21)*$B69)))</f>
        <v>0</v>
      </c>
      <c r="AC69" s="97">
        <f>IF(Option2="No",0,IF($A69&lt;ImplementationYear,0,IF($A69&gt;(ImplementationYear+(Appraisal_Period-1)),0,'Mode change'!$E$36*$B69)))</f>
        <v>0</v>
      </c>
      <c r="AD69" s="97">
        <f>IF(Option2="No",0,IF($A69&lt;ImplementationYear,0,IF($A69&gt;(ImplementationYear+(Appraisal_Period-1)),0,'Mode change'!$E$37*$B69)))</f>
        <v>0</v>
      </c>
      <c r="AE69" s="97">
        <f>IF(Option2="No",0,IF($A69&lt;ImplementationYear,0,IF($A69&gt;(ImplementationYear+(Appraisal_Period-1)),0,'Road safety'!$E$22*$B69)))</f>
        <v>0</v>
      </c>
      <c r="AF69" s="97">
        <f>IF(Option2="No",0,IF($A69&lt;ImplementationYear,0,IF($A69&gt;(ImplementationYear+(Appraisal_Period-1)),0,'Reduction in car usage'!$E$46*$B69)))</f>
        <v>0</v>
      </c>
      <c r="AG69" s="97">
        <f>IF(Option2="No",0,IF($A69&lt;ImplementationYear,0,IF($A69&gt;(ImplementationYear+(Appraisal_Period-1)),0,'Reduction in car usage'!$E$47*$B69)))</f>
        <v>0</v>
      </c>
      <c r="AH69" s="97">
        <f>IF(Option2="No",0,IF($A69&lt;ImplementationYear,0,IF($A69&gt;(ImplementationYear+(Appraisal_Period-1)),0,'Reduction in car usage'!$E$48*$B69)))</f>
        <v>0</v>
      </c>
      <c r="AJ69" s="94">
        <f>IF(Option3="No",0,IF($A69=ImplementationYear,('Project details'!$P$10-'Project details'!$D$10)*VLOOKUP(Year_cost_estimate,'Time-series parameters'!$B$11:$C$89,2,FALSE)*$B69*(1+Contingency),0))</f>
        <v>0</v>
      </c>
      <c r="AK69" s="94">
        <f>IF(Option3="No",0,IF($A69&lt;ImplementationYear,0,IF($A69&gt;(ImplementationYear+(Appraisal_Period-1)),0,('Project details'!$P$11-'Project details'!$D$11)*VLOOKUP(Year_cost_estimate,'Time-series parameters'!$B$11:$C$89,2,0))*$B69))</f>
        <v>0</v>
      </c>
      <c r="AL69" s="94">
        <f>IF(Option3="No",0,IF($A69=ImplementationYear,('Project details'!$P$12-'Project details'!$D$12)*VLOOKUP(Year_cost_estimate,'Time-series parameters'!$B$11:$C$89,2,FALSE)*$B69,0))</f>
        <v>0</v>
      </c>
      <c r="AM69" s="97">
        <f>IF(Option3="No",0,IF($A69&lt;ImplementationYear,0,IF($A69&gt;(ImplementationYear+(Appraisal_Period-1)),0,Health!$F$21*$B69)))</f>
        <v>0</v>
      </c>
      <c r="AN69" s="97">
        <f>IF(Option3="No",0,IF($A69&lt;ImplementationYear,0,IF($A69&gt;(ImplementationYear+(Appraisal_Period-1)),0,Health!$F$22*$B69)))</f>
        <v>0</v>
      </c>
      <c r="AO69" s="97">
        <f>IF(Option3="No",0,IF($A69&lt;ImplementationYear,0,IF($A69&gt;(ImplementationYear+(Appraisal_Period-1)),0,SUM('Travel time'!$F$22:$F$23)*$B69)))</f>
        <v>0</v>
      </c>
      <c r="AP69" s="97">
        <f>IF(Option3="No",0,IF($A69&lt;ImplementationYear,0,IF($A69&gt;(ImplementationYear+(Appraisal_Period-1)),0,SUM('Travel time'!$F$20:$F$21)*$B69)))</f>
        <v>0</v>
      </c>
      <c r="AQ69" s="97">
        <f>IF(Option3="No",0,IF($A69&lt;ImplementationYear,0,IF($A69&gt;(ImplementationYear+(Appraisal_Period-1)),0,SUM(Quality!$F$22:$F$23)*$B69)))</f>
        <v>0</v>
      </c>
      <c r="AR69" s="97">
        <f>IF(Option3="No",0,IF($A69&lt;ImplementationYear,0,IF($A69&gt;(ImplementationYear+(Appraisal_Period-1)),0,SUM(Quality!$F$20:$F$21)*$B69)))</f>
        <v>0</v>
      </c>
      <c r="AS69" s="97">
        <f>IF(Option3="No",0,IF($A69&lt;ImplementationYear,0,IF($A69&gt;(ImplementationYear+(Appraisal_Period-1)),0,'Mode change'!$F$36*$B69)))</f>
        <v>0</v>
      </c>
      <c r="AT69" s="97">
        <f>IF(Option3="No",0,IF($A69&lt;ImplementationYear,0,IF($A69&gt;(ImplementationYear+(Appraisal_Period-1)),0,'Mode change'!$F$37*$B69)))</f>
        <v>0</v>
      </c>
      <c r="AU69" s="97">
        <f>IF(Option3="No",0,IF($A69&lt;ImplementationYear,0,IF($A69&gt;(ImplementationYear+(Appraisal_Period-1)),0,'Road safety'!$F$22*$B69)))</f>
        <v>0</v>
      </c>
      <c r="AV69" s="97">
        <f>IF(Option3="No",0,IF($A69&lt;ImplementationYear,0,IF($A69&gt;(ImplementationYear+(Appraisal_Period-1)),0,'Reduction in car usage'!$F$46*$B69)))</f>
        <v>0</v>
      </c>
      <c r="AW69" s="97">
        <f>IF(Option3="No",0,IF($A69&lt;ImplementationYear,0,IF($A69&gt;(ImplementationYear+(Appraisal_Period-1)),0,'Reduction in car usage'!$F$47*$B69)))</f>
        <v>0</v>
      </c>
      <c r="AX69" s="97">
        <f>IF(Option3="No",0,IF($A69&lt;ImplementationYear,0,IF($A69&gt;(ImplementationYear+(Appraisal_Period-1)),0,'Reduction in car usage'!$F$48*$B69)))</f>
        <v>0</v>
      </c>
    </row>
    <row r="70" spans="1:50">
      <c r="A70" s="335">
        <v>2065</v>
      </c>
      <c r="B70" s="62">
        <f>VLOOKUP($A70,'Time-series parameters'!$E$11:$H$89,2,FALSE)</f>
        <v>1.1080074401942811E-2</v>
      </c>
      <c r="C70" s="89"/>
      <c r="D70" s="94">
        <f>IF(Option1="No",0,IF($A70=ImplementationYear,('Project details'!$H$10-'Project details'!$D$10)*VLOOKUP(Year_cost_estimate,'Time-series parameters'!$B$11:$C$89,2,FALSE)*$B70*(1+Contingency),0))</f>
        <v>0</v>
      </c>
      <c r="E70" s="94">
        <f>IF(Option1="No",0,IF($A70&lt;ImplementationYear,0,IF($A70&gt;(ImplementationYear+(Appraisal_Period-1)),0,('Project details'!$H$11-'Project details'!$D$11)*VLOOKUP(Year_cost_estimate,'Time-series parameters'!$B$11:$C$89,2,0))*$B70))</f>
        <v>0</v>
      </c>
      <c r="F70" s="94">
        <f>IF(Option1="No",0,IF($A70=ImplementationYear,('Project details'!$H$12-'Project details'!$D$12)*VLOOKUP(Year_cost_estimate,'Time-series parameters'!$B$11:$C$89,2,FALSE)*$B70,0))</f>
        <v>0</v>
      </c>
      <c r="G70" s="97">
        <f>IF(Option1="No",0,IF($A70&lt;ImplementationYear,0,IF($A70&gt;(ImplementationYear+(Appraisal_Period-1)),0,Health!$D$21*$B70)))</f>
        <v>0</v>
      </c>
      <c r="H70" s="97">
        <f>IF(Option1="No",0,IF($A70&lt;ImplementationYear,0,IF($A70&gt;(ImplementationYear+(Appraisal_Period-1)),0,Health!$D$22*$B70)))</f>
        <v>0</v>
      </c>
      <c r="I70" s="97">
        <f>IF(Option1="No",0,IF($A70&lt;ImplementationYear,0,IF($A70&gt;(ImplementationYear+(Appraisal_Period-1)),0,SUM('Travel time'!$D$22:$D$23)*$B70)))</f>
        <v>0</v>
      </c>
      <c r="J70" s="97">
        <f>IF(Option1="No",0,IF($A70&lt;ImplementationYear,0,IF($A70&gt;(ImplementationYear+(Appraisal_Period-1)),0,SUM('Travel time'!$D$20:$D$21)*$B70)))</f>
        <v>0</v>
      </c>
      <c r="K70" s="97">
        <f>IF(Option1="No",0,IF($A70&lt;ImplementationYear,0,IF($A70&gt;(ImplementationYear+(Appraisal_Period-1)),0,SUM(Quality!$D$22:$D$23)*$B70)))</f>
        <v>0</v>
      </c>
      <c r="L70" s="97">
        <f>IF(Option1="No",0,IF($A70&lt;ImplementationYear,0,IF($A70&gt;(ImplementationYear+(Appraisal_Period-1)),0,SUM(Quality!$D$20:$D$21)*$B70)))</f>
        <v>0</v>
      </c>
      <c r="M70" s="97">
        <f>IF(Option1="No",0,IF($A70&lt;ImplementationYear,0,IF($A70&gt;(ImplementationYear+(Appraisal_Period-1)),0,'Mode change'!$D$36*$B70)))</f>
        <v>0</v>
      </c>
      <c r="N70" s="97">
        <f>IF(Option1="No",0,IF($A70&lt;ImplementationYear,0,IF($A70&gt;(ImplementationYear+(Appraisal_Period-1)),0,'Mode change'!$D$37*$B70)))</f>
        <v>0</v>
      </c>
      <c r="O70" s="97">
        <f>IF(Option1="No",0,IF($A70&lt;ImplementationYear,0,IF($A70&gt;(ImplementationYear+(Appraisal_Period-1)),0,'Road safety'!$D$22*$B70)))</f>
        <v>0</v>
      </c>
      <c r="P70" s="97">
        <f>IF(Option1="No",0,IF($A70&lt;ImplementationYear,0,IF($A70&gt;(ImplementationYear+(Appraisal_Period-1)),0,'Reduction in car usage'!$D$46*$B70)))</f>
        <v>0</v>
      </c>
      <c r="Q70" s="97">
        <f>IF(Option1="No",0,IF($A70&lt;ImplementationYear,0,IF($A70&gt;(ImplementationYear+(Appraisal_Period-1)),0,'Reduction in car usage'!$D$47*$B70)))</f>
        <v>0</v>
      </c>
      <c r="R70" s="97">
        <f>IF(Option1="No",0,IF($A70&lt;ImplementationYear,0,IF($A70&gt;(ImplementationYear+(Appraisal_Period-1)),0,'Reduction in car usage'!$D$48*$B70)))</f>
        <v>0</v>
      </c>
      <c r="S70" s="92"/>
      <c r="T70" s="94">
        <f>IF(Option2="No",0,IF($A70=ImplementationYear,('Project details'!$L$10-'Project details'!$D$10)*VLOOKUP(Year_cost_estimate,'Time-series parameters'!$B$11:$C$89,2,FALSE)*$B70*(1+Contingency),0))</f>
        <v>0</v>
      </c>
      <c r="U70" s="94">
        <f>IF(Option2="No",0,IF($A70&lt;ImplementationYear,0,IF($A70&gt;(ImplementationYear+(Appraisal_Period-1)),0,('Project details'!$L$11-'Project details'!$D$11)*VLOOKUP(Year_cost_estimate,'Time-series parameters'!$B$11:$C$89,2,0))*$B70))</f>
        <v>0</v>
      </c>
      <c r="V70" s="94">
        <f>IF(Option2="No",0,IF($A70=ImplementationYear,('Project details'!$L$12-'Project details'!$D$12)*VLOOKUP(Year_cost_estimate,'Time-series parameters'!$B$11:$C$89,2,FALSE)*$B70,0))</f>
        <v>0</v>
      </c>
      <c r="W70" s="97">
        <f>IF(Option2="No",0,IF($A70&lt;ImplementationYear,0,IF($A70&gt;(ImplementationYear+(Appraisal_Period-1)),0,Health!$E$21*$B70)))</f>
        <v>0</v>
      </c>
      <c r="X70" s="97">
        <f>IF(Option2="No",0,IF($A70&lt;ImplementationYear,0,IF($A70&gt;(ImplementationYear+(Appraisal_Period-1)),0,Health!$E$22*$B70)))</f>
        <v>0</v>
      </c>
      <c r="Y70" s="97">
        <f>IF(Option2="No",0,IF($A70&lt;ImplementationYear,0,IF($A70&gt;(ImplementationYear+(Appraisal_Period-1)),0,SUM('Travel time'!$E$22:$E$23)*$B70)))</f>
        <v>0</v>
      </c>
      <c r="Z70" s="97">
        <f>IF(Option2="No",0,IF($A70&lt;ImplementationYear,0,IF($A70&gt;(ImplementationYear+(Appraisal_Period-1)),0,SUM('Travel time'!$E$20:$E$21)*$B70)))</f>
        <v>0</v>
      </c>
      <c r="AA70" s="97">
        <f>IF(Option2="No",0,IF($A70&lt;ImplementationYear,0,IF($A70&gt;(ImplementationYear+(Appraisal_Period-1)),0,SUM(Quality!$E$22:$E$23)*$B70)))</f>
        <v>0</v>
      </c>
      <c r="AB70" s="97">
        <f>IF(Option2="No",0,IF($A70&lt;ImplementationYear,0,IF($A70&gt;(ImplementationYear+(Appraisal_Period-1)),0,SUM(Quality!$E$20:$E$21)*$B70)))</f>
        <v>0</v>
      </c>
      <c r="AC70" s="97">
        <f>IF(Option2="No",0,IF($A70&lt;ImplementationYear,0,IF($A70&gt;(ImplementationYear+(Appraisal_Period-1)),0,'Mode change'!$E$36*$B70)))</f>
        <v>0</v>
      </c>
      <c r="AD70" s="97">
        <f>IF(Option2="No",0,IF($A70&lt;ImplementationYear,0,IF($A70&gt;(ImplementationYear+(Appraisal_Period-1)),0,'Mode change'!$E$37*$B70)))</f>
        <v>0</v>
      </c>
      <c r="AE70" s="97">
        <f>IF(Option2="No",0,IF($A70&lt;ImplementationYear,0,IF($A70&gt;(ImplementationYear+(Appraisal_Period-1)),0,'Road safety'!$E$22*$B70)))</f>
        <v>0</v>
      </c>
      <c r="AF70" s="97">
        <f>IF(Option2="No",0,IF($A70&lt;ImplementationYear,0,IF($A70&gt;(ImplementationYear+(Appraisal_Period-1)),0,'Reduction in car usage'!$E$46*$B70)))</f>
        <v>0</v>
      </c>
      <c r="AG70" s="97">
        <f>IF(Option2="No",0,IF($A70&lt;ImplementationYear,0,IF($A70&gt;(ImplementationYear+(Appraisal_Period-1)),0,'Reduction in car usage'!$E$47*$B70)))</f>
        <v>0</v>
      </c>
      <c r="AH70" s="97">
        <f>IF(Option2="No",0,IF($A70&lt;ImplementationYear,0,IF($A70&gt;(ImplementationYear+(Appraisal_Period-1)),0,'Reduction in car usage'!$E$48*$B70)))</f>
        <v>0</v>
      </c>
      <c r="AJ70" s="94">
        <f>IF(Option3="No",0,IF($A70=ImplementationYear,('Project details'!$P$10-'Project details'!$D$10)*VLOOKUP(Year_cost_estimate,'Time-series parameters'!$B$11:$C$89,2,FALSE)*$B70*(1+Contingency),0))</f>
        <v>0</v>
      </c>
      <c r="AK70" s="94">
        <f>IF(Option3="No",0,IF($A70&lt;ImplementationYear,0,IF($A70&gt;(ImplementationYear+(Appraisal_Period-1)),0,('Project details'!$P$11-'Project details'!$D$11)*VLOOKUP(Year_cost_estimate,'Time-series parameters'!$B$11:$C$89,2,0))*$B70))</f>
        <v>0</v>
      </c>
      <c r="AL70" s="94">
        <f>IF(Option3="No",0,IF($A70=ImplementationYear,('Project details'!$P$12-'Project details'!$D$12)*VLOOKUP(Year_cost_estimate,'Time-series parameters'!$B$11:$C$89,2,FALSE)*$B70,0))</f>
        <v>0</v>
      </c>
      <c r="AM70" s="97">
        <f>IF(Option3="No",0,IF($A70&lt;ImplementationYear,0,IF($A70&gt;(ImplementationYear+(Appraisal_Period-1)),0,Health!$F$21*$B70)))</f>
        <v>0</v>
      </c>
      <c r="AN70" s="97">
        <f>IF(Option3="No",0,IF($A70&lt;ImplementationYear,0,IF($A70&gt;(ImplementationYear+(Appraisal_Period-1)),0,Health!$F$22*$B70)))</f>
        <v>0</v>
      </c>
      <c r="AO70" s="97">
        <f>IF(Option3="No",0,IF($A70&lt;ImplementationYear,0,IF($A70&gt;(ImplementationYear+(Appraisal_Period-1)),0,SUM('Travel time'!$F$22:$F$23)*$B70)))</f>
        <v>0</v>
      </c>
      <c r="AP70" s="97">
        <f>IF(Option3="No",0,IF($A70&lt;ImplementationYear,0,IF($A70&gt;(ImplementationYear+(Appraisal_Period-1)),0,SUM('Travel time'!$F$20:$F$21)*$B70)))</f>
        <v>0</v>
      </c>
      <c r="AQ70" s="97">
        <f>IF(Option3="No",0,IF($A70&lt;ImplementationYear,0,IF($A70&gt;(ImplementationYear+(Appraisal_Period-1)),0,SUM(Quality!$F$22:$F$23)*$B70)))</f>
        <v>0</v>
      </c>
      <c r="AR70" s="97">
        <f>IF(Option3="No",0,IF($A70&lt;ImplementationYear,0,IF($A70&gt;(ImplementationYear+(Appraisal_Period-1)),0,SUM(Quality!$F$20:$F$21)*$B70)))</f>
        <v>0</v>
      </c>
      <c r="AS70" s="97">
        <f>IF(Option3="No",0,IF($A70&lt;ImplementationYear,0,IF($A70&gt;(ImplementationYear+(Appraisal_Period-1)),0,'Mode change'!$F$36*$B70)))</f>
        <v>0</v>
      </c>
      <c r="AT70" s="97">
        <f>IF(Option3="No",0,IF($A70&lt;ImplementationYear,0,IF($A70&gt;(ImplementationYear+(Appraisal_Period-1)),0,'Mode change'!$F$37*$B70)))</f>
        <v>0</v>
      </c>
      <c r="AU70" s="97">
        <f>IF(Option3="No",0,IF($A70&lt;ImplementationYear,0,IF($A70&gt;(ImplementationYear+(Appraisal_Period-1)),0,'Road safety'!$F$22*$B70)))</f>
        <v>0</v>
      </c>
      <c r="AV70" s="97">
        <f>IF(Option3="No",0,IF($A70&lt;ImplementationYear,0,IF($A70&gt;(ImplementationYear+(Appraisal_Period-1)),0,'Reduction in car usage'!$F$46*$B70)))</f>
        <v>0</v>
      </c>
      <c r="AW70" s="97">
        <f>IF(Option3="No",0,IF($A70&lt;ImplementationYear,0,IF($A70&gt;(ImplementationYear+(Appraisal_Period-1)),0,'Reduction in car usage'!$F$47*$B70)))</f>
        <v>0</v>
      </c>
      <c r="AX70" s="97">
        <f>IF(Option3="No",0,IF($A70&lt;ImplementationYear,0,IF($A70&gt;(ImplementationYear+(Appraisal_Period-1)),0,'Reduction in car usage'!$F$48*$B70)))</f>
        <v>0</v>
      </c>
    </row>
    <row r="71" spans="1:50">
      <c r="A71" s="335">
        <v>2066</v>
      </c>
      <c r="B71" s="62">
        <f>VLOOKUP($A71,'Time-series parameters'!$E$11:$H$89,2,FALSE)</f>
        <v>1.0193668449787386E-2</v>
      </c>
      <c r="C71" s="89"/>
      <c r="D71" s="94">
        <f>IF(Option1="No",0,IF($A71=ImplementationYear,('Project details'!$H$10-'Project details'!$D$10)*VLOOKUP(Year_cost_estimate,'Time-series parameters'!$B$11:$C$89,2,FALSE)*$B71*(1+Contingency),0))</f>
        <v>0</v>
      </c>
      <c r="E71" s="94">
        <f>IF(Option1="No",0,IF($A71&lt;ImplementationYear,0,IF($A71&gt;(ImplementationYear+(Appraisal_Period-1)),0,('Project details'!$H$11-'Project details'!$D$11)*VLOOKUP(Year_cost_estimate,'Time-series parameters'!$B$11:$C$89,2,0))*$B71))</f>
        <v>0</v>
      </c>
      <c r="F71" s="94">
        <f>IF(Option1="No",0,IF($A71=ImplementationYear,('Project details'!$H$12-'Project details'!$D$12)*VLOOKUP(Year_cost_estimate,'Time-series parameters'!$B$11:$C$89,2,FALSE)*$B71,0))</f>
        <v>0</v>
      </c>
      <c r="G71" s="97">
        <f>IF(Option1="No",0,IF($A71&lt;ImplementationYear,0,IF($A71&gt;(ImplementationYear+(Appraisal_Period-1)),0,Health!$D$21*$B71)))</f>
        <v>0</v>
      </c>
      <c r="H71" s="97">
        <f>IF(Option1="No",0,IF($A71&lt;ImplementationYear,0,IF($A71&gt;(ImplementationYear+(Appraisal_Period-1)),0,Health!$D$22*$B71)))</f>
        <v>0</v>
      </c>
      <c r="I71" s="97">
        <f>IF(Option1="No",0,IF($A71&lt;ImplementationYear,0,IF($A71&gt;(ImplementationYear+(Appraisal_Period-1)),0,SUM('Travel time'!$D$22:$D$23)*$B71)))</f>
        <v>0</v>
      </c>
      <c r="J71" s="97">
        <f>IF(Option1="No",0,IF($A71&lt;ImplementationYear,0,IF($A71&gt;(ImplementationYear+(Appraisal_Period-1)),0,SUM('Travel time'!$D$20:$D$21)*$B71)))</f>
        <v>0</v>
      </c>
      <c r="K71" s="97">
        <f>IF(Option1="No",0,IF($A71&lt;ImplementationYear,0,IF($A71&gt;(ImplementationYear+(Appraisal_Period-1)),0,SUM(Quality!$D$22:$D$23)*$B71)))</f>
        <v>0</v>
      </c>
      <c r="L71" s="97">
        <f>IF(Option1="No",0,IF($A71&lt;ImplementationYear,0,IF($A71&gt;(ImplementationYear+(Appraisal_Period-1)),0,SUM(Quality!$D$20:$D$21)*$B71)))</f>
        <v>0</v>
      </c>
      <c r="M71" s="97">
        <f>IF(Option1="No",0,IF($A71&lt;ImplementationYear,0,IF($A71&gt;(ImplementationYear+(Appraisal_Period-1)),0,'Mode change'!$D$36*$B71)))</f>
        <v>0</v>
      </c>
      <c r="N71" s="97">
        <f>IF(Option1="No",0,IF($A71&lt;ImplementationYear,0,IF($A71&gt;(ImplementationYear+(Appraisal_Period-1)),0,'Mode change'!$D$37*$B71)))</f>
        <v>0</v>
      </c>
      <c r="O71" s="97">
        <f>IF(Option1="No",0,IF($A71&lt;ImplementationYear,0,IF($A71&gt;(ImplementationYear+(Appraisal_Period-1)),0,'Road safety'!$D$22*$B71)))</f>
        <v>0</v>
      </c>
      <c r="P71" s="97">
        <f>IF(Option1="No",0,IF($A71&lt;ImplementationYear,0,IF($A71&gt;(ImplementationYear+(Appraisal_Period-1)),0,'Reduction in car usage'!$D$46*$B71)))</f>
        <v>0</v>
      </c>
      <c r="Q71" s="97">
        <f>IF(Option1="No",0,IF($A71&lt;ImplementationYear,0,IF($A71&gt;(ImplementationYear+(Appraisal_Period-1)),0,'Reduction in car usage'!$D$47*$B71)))</f>
        <v>0</v>
      </c>
      <c r="R71" s="97">
        <f>IF(Option1="No",0,IF($A71&lt;ImplementationYear,0,IF($A71&gt;(ImplementationYear+(Appraisal_Period-1)),0,'Reduction in car usage'!$D$48*$B71)))</f>
        <v>0</v>
      </c>
      <c r="S71" s="92"/>
      <c r="T71" s="94">
        <f>IF(Option2="No",0,IF($A71=ImplementationYear,('Project details'!$L$10-'Project details'!$D$10)*VLOOKUP(Year_cost_estimate,'Time-series parameters'!$B$11:$C$89,2,FALSE)*$B71*(1+Contingency),0))</f>
        <v>0</v>
      </c>
      <c r="U71" s="94">
        <f>IF(Option2="No",0,IF($A71&lt;ImplementationYear,0,IF($A71&gt;(ImplementationYear+(Appraisal_Period-1)),0,('Project details'!$L$11-'Project details'!$D$11)*VLOOKUP(Year_cost_estimate,'Time-series parameters'!$B$11:$C$89,2,0))*$B71))</f>
        <v>0</v>
      </c>
      <c r="V71" s="94">
        <f>IF(Option2="No",0,IF($A71=ImplementationYear,('Project details'!$L$12-'Project details'!$D$12)*VLOOKUP(Year_cost_estimate,'Time-series parameters'!$B$11:$C$89,2,FALSE)*$B71,0))</f>
        <v>0</v>
      </c>
      <c r="W71" s="97">
        <f>IF(Option2="No",0,IF($A71&lt;ImplementationYear,0,IF($A71&gt;(ImplementationYear+(Appraisal_Period-1)),0,Health!$E$21*$B71)))</f>
        <v>0</v>
      </c>
      <c r="X71" s="97">
        <f>IF(Option2="No",0,IF($A71&lt;ImplementationYear,0,IF($A71&gt;(ImplementationYear+(Appraisal_Period-1)),0,Health!$E$22*$B71)))</f>
        <v>0</v>
      </c>
      <c r="Y71" s="97">
        <f>IF(Option2="No",0,IF($A71&lt;ImplementationYear,0,IF($A71&gt;(ImplementationYear+(Appraisal_Period-1)),0,SUM('Travel time'!$E$22:$E$23)*$B71)))</f>
        <v>0</v>
      </c>
      <c r="Z71" s="97">
        <f>IF(Option2="No",0,IF($A71&lt;ImplementationYear,0,IF($A71&gt;(ImplementationYear+(Appraisal_Period-1)),0,SUM('Travel time'!$E$20:$E$21)*$B71)))</f>
        <v>0</v>
      </c>
      <c r="AA71" s="97">
        <f>IF(Option2="No",0,IF($A71&lt;ImplementationYear,0,IF($A71&gt;(ImplementationYear+(Appraisal_Period-1)),0,SUM(Quality!$E$22:$E$23)*$B71)))</f>
        <v>0</v>
      </c>
      <c r="AB71" s="97">
        <f>IF(Option2="No",0,IF($A71&lt;ImplementationYear,0,IF($A71&gt;(ImplementationYear+(Appraisal_Period-1)),0,SUM(Quality!$E$20:$E$21)*$B71)))</f>
        <v>0</v>
      </c>
      <c r="AC71" s="97">
        <f>IF(Option2="No",0,IF($A71&lt;ImplementationYear,0,IF($A71&gt;(ImplementationYear+(Appraisal_Period-1)),0,'Mode change'!$E$36*$B71)))</f>
        <v>0</v>
      </c>
      <c r="AD71" s="97">
        <f>IF(Option2="No",0,IF($A71&lt;ImplementationYear,0,IF($A71&gt;(ImplementationYear+(Appraisal_Period-1)),0,'Mode change'!$E$37*$B71)))</f>
        <v>0</v>
      </c>
      <c r="AE71" s="97">
        <f>IF(Option2="No",0,IF($A71&lt;ImplementationYear,0,IF($A71&gt;(ImplementationYear+(Appraisal_Period-1)),0,'Road safety'!$E$22*$B71)))</f>
        <v>0</v>
      </c>
      <c r="AF71" s="97">
        <f>IF(Option2="No",0,IF($A71&lt;ImplementationYear,0,IF($A71&gt;(ImplementationYear+(Appraisal_Period-1)),0,'Reduction in car usage'!$E$46*$B71)))</f>
        <v>0</v>
      </c>
      <c r="AG71" s="97">
        <f>IF(Option2="No",0,IF($A71&lt;ImplementationYear,0,IF($A71&gt;(ImplementationYear+(Appraisal_Period-1)),0,'Reduction in car usage'!$E$47*$B71)))</f>
        <v>0</v>
      </c>
      <c r="AH71" s="97">
        <f>IF(Option2="No",0,IF($A71&lt;ImplementationYear,0,IF($A71&gt;(ImplementationYear+(Appraisal_Period-1)),0,'Reduction in car usage'!$E$48*$B71)))</f>
        <v>0</v>
      </c>
      <c r="AJ71" s="94">
        <f>IF(Option3="No",0,IF($A71=ImplementationYear,('Project details'!$P$10-'Project details'!$D$10)*VLOOKUP(Year_cost_estimate,'Time-series parameters'!$B$11:$C$89,2,FALSE)*$B71*(1+Contingency),0))</f>
        <v>0</v>
      </c>
      <c r="AK71" s="94">
        <f>IF(Option3="No",0,IF($A71&lt;ImplementationYear,0,IF($A71&gt;(ImplementationYear+(Appraisal_Period-1)),0,('Project details'!$P$11-'Project details'!$D$11)*VLOOKUP(Year_cost_estimate,'Time-series parameters'!$B$11:$C$89,2,0))*$B71))</f>
        <v>0</v>
      </c>
      <c r="AL71" s="94">
        <f>IF(Option3="No",0,IF($A71=ImplementationYear,('Project details'!$P$12-'Project details'!$D$12)*VLOOKUP(Year_cost_estimate,'Time-series parameters'!$B$11:$C$89,2,FALSE)*$B71,0))</f>
        <v>0</v>
      </c>
      <c r="AM71" s="97">
        <f>IF(Option3="No",0,IF($A71&lt;ImplementationYear,0,IF($A71&gt;(ImplementationYear+(Appraisal_Period-1)),0,Health!$F$21*$B71)))</f>
        <v>0</v>
      </c>
      <c r="AN71" s="97">
        <f>IF(Option3="No",0,IF($A71&lt;ImplementationYear,0,IF($A71&gt;(ImplementationYear+(Appraisal_Period-1)),0,Health!$F$22*$B71)))</f>
        <v>0</v>
      </c>
      <c r="AO71" s="97">
        <f>IF(Option3="No",0,IF($A71&lt;ImplementationYear,0,IF($A71&gt;(ImplementationYear+(Appraisal_Period-1)),0,SUM('Travel time'!$F$22:$F$23)*$B71)))</f>
        <v>0</v>
      </c>
      <c r="AP71" s="97">
        <f>IF(Option3="No",0,IF($A71&lt;ImplementationYear,0,IF($A71&gt;(ImplementationYear+(Appraisal_Period-1)),0,SUM('Travel time'!$F$20:$F$21)*$B71)))</f>
        <v>0</v>
      </c>
      <c r="AQ71" s="97">
        <f>IF(Option3="No",0,IF($A71&lt;ImplementationYear,0,IF($A71&gt;(ImplementationYear+(Appraisal_Period-1)),0,SUM(Quality!$F$22:$F$23)*$B71)))</f>
        <v>0</v>
      </c>
      <c r="AR71" s="97">
        <f>IF(Option3="No",0,IF($A71&lt;ImplementationYear,0,IF($A71&gt;(ImplementationYear+(Appraisal_Period-1)),0,SUM(Quality!$F$20:$F$21)*$B71)))</f>
        <v>0</v>
      </c>
      <c r="AS71" s="97">
        <f>IF(Option3="No",0,IF($A71&lt;ImplementationYear,0,IF($A71&gt;(ImplementationYear+(Appraisal_Period-1)),0,'Mode change'!$F$36*$B71)))</f>
        <v>0</v>
      </c>
      <c r="AT71" s="97">
        <f>IF(Option3="No",0,IF($A71&lt;ImplementationYear,0,IF($A71&gt;(ImplementationYear+(Appraisal_Period-1)),0,'Mode change'!$F$37*$B71)))</f>
        <v>0</v>
      </c>
      <c r="AU71" s="97">
        <f>IF(Option3="No",0,IF($A71&lt;ImplementationYear,0,IF($A71&gt;(ImplementationYear+(Appraisal_Period-1)),0,'Road safety'!$F$22*$B71)))</f>
        <v>0</v>
      </c>
      <c r="AV71" s="97">
        <f>IF(Option3="No",0,IF($A71&lt;ImplementationYear,0,IF($A71&gt;(ImplementationYear+(Appraisal_Period-1)),0,'Reduction in car usage'!$F$46*$B71)))</f>
        <v>0</v>
      </c>
      <c r="AW71" s="97">
        <f>IF(Option3="No",0,IF($A71&lt;ImplementationYear,0,IF($A71&gt;(ImplementationYear+(Appraisal_Period-1)),0,'Reduction in car usage'!$F$47*$B71)))</f>
        <v>0</v>
      </c>
      <c r="AX71" s="97">
        <f>IF(Option3="No",0,IF($A71&lt;ImplementationYear,0,IF($A71&gt;(ImplementationYear+(Appraisal_Period-1)),0,'Reduction in car usage'!$F$48*$B71)))</f>
        <v>0</v>
      </c>
    </row>
    <row r="72" spans="1:50">
      <c r="A72" s="335">
        <v>2067</v>
      </c>
      <c r="B72" s="62">
        <f>VLOOKUP($A72,'Time-series parameters'!$E$11:$H$89,2,FALSE)</f>
        <v>9.3781749738043943E-3</v>
      </c>
      <c r="C72" s="89"/>
      <c r="D72" s="94">
        <f>IF(Option1="No",0,IF($A72=ImplementationYear,('Project details'!$H$10-'Project details'!$D$10)*VLOOKUP(Year_cost_estimate,'Time-series parameters'!$B$11:$C$89,2,FALSE)*$B72*(1+Contingency),0))</f>
        <v>0</v>
      </c>
      <c r="E72" s="94">
        <f>IF(Option1="No",0,IF($A72&lt;ImplementationYear,0,IF($A72&gt;(ImplementationYear+(Appraisal_Period-1)),0,('Project details'!$H$11-'Project details'!$D$11)*VLOOKUP(Year_cost_estimate,'Time-series parameters'!$B$11:$C$89,2,0))*$B72))</f>
        <v>0</v>
      </c>
      <c r="F72" s="94">
        <f>IF(Option1="No",0,IF($A72=ImplementationYear,('Project details'!$H$12-'Project details'!$D$12)*VLOOKUP(Year_cost_estimate,'Time-series parameters'!$B$11:$C$89,2,FALSE)*$B72,0))</f>
        <v>0</v>
      </c>
      <c r="G72" s="97">
        <f>IF(Option1="No",0,IF($A72&lt;ImplementationYear,0,IF($A72&gt;(ImplementationYear+(Appraisal_Period-1)),0,Health!$D$21*$B72)))</f>
        <v>0</v>
      </c>
      <c r="H72" s="97">
        <f>IF(Option1="No",0,IF($A72&lt;ImplementationYear,0,IF($A72&gt;(ImplementationYear+(Appraisal_Period-1)),0,Health!$D$22*$B72)))</f>
        <v>0</v>
      </c>
      <c r="I72" s="97">
        <f>IF(Option1="No",0,IF($A72&lt;ImplementationYear,0,IF($A72&gt;(ImplementationYear+(Appraisal_Period-1)),0,SUM('Travel time'!$D$22:$D$23)*$B72)))</f>
        <v>0</v>
      </c>
      <c r="J72" s="97">
        <f>IF(Option1="No",0,IF($A72&lt;ImplementationYear,0,IF($A72&gt;(ImplementationYear+(Appraisal_Period-1)),0,SUM('Travel time'!$D$20:$D$21)*$B72)))</f>
        <v>0</v>
      </c>
      <c r="K72" s="97">
        <f>IF(Option1="No",0,IF($A72&lt;ImplementationYear,0,IF($A72&gt;(ImplementationYear+(Appraisal_Period-1)),0,SUM(Quality!$D$22:$D$23)*$B72)))</f>
        <v>0</v>
      </c>
      <c r="L72" s="97">
        <f>IF(Option1="No",0,IF($A72&lt;ImplementationYear,0,IF($A72&gt;(ImplementationYear+(Appraisal_Period-1)),0,SUM(Quality!$D$20:$D$21)*$B72)))</f>
        <v>0</v>
      </c>
      <c r="M72" s="97">
        <f>IF(Option1="No",0,IF($A72&lt;ImplementationYear,0,IF($A72&gt;(ImplementationYear+(Appraisal_Period-1)),0,'Mode change'!$D$36*$B72)))</f>
        <v>0</v>
      </c>
      <c r="N72" s="97">
        <f>IF(Option1="No",0,IF($A72&lt;ImplementationYear,0,IF($A72&gt;(ImplementationYear+(Appraisal_Period-1)),0,'Mode change'!$D$37*$B72)))</f>
        <v>0</v>
      </c>
      <c r="O72" s="97">
        <f>IF(Option1="No",0,IF($A72&lt;ImplementationYear,0,IF($A72&gt;(ImplementationYear+(Appraisal_Period-1)),0,'Road safety'!$D$22*$B72)))</f>
        <v>0</v>
      </c>
      <c r="P72" s="97">
        <f>IF(Option1="No",0,IF($A72&lt;ImplementationYear,0,IF($A72&gt;(ImplementationYear+(Appraisal_Period-1)),0,'Reduction in car usage'!$D$46*$B72)))</f>
        <v>0</v>
      </c>
      <c r="Q72" s="97">
        <f>IF(Option1="No",0,IF($A72&lt;ImplementationYear,0,IF($A72&gt;(ImplementationYear+(Appraisal_Period-1)),0,'Reduction in car usage'!$D$47*$B72)))</f>
        <v>0</v>
      </c>
      <c r="R72" s="97">
        <f>IF(Option1="No",0,IF($A72&lt;ImplementationYear,0,IF($A72&gt;(ImplementationYear+(Appraisal_Period-1)),0,'Reduction in car usage'!$D$48*$B72)))</f>
        <v>0</v>
      </c>
      <c r="S72" s="92"/>
      <c r="T72" s="94">
        <f>IF(Option2="No",0,IF($A72=ImplementationYear,('Project details'!$L$10-'Project details'!$D$10)*VLOOKUP(Year_cost_estimate,'Time-series parameters'!$B$11:$C$89,2,FALSE)*$B72*(1+Contingency),0))</f>
        <v>0</v>
      </c>
      <c r="U72" s="94">
        <f>IF(Option2="No",0,IF($A72&lt;ImplementationYear,0,IF($A72&gt;(ImplementationYear+(Appraisal_Period-1)),0,('Project details'!$L$11-'Project details'!$D$11)*VLOOKUP(Year_cost_estimate,'Time-series parameters'!$B$11:$C$89,2,0))*$B72))</f>
        <v>0</v>
      </c>
      <c r="V72" s="94">
        <f>IF(Option2="No",0,IF($A72=ImplementationYear,('Project details'!$L$12-'Project details'!$D$12)*VLOOKUP(Year_cost_estimate,'Time-series parameters'!$B$11:$C$89,2,FALSE)*$B72,0))</f>
        <v>0</v>
      </c>
      <c r="W72" s="97">
        <f>IF(Option2="No",0,IF($A72&lt;ImplementationYear,0,IF($A72&gt;(ImplementationYear+(Appraisal_Period-1)),0,Health!$E$21*$B72)))</f>
        <v>0</v>
      </c>
      <c r="X72" s="97">
        <f>IF(Option2="No",0,IF($A72&lt;ImplementationYear,0,IF($A72&gt;(ImplementationYear+(Appraisal_Period-1)),0,Health!$E$22*$B72)))</f>
        <v>0</v>
      </c>
      <c r="Y72" s="97">
        <f>IF(Option2="No",0,IF($A72&lt;ImplementationYear,0,IF($A72&gt;(ImplementationYear+(Appraisal_Period-1)),0,SUM('Travel time'!$E$22:$E$23)*$B72)))</f>
        <v>0</v>
      </c>
      <c r="Z72" s="97">
        <f>IF(Option2="No",0,IF($A72&lt;ImplementationYear,0,IF($A72&gt;(ImplementationYear+(Appraisal_Period-1)),0,SUM('Travel time'!$E$20:$E$21)*$B72)))</f>
        <v>0</v>
      </c>
      <c r="AA72" s="97">
        <f>IF(Option2="No",0,IF($A72&lt;ImplementationYear,0,IF($A72&gt;(ImplementationYear+(Appraisal_Period-1)),0,SUM(Quality!$E$22:$E$23)*$B72)))</f>
        <v>0</v>
      </c>
      <c r="AB72" s="97">
        <f>IF(Option2="No",0,IF($A72&lt;ImplementationYear,0,IF($A72&gt;(ImplementationYear+(Appraisal_Period-1)),0,SUM(Quality!$E$20:$E$21)*$B72)))</f>
        <v>0</v>
      </c>
      <c r="AC72" s="97">
        <f>IF(Option2="No",0,IF($A72&lt;ImplementationYear,0,IF($A72&gt;(ImplementationYear+(Appraisal_Period-1)),0,'Mode change'!$E$36*$B72)))</f>
        <v>0</v>
      </c>
      <c r="AD72" s="97">
        <f>IF(Option2="No",0,IF($A72&lt;ImplementationYear,0,IF($A72&gt;(ImplementationYear+(Appraisal_Period-1)),0,'Mode change'!$E$37*$B72)))</f>
        <v>0</v>
      </c>
      <c r="AE72" s="97">
        <f>IF(Option2="No",0,IF($A72&lt;ImplementationYear,0,IF($A72&gt;(ImplementationYear+(Appraisal_Period-1)),0,'Road safety'!$E$22*$B72)))</f>
        <v>0</v>
      </c>
      <c r="AF72" s="97">
        <f>IF(Option2="No",0,IF($A72&lt;ImplementationYear,0,IF($A72&gt;(ImplementationYear+(Appraisal_Period-1)),0,'Reduction in car usage'!$E$46*$B72)))</f>
        <v>0</v>
      </c>
      <c r="AG72" s="97">
        <f>IF(Option2="No",0,IF($A72&lt;ImplementationYear,0,IF($A72&gt;(ImplementationYear+(Appraisal_Period-1)),0,'Reduction in car usage'!$E$47*$B72)))</f>
        <v>0</v>
      </c>
      <c r="AH72" s="97">
        <f>IF(Option2="No",0,IF($A72&lt;ImplementationYear,0,IF($A72&gt;(ImplementationYear+(Appraisal_Period-1)),0,'Reduction in car usage'!$E$48*$B72)))</f>
        <v>0</v>
      </c>
      <c r="AJ72" s="94">
        <f>IF(Option3="No",0,IF($A72=ImplementationYear,('Project details'!$P$10-'Project details'!$D$10)*VLOOKUP(Year_cost_estimate,'Time-series parameters'!$B$11:$C$89,2,FALSE)*$B72*(1+Contingency),0))</f>
        <v>0</v>
      </c>
      <c r="AK72" s="94">
        <f>IF(Option3="No",0,IF($A72&lt;ImplementationYear,0,IF($A72&gt;(ImplementationYear+(Appraisal_Period-1)),0,('Project details'!$P$11-'Project details'!$D$11)*VLOOKUP(Year_cost_estimate,'Time-series parameters'!$B$11:$C$89,2,0))*$B72))</f>
        <v>0</v>
      </c>
      <c r="AL72" s="94">
        <f>IF(Option3="No",0,IF($A72=ImplementationYear,('Project details'!$P$12-'Project details'!$D$12)*VLOOKUP(Year_cost_estimate,'Time-series parameters'!$B$11:$C$89,2,FALSE)*$B72,0))</f>
        <v>0</v>
      </c>
      <c r="AM72" s="97">
        <f>IF(Option3="No",0,IF($A72&lt;ImplementationYear,0,IF($A72&gt;(ImplementationYear+(Appraisal_Period-1)),0,Health!$F$21*$B72)))</f>
        <v>0</v>
      </c>
      <c r="AN72" s="97">
        <f>IF(Option3="No",0,IF($A72&lt;ImplementationYear,0,IF($A72&gt;(ImplementationYear+(Appraisal_Period-1)),0,Health!$F$22*$B72)))</f>
        <v>0</v>
      </c>
      <c r="AO72" s="97">
        <f>IF(Option3="No",0,IF($A72&lt;ImplementationYear,0,IF($A72&gt;(ImplementationYear+(Appraisal_Period-1)),0,SUM('Travel time'!$F$22:$F$23)*$B72)))</f>
        <v>0</v>
      </c>
      <c r="AP72" s="97">
        <f>IF(Option3="No",0,IF($A72&lt;ImplementationYear,0,IF($A72&gt;(ImplementationYear+(Appraisal_Period-1)),0,SUM('Travel time'!$F$20:$F$21)*$B72)))</f>
        <v>0</v>
      </c>
      <c r="AQ72" s="97">
        <f>IF(Option3="No",0,IF($A72&lt;ImplementationYear,0,IF($A72&gt;(ImplementationYear+(Appraisal_Period-1)),0,SUM(Quality!$F$22:$F$23)*$B72)))</f>
        <v>0</v>
      </c>
      <c r="AR72" s="97">
        <f>IF(Option3="No",0,IF($A72&lt;ImplementationYear,0,IF($A72&gt;(ImplementationYear+(Appraisal_Period-1)),0,SUM(Quality!$F$20:$F$21)*$B72)))</f>
        <v>0</v>
      </c>
      <c r="AS72" s="97">
        <f>IF(Option3="No",0,IF($A72&lt;ImplementationYear,0,IF($A72&gt;(ImplementationYear+(Appraisal_Period-1)),0,'Mode change'!$F$36*$B72)))</f>
        <v>0</v>
      </c>
      <c r="AT72" s="97">
        <f>IF(Option3="No",0,IF($A72&lt;ImplementationYear,0,IF($A72&gt;(ImplementationYear+(Appraisal_Period-1)),0,'Mode change'!$F$37*$B72)))</f>
        <v>0</v>
      </c>
      <c r="AU72" s="97">
        <f>IF(Option3="No",0,IF($A72&lt;ImplementationYear,0,IF($A72&gt;(ImplementationYear+(Appraisal_Period-1)),0,'Road safety'!$F$22*$B72)))</f>
        <v>0</v>
      </c>
      <c r="AV72" s="97">
        <f>IF(Option3="No",0,IF($A72&lt;ImplementationYear,0,IF($A72&gt;(ImplementationYear+(Appraisal_Period-1)),0,'Reduction in car usage'!$F$46*$B72)))</f>
        <v>0</v>
      </c>
      <c r="AW72" s="97">
        <f>IF(Option3="No",0,IF($A72&lt;ImplementationYear,0,IF($A72&gt;(ImplementationYear+(Appraisal_Period-1)),0,'Reduction in car usage'!$F$47*$B72)))</f>
        <v>0</v>
      </c>
      <c r="AX72" s="97">
        <f>IF(Option3="No",0,IF($A72&lt;ImplementationYear,0,IF($A72&gt;(ImplementationYear+(Appraisal_Period-1)),0,'Reduction in car usage'!$F$48*$B72)))</f>
        <v>0</v>
      </c>
    </row>
    <row r="73" spans="1:50">
      <c r="A73" s="335">
        <v>2068</v>
      </c>
      <c r="B73" s="62">
        <f>VLOOKUP($A73,'Time-series parameters'!$E$11:$H$89,2,FALSE)</f>
        <v>8.6279209759000421E-3</v>
      </c>
      <c r="C73" s="89"/>
      <c r="D73" s="94">
        <f>IF(Option1="No",0,IF($A73=ImplementationYear,('Project details'!$H$10-'Project details'!$D$10)*VLOOKUP(Year_cost_estimate,'Time-series parameters'!$B$11:$C$89,2,FALSE)*$B73*(1+Contingency),0))</f>
        <v>0</v>
      </c>
      <c r="E73" s="94">
        <f>IF(Option1="No",0,IF($A73&lt;ImplementationYear,0,IF($A73&gt;(ImplementationYear+(Appraisal_Period-1)),0,('Project details'!$H$11-'Project details'!$D$11)*VLOOKUP(Year_cost_estimate,'Time-series parameters'!$B$11:$C$89,2,0))*$B73))</f>
        <v>0</v>
      </c>
      <c r="F73" s="94">
        <f>IF(Option1="No",0,IF($A73=ImplementationYear,('Project details'!$H$12-'Project details'!$D$12)*VLOOKUP(Year_cost_estimate,'Time-series parameters'!$B$11:$C$89,2,FALSE)*$B73,0))</f>
        <v>0</v>
      </c>
      <c r="G73" s="97">
        <f>IF(Option1="No",0,IF($A73&lt;ImplementationYear,0,IF($A73&gt;(ImplementationYear+(Appraisal_Period-1)),0,Health!$D$21*$B73)))</f>
        <v>0</v>
      </c>
      <c r="H73" s="97">
        <f>IF(Option1="No",0,IF($A73&lt;ImplementationYear,0,IF($A73&gt;(ImplementationYear+(Appraisal_Period-1)),0,Health!$D$22*$B73)))</f>
        <v>0</v>
      </c>
      <c r="I73" s="97">
        <f>IF(Option1="No",0,IF($A73&lt;ImplementationYear,0,IF($A73&gt;(ImplementationYear+(Appraisal_Period-1)),0,SUM('Travel time'!$D$22:$D$23)*$B73)))</f>
        <v>0</v>
      </c>
      <c r="J73" s="97">
        <f>IF(Option1="No",0,IF($A73&lt;ImplementationYear,0,IF($A73&gt;(ImplementationYear+(Appraisal_Period-1)),0,SUM('Travel time'!$D$20:$D$21)*$B73)))</f>
        <v>0</v>
      </c>
      <c r="K73" s="97">
        <f>IF(Option1="No",0,IF($A73&lt;ImplementationYear,0,IF($A73&gt;(ImplementationYear+(Appraisal_Period-1)),0,SUM(Quality!$D$22:$D$23)*$B73)))</f>
        <v>0</v>
      </c>
      <c r="L73" s="97">
        <f>IF(Option1="No",0,IF($A73&lt;ImplementationYear,0,IF($A73&gt;(ImplementationYear+(Appraisal_Period-1)),0,SUM(Quality!$D$20:$D$21)*$B73)))</f>
        <v>0</v>
      </c>
      <c r="M73" s="97">
        <f>IF(Option1="No",0,IF($A73&lt;ImplementationYear,0,IF($A73&gt;(ImplementationYear+(Appraisal_Period-1)),0,'Mode change'!$D$36*$B73)))</f>
        <v>0</v>
      </c>
      <c r="N73" s="97">
        <f>IF(Option1="No",0,IF($A73&lt;ImplementationYear,0,IF($A73&gt;(ImplementationYear+(Appraisal_Period-1)),0,'Mode change'!$D$37*$B73)))</f>
        <v>0</v>
      </c>
      <c r="O73" s="97">
        <f>IF(Option1="No",0,IF($A73&lt;ImplementationYear,0,IF($A73&gt;(ImplementationYear+(Appraisal_Period-1)),0,'Road safety'!$D$22*$B73)))</f>
        <v>0</v>
      </c>
      <c r="P73" s="97">
        <f>IF(Option1="No",0,IF($A73&lt;ImplementationYear,0,IF($A73&gt;(ImplementationYear+(Appraisal_Period-1)),0,'Reduction in car usage'!$D$46*$B73)))</f>
        <v>0</v>
      </c>
      <c r="Q73" s="97">
        <f>IF(Option1="No",0,IF($A73&lt;ImplementationYear,0,IF($A73&gt;(ImplementationYear+(Appraisal_Period-1)),0,'Reduction in car usage'!$D$47*$B73)))</f>
        <v>0</v>
      </c>
      <c r="R73" s="97">
        <f>IF(Option1="No",0,IF($A73&lt;ImplementationYear,0,IF($A73&gt;(ImplementationYear+(Appraisal_Period-1)),0,'Reduction in car usage'!$D$48*$B73)))</f>
        <v>0</v>
      </c>
      <c r="S73" s="92"/>
      <c r="T73" s="94">
        <f>IF(Option2="No",0,IF($A73=ImplementationYear,('Project details'!$L$10-'Project details'!$D$10)*VLOOKUP(Year_cost_estimate,'Time-series parameters'!$B$11:$C$89,2,FALSE)*$B73*(1+Contingency),0))</f>
        <v>0</v>
      </c>
      <c r="U73" s="94">
        <f>IF(Option2="No",0,IF($A73&lt;ImplementationYear,0,IF($A73&gt;(ImplementationYear+(Appraisal_Period-1)),0,('Project details'!$L$11-'Project details'!$D$11)*VLOOKUP(Year_cost_estimate,'Time-series parameters'!$B$11:$C$89,2,0))*$B73))</f>
        <v>0</v>
      </c>
      <c r="V73" s="94">
        <f>IF(Option2="No",0,IF($A73=ImplementationYear,('Project details'!$L$12-'Project details'!$D$12)*VLOOKUP(Year_cost_estimate,'Time-series parameters'!$B$11:$C$89,2,FALSE)*$B73,0))</f>
        <v>0</v>
      </c>
      <c r="W73" s="97">
        <f>IF(Option2="No",0,IF($A73&lt;ImplementationYear,0,IF($A73&gt;(ImplementationYear+(Appraisal_Period-1)),0,Health!$E$21*$B73)))</f>
        <v>0</v>
      </c>
      <c r="X73" s="97">
        <f>IF(Option2="No",0,IF($A73&lt;ImplementationYear,0,IF($A73&gt;(ImplementationYear+(Appraisal_Period-1)),0,Health!$E$22*$B73)))</f>
        <v>0</v>
      </c>
      <c r="Y73" s="97">
        <f>IF(Option2="No",0,IF($A73&lt;ImplementationYear,0,IF($A73&gt;(ImplementationYear+(Appraisal_Period-1)),0,SUM('Travel time'!$E$22:$E$23)*$B73)))</f>
        <v>0</v>
      </c>
      <c r="Z73" s="97">
        <f>IF(Option2="No",0,IF($A73&lt;ImplementationYear,0,IF($A73&gt;(ImplementationYear+(Appraisal_Period-1)),0,SUM('Travel time'!$E$20:$E$21)*$B73)))</f>
        <v>0</v>
      </c>
      <c r="AA73" s="97">
        <f>IF(Option2="No",0,IF($A73&lt;ImplementationYear,0,IF($A73&gt;(ImplementationYear+(Appraisal_Period-1)),0,SUM(Quality!$E$22:$E$23)*$B73)))</f>
        <v>0</v>
      </c>
      <c r="AB73" s="97">
        <f>IF(Option2="No",0,IF($A73&lt;ImplementationYear,0,IF($A73&gt;(ImplementationYear+(Appraisal_Period-1)),0,SUM(Quality!$E$20:$E$21)*$B73)))</f>
        <v>0</v>
      </c>
      <c r="AC73" s="97">
        <f>IF(Option2="No",0,IF($A73&lt;ImplementationYear,0,IF($A73&gt;(ImplementationYear+(Appraisal_Period-1)),0,'Mode change'!$E$36*$B73)))</f>
        <v>0</v>
      </c>
      <c r="AD73" s="97">
        <f>IF(Option2="No",0,IF($A73&lt;ImplementationYear,0,IF($A73&gt;(ImplementationYear+(Appraisal_Period-1)),0,'Mode change'!$E$37*$B73)))</f>
        <v>0</v>
      </c>
      <c r="AE73" s="97">
        <f>IF(Option2="No",0,IF($A73&lt;ImplementationYear,0,IF($A73&gt;(ImplementationYear+(Appraisal_Period-1)),0,'Road safety'!$E$22*$B73)))</f>
        <v>0</v>
      </c>
      <c r="AF73" s="97">
        <f>IF(Option2="No",0,IF($A73&lt;ImplementationYear,0,IF($A73&gt;(ImplementationYear+(Appraisal_Period-1)),0,'Reduction in car usage'!$E$46*$B73)))</f>
        <v>0</v>
      </c>
      <c r="AG73" s="97">
        <f>IF(Option2="No",0,IF($A73&lt;ImplementationYear,0,IF($A73&gt;(ImplementationYear+(Appraisal_Period-1)),0,'Reduction in car usage'!$E$47*$B73)))</f>
        <v>0</v>
      </c>
      <c r="AH73" s="97">
        <f>IF(Option2="No",0,IF($A73&lt;ImplementationYear,0,IF($A73&gt;(ImplementationYear+(Appraisal_Period-1)),0,'Reduction in car usage'!$E$48*$B73)))</f>
        <v>0</v>
      </c>
      <c r="AJ73" s="94">
        <f>IF(Option3="No",0,IF($A73=ImplementationYear,('Project details'!$P$10-'Project details'!$D$10)*VLOOKUP(Year_cost_estimate,'Time-series parameters'!$B$11:$C$89,2,FALSE)*$B73*(1+Contingency),0))</f>
        <v>0</v>
      </c>
      <c r="AK73" s="94">
        <f>IF(Option3="No",0,IF($A73&lt;ImplementationYear,0,IF($A73&gt;(ImplementationYear+(Appraisal_Period-1)),0,('Project details'!$P$11-'Project details'!$D$11)*VLOOKUP(Year_cost_estimate,'Time-series parameters'!$B$11:$C$89,2,0))*$B73))</f>
        <v>0</v>
      </c>
      <c r="AL73" s="94">
        <f>IF(Option3="No",0,IF($A73=ImplementationYear,('Project details'!$P$12-'Project details'!$D$12)*VLOOKUP(Year_cost_estimate,'Time-series parameters'!$B$11:$C$89,2,FALSE)*$B73,0))</f>
        <v>0</v>
      </c>
      <c r="AM73" s="97">
        <f>IF(Option3="No",0,IF($A73&lt;ImplementationYear,0,IF($A73&gt;(ImplementationYear+(Appraisal_Period-1)),0,Health!$F$21*$B73)))</f>
        <v>0</v>
      </c>
      <c r="AN73" s="97">
        <f>IF(Option3="No",0,IF($A73&lt;ImplementationYear,0,IF($A73&gt;(ImplementationYear+(Appraisal_Period-1)),0,Health!$F$22*$B73)))</f>
        <v>0</v>
      </c>
      <c r="AO73" s="97">
        <f>IF(Option3="No",0,IF($A73&lt;ImplementationYear,0,IF($A73&gt;(ImplementationYear+(Appraisal_Period-1)),0,SUM('Travel time'!$F$22:$F$23)*$B73)))</f>
        <v>0</v>
      </c>
      <c r="AP73" s="97">
        <f>IF(Option3="No",0,IF($A73&lt;ImplementationYear,0,IF($A73&gt;(ImplementationYear+(Appraisal_Period-1)),0,SUM('Travel time'!$F$20:$F$21)*$B73)))</f>
        <v>0</v>
      </c>
      <c r="AQ73" s="97">
        <f>IF(Option3="No",0,IF($A73&lt;ImplementationYear,0,IF($A73&gt;(ImplementationYear+(Appraisal_Period-1)),0,SUM(Quality!$F$22:$F$23)*$B73)))</f>
        <v>0</v>
      </c>
      <c r="AR73" s="97">
        <f>IF(Option3="No",0,IF($A73&lt;ImplementationYear,0,IF($A73&gt;(ImplementationYear+(Appraisal_Period-1)),0,SUM(Quality!$F$20:$F$21)*$B73)))</f>
        <v>0</v>
      </c>
      <c r="AS73" s="97">
        <f>IF(Option3="No",0,IF($A73&lt;ImplementationYear,0,IF($A73&gt;(ImplementationYear+(Appraisal_Period-1)),0,'Mode change'!$F$36*$B73)))</f>
        <v>0</v>
      </c>
      <c r="AT73" s="97">
        <f>IF(Option3="No",0,IF($A73&lt;ImplementationYear,0,IF($A73&gt;(ImplementationYear+(Appraisal_Period-1)),0,'Mode change'!$F$37*$B73)))</f>
        <v>0</v>
      </c>
      <c r="AU73" s="97">
        <f>IF(Option3="No",0,IF($A73&lt;ImplementationYear,0,IF($A73&gt;(ImplementationYear+(Appraisal_Period-1)),0,'Road safety'!$F$22*$B73)))</f>
        <v>0</v>
      </c>
      <c r="AV73" s="97">
        <f>IF(Option3="No",0,IF($A73&lt;ImplementationYear,0,IF($A73&gt;(ImplementationYear+(Appraisal_Period-1)),0,'Reduction in car usage'!$F$46*$B73)))</f>
        <v>0</v>
      </c>
      <c r="AW73" s="97">
        <f>IF(Option3="No",0,IF($A73&lt;ImplementationYear,0,IF($A73&gt;(ImplementationYear+(Appraisal_Period-1)),0,'Reduction in car usage'!$F$47*$B73)))</f>
        <v>0</v>
      </c>
      <c r="AX73" s="97">
        <f>IF(Option3="No",0,IF($A73&lt;ImplementationYear,0,IF($A73&gt;(ImplementationYear+(Appraisal_Period-1)),0,'Reduction in car usage'!$F$48*$B73)))</f>
        <v>0</v>
      </c>
    </row>
    <row r="74" spans="1:50">
      <c r="A74" s="335">
        <v>2069</v>
      </c>
      <c r="B74" s="62">
        <f>VLOOKUP($A74,'Time-series parameters'!$E$11:$H$89,2,FALSE)</f>
        <v>7.9376872978280388E-3</v>
      </c>
      <c r="C74" s="89"/>
      <c r="D74" s="94">
        <f>IF(Option1="No",0,IF($A74=ImplementationYear,('Project details'!$H$10-'Project details'!$D$10)*VLOOKUP(Year_cost_estimate,'Time-series parameters'!$B$11:$C$89,2,FALSE)*$B74*(1+Contingency),0))</f>
        <v>0</v>
      </c>
      <c r="E74" s="94">
        <f>IF(Option1="No",0,IF($A74&lt;ImplementationYear,0,IF($A74&gt;(ImplementationYear+(Appraisal_Period-1)),0,('Project details'!$H$11-'Project details'!$D$11)*VLOOKUP(Year_cost_estimate,'Time-series parameters'!$B$11:$C$89,2,0))*$B74))</f>
        <v>0</v>
      </c>
      <c r="F74" s="94">
        <f>IF(Option1="No",0,IF($A74=ImplementationYear,('Project details'!$H$12-'Project details'!$D$12)*VLOOKUP(Year_cost_estimate,'Time-series parameters'!$B$11:$C$89,2,FALSE)*$B74,0))</f>
        <v>0</v>
      </c>
      <c r="G74" s="97">
        <f>IF(Option1="No",0,IF($A74&lt;ImplementationYear,0,IF($A74&gt;(ImplementationYear+(Appraisal_Period-1)),0,Health!$D$21*$B74)))</f>
        <v>0</v>
      </c>
      <c r="H74" s="97">
        <f>IF(Option1="No",0,IF($A74&lt;ImplementationYear,0,IF($A74&gt;(ImplementationYear+(Appraisal_Period-1)),0,Health!$D$22*$B74)))</f>
        <v>0</v>
      </c>
      <c r="I74" s="97">
        <f>IF(Option1="No",0,IF($A74&lt;ImplementationYear,0,IF($A74&gt;(ImplementationYear+(Appraisal_Period-1)),0,SUM('Travel time'!$D$22:$D$23)*$B74)))</f>
        <v>0</v>
      </c>
      <c r="J74" s="97">
        <f>IF(Option1="No",0,IF($A74&lt;ImplementationYear,0,IF($A74&gt;(ImplementationYear+(Appraisal_Period-1)),0,SUM('Travel time'!$D$20:$D$21)*$B74)))</f>
        <v>0</v>
      </c>
      <c r="K74" s="97">
        <f>IF(Option1="No",0,IF($A74&lt;ImplementationYear,0,IF($A74&gt;(ImplementationYear+(Appraisal_Period-1)),0,SUM(Quality!$D$22:$D$23)*$B74)))</f>
        <v>0</v>
      </c>
      <c r="L74" s="97">
        <f>IF(Option1="No",0,IF($A74&lt;ImplementationYear,0,IF($A74&gt;(ImplementationYear+(Appraisal_Period-1)),0,SUM(Quality!$D$20:$D$21)*$B74)))</f>
        <v>0</v>
      </c>
      <c r="M74" s="97">
        <f>IF(Option1="No",0,IF($A74&lt;ImplementationYear,0,IF($A74&gt;(ImplementationYear+(Appraisal_Period-1)),0,'Mode change'!$D$36*$B74)))</f>
        <v>0</v>
      </c>
      <c r="N74" s="97">
        <f>IF(Option1="No",0,IF($A74&lt;ImplementationYear,0,IF($A74&gt;(ImplementationYear+(Appraisal_Period-1)),0,'Mode change'!$D$37*$B74)))</f>
        <v>0</v>
      </c>
      <c r="O74" s="97">
        <f>IF(Option1="No",0,IF($A74&lt;ImplementationYear,0,IF($A74&gt;(ImplementationYear+(Appraisal_Period-1)),0,'Road safety'!$D$22*$B74)))</f>
        <v>0</v>
      </c>
      <c r="P74" s="97">
        <f>IF(Option1="No",0,IF($A74&lt;ImplementationYear,0,IF($A74&gt;(ImplementationYear+(Appraisal_Period-1)),0,'Reduction in car usage'!$D$46*$B74)))</f>
        <v>0</v>
      </c>
      <c r="Q74" s="97">
        <f>IF(Option1="No",0,IF($A74&lt;ImplementationYear,0,IF($A74&gt;(ImplementationYear+(Appraisal_Period-1)),0,'Reduction in car usage'!$D$47*$B74)))</f>
        <v>0</v>
      </c>
      <c r="R74" s="97">
        <f>IF(Option1="No",0,IF($A74&lt;ImplementationYear,0,IF($A74&gt;(ImplementationYear+(Appraisal_Period-1)),0,'Reduction in car usage'!$D$48*$B74)))</f>
        <v>0</v>
      </c>
      <c r="S74" s="92"/>
      <c r="T74" s="94">
        <f>IF(Option2="No",0,IF($A74=ImplementationYear,('Project details'!$L$10-'Project details'!$D$10)*VLOOKUP(Year_cost_estimate,'Time-series parameters'!$B$11:$C$89,2,FALSE)*$B74*(1+Contingency),0))</f>
        <v>0</v>
      </c>
      <c r="U74" s="94">
        <f>IF(Option2="No",0,IF($A74&lt;ImplementationYear,0,IF($A74&gt;(ImplementationYear+(Appraisal_Period-1)),0,('Project details'!$L$11-'Project details'!$D$11)*VLOOKUP(Year_cost_estimate,'Time-series parameters'!$B$11:$C$89,2,0))*$B74))</f>
        <v>0</v>
      </c>
      <c r="V74" s="94">
        <f>IF(Option2="No",0,IF($A74=ImplementationYear,('Project details'!$L$12-'Project details'!$D$12)*VLOOKUP(Year_cost_estimate,'Time-series parameters'!$B$11:$C$89,2,FALSE)*$B74,0))</f>
        <v>0</v>
      </c>
      <c r="W74" s="97">
        <f>IF(Option2="No",0,IF($A74&lt;ImplementationYear,0,IF($A74&gt;(ImplementationYear+(Appraisal_Period-1)),0,Health!$E$21*$B74)))</f>
        <v>0</v>
      </c>
      <c r="X74" s="97">
        <f>IF(Option2="No",0,IF($A74&lt;ImplementationYear,0,IF($A74&gt;(ImplementationYear+(Appraisal_Period-1)),0,Health!$E$22*$B74)))</f>
        <v>0</v>
      </c>
      <c r="Y74" s="97">
        <f>IF(Option2="No",0,IF($A74&lt;ImplementationYear,0,IF($A74&gt;(ImplementationYear+(Appraisal_Period-1)),0,SUM('Travel time'!$E$22:$E$23)*$B74)))</f>
        <v>0</v>
      </c>
      <c r="Z74" s="97">
        <f>IF(Option2="No",0,IF($A74&lt;ImplementationYear,0,IF($A74&gt;(ImplementationYear+(Appraisal_Period-1)),0,SUM('Travel time'!$E$20:$E$21)*$B74)))</f>
        <v>0</v>
      </c>
      <c r="AA74" s="97">
        <f>IF(Option2="No",0,IF($A74&lt;ImplementationYear,0,IF($A74&gt;(ImplementationYear+(Appraisal_Period-1)),0,SUM(Quality!$E$22:$E$23)*$B74)))</f>
        <v>0</v>
      </c>
      <c r="AB74" s="97">
        <f>IF(Option2="No",0,IF($A74&lt;ImplementationYear,0,IF($A74&gt;(ImplementationYear+(Appraisal_Period-1)),0,SUM(Quality!$E$20:$E$21)*$B74)))</f>
        <v>0</v>
      </c>
      <c r="AC74" s="97">
        <f>IF(Option2="No",0,IF($A74&lt;ImplementationYear,0,IF($A74&gt;(ImplementationYear+(Appraisal_Period-1)),0,'Mode change'!$E$36*$B74)))</f>
        <v>0</v>
      </c>
      <c r="AD74" s="97">
        <f>IF(Option2="No",0,IF($A74&lt;ImplementationYear,0,IF($A74&gt;(ImplementationYear+(Appraisal_Period-1)),0,'Mode change'!$E$37*$B74)))</f>
        <v>0</v>
      </c>
      <c r="AE74" s="97">
        <f>IF(Option2="No",0,IF($A74&lt;ImplementationYear,0,IF($A74&gt;(ImplementationYear+(Appraisal_Period-1)),0,'Road safety'!$E$22*$B74)))</f>
        <v>0</v>
      </c>
      <c r="AF74" s="97">
        <f>IF(Option2="No",0,IF($A74&lt;ImplementationYear,0,IF($A74&gt;(ImplementationYear+(Appraisal_Period-1)),0,'Reduction in car usage'!$E$46*$B74)))</f>
        <v>0</v>
      </c>
      <c r="AG74" s="97">
        <f>IF(Option2="No",0,IF($A74&lt;ImplementationYear,0,IF($A74&gt;(ImplementationYear+(Appraisal_Period-1)),0,'Reduction in car usage'!$E$47*$B74)))</f>
        <v>0</v>
      </c>
      <c r="AH74" s="97">
        <f>IF(Option2="No",0,IF($A74&lt;ImplementationYear,0,IF($A74&gt;(ImplementationYear+(Appraisal_Period-1)),0,'Reduction in car usage'!$E$48*$B74)))</f>
        <v>0</v>
      </c>
      <c r="AJ74" s="94">
        <f>IF(Option3="No",0,IF($A74=ImplementationYear,('Project details'!$P$10-'Project details'!$D$10)*VLOOKUP(Year_cost_estimate,'Time-series parameters'!$B$11:$C$89,2,FALSE)*$B74*(1+Contingency),0))</f>
        <v>0</v>
      </c>
      <c r="AK74" s="94">
        <f>IF(Option3="No",0,IF($A74&lt;ImplementationYear,0,IF($A74&gt;(ImplementationYear+(Appraisal_Period-1)),0,('Project details'!$P$11-'Project details'!$D$11)*VLOOKUP(Year_cost_estimate,'Time-series parameters'!$B$11:$C$89,2,0))*$B74))</f>
        <v>0</v>
      </c>
      <c r="AL74" s="94">
        <f>IF(Option3="No",0,IF($A74=ImplementationYear,('Project details'!$P$12-'Project details'!$D$12)*VLOOKUP(Year_cost_estimate,'Time-series parameters'!$B$11:$C$89,2,FALSE)*$B74,0))</f>
        <v>0</v>
      </c>
      <c r="AM74" s="97">
        <f>IF(Option3="No",0,IF($A74&lt;ImplementationYear,0,IF($A74&gt;(ImplementationYear+(Appraisal_Period-1)),0,Health!$F$21*$B74)))</f>
        <v>0</v>
      </c>
      <c r="AN74" s="97">
        <f>IF(Option3="No",0,IF($A74&lt;ImplementationYear,0,IF($A74&gt;(ImplementationYear+(Appraisal_Period-1)),0,Health!$F$22*$B74)))</f>
        <v>0</v>
      </c>
      <c r="AO74" s="97">
        <f>IF(Option3="No",0,IF($A74&lt;ImplementationYear,0,IF($A74&gt;(ImplementationYear+(Appraisal_Period-1)),0,SUM('Travel time'!$F$22:$F$23)*$B74)))</f>
        <v>0</v>
      </c>
      <c r="AP74" s="97">
        <f>IF(Option3="No",0,IF($A74&lt;ImplementationYear,0,IF($A74&gt;(ImplementationYear+(Appraisal_Period-1)),0,SUM('Travel time'!$F$20:$F$21)*$B74)))</f>
        <v>0</v>
      </c>
      <c r="AQ74" s="97">
        <f>IF(Option3="No",0,IF($A74&lt;ImplementationYear,0,IF($A74&gt;(ImplementationYear+(Appraisal_Period-1)),0,SUM(Quality!$F$22:$F$23)*$B74)))</f>
        <v>0</v>
      </c>
      <c r="AR74" s="97">
        <f>IF(Option3="No",0,IF($A74&lt;ImplementationYear,0,IF($A74&gt;(ImplementationYear+(Appraisal_Period-1)),0,SUM(Quality!$F$20:$F$21)*$B74)))</f>
        <v>0</v>
      </c>
      <c r="AS74" s="97">
        <f>IF(Option3="No",0,IF($A74&lt;ImplementationYear,0,IF($A74&gt;(ImplementationYear+(Appraisal_Period-1)),0,'Mode change'!$F$36*$B74)))</f>
        <v>0</v>
      </c>
      <c r="AT74" s="97">
        <f>IF(Option3="No",0,IF($A74&lt;ImplementationYear,0,IF($A74&gt;(ImplementationYear+(Appraisal_Period-1)),0,'Mode change'!$F$37*$B74)))</f>
        <v>0</v>
      </c>
      <c r="AU74" s="97">
        <f>IF(Option3="No",0,IF($A74&lt;ImplementationYear,0,IF($A74&gt;(ImplementationYear+(Appraisal_Period-1)),0,'Road safety'!$F$22*$B74)))</f>
        <v>0</v>
      </c>
      <c r="AV74" s="97">
        <f>IF(Option3="No",0,IF($A74&lt;ImplementationYear,0,IF($A74&gt;(ImplementationYear+(Appraisal_Period-1)),0,'Reduction in car usage'!$F$46*$B74)))</f>
        <v>0</v>
      </c>
      <c r="AW74" s="97">
        <f>IF(Option3="No",0,IF($A74&lt;ImplementationYear,0,IF($A74&gt;(ImplementationYear+(Appraisal_Period-1)),0,'Reduction in car usage'!$F$47*$B74)))</f>
        <v>0</v>
      </c>
      <c r="AX74" s="97">
        <f>IF(Option3="No",0,IF($A74&lt;ImplementationYear,0,IF($A74&gt;(ImplementationYear+(Appraisal_Period-1)),0,'Reduction in car usage'!$F$48*$B74)))</f>
        <v>0</v>
      </c>
    </row>
    <row r="75" spans="1:50">
      <c r="A75" s="335">
        <v>2070</v>
      </c>
      <c r="B75" s="62">
        <f>VLOOKUP($A75,'Time-series parameters'!$E$11:$H$89,2,FALSE)</f>
        <v>7.3026723140017956E-3</v>
      </c>
      <c r="C75" s="89"/>
      <c r="D75" s="94">
        <f>IF(Option1="No",0,IF($A75=ImplementationYear,('Project details'!$H$10-'Project details'!$D$10)*VLOOKUP(Year_cost_estimate,'Time-series parameters'!$B$11:$C$89,2,FALSE)*$B75*(1+Contingency),0))</f>
        <v>0</v>
      </c>
      <c r="E75" s="94">
        <f>IF(Option1="No",0,IF($A75&lt;ImplementationYear,0,IF($A75&gt;(ImplementationYear+(Appraisal_Period-1)),0,('Project details'!$H$11-'Project details'!$D$11)*VLOOKUP(Year_cost_estimate,'Time-series parameters'!$B$11:$C$89,2,0))*$B75))</f>
        <v>0</v>
      </c>
      <c r="F75" s="94">
        <f>IF(Option1="No",0,IF($A75=ImplementationYear,('Project details'!$H$12-'Project details'!$D$12)*VLOOKUP(Year_cost_estimate,'Time-series parameters'!$B$11:$C$89,2,FALSE)*$B75,0))</f>
        <v>0</v>
      </c>
      <c r="G75" s="97">
        <f>IF(Option1="No",0,IF($A75&lt;ImplementationYear,0,IF($A75&gt;(ImplementationYear+(Appraisal_Period-1)),0,Health!$D$21*$B75)))</f>
        <v>0</v>
      </c>
      <c r="H75" s="97">
        <f>IF(Option1="No",0,IF($A75&lt;ImplementationYear,0,IF($A75&gt;(ImplementationYear+(Appraisal_Period-1)),0,Health!$D$22*$B75)))</f>
        <v>0</v>
      </c>
      <c r="I75" s="97">
        <f>IF(Option1="No",0,IF($A75&lt;ImplementationYear,0,IF($A75&gt;(ImplementationYear+(Appraisal_Period-1)),0,SUM('Travel time'!$D$22:$D$23)*$B75)))</f>
        <v>0</v>
      </c>
      <c r="J75" s="97">
        <f>IF(Option1="No",0,IF($A75&lt;ImplementationYear,0,IF($A75&gt;(ImplementationYear+(Appraisal_Period-1)),0,SUM('Travel time'!$D$20:$D$21)*$B75)))</f>
        <v>0</v>
      </c>
      <c r="K75" s="97">
        <f>IF(Option1="No",0,IF($A75&lt;ImplementationYear,0,IF($A75&gt;(ImplementationYear+(Appraisal_Period-1)),0,SUM(Quality!$D$22:$D$23)*$B75)))</f>
        <v>0</v>
      </c>
      <c r="L75" s="97">
        <f>IF(Option1="No",0,IF($A75&lt;ImplementationYear,0,IF($A75&gt;(ImplementationYear+(Appraisal_Period-1)),0,SUM(Quality!$D$20:$D$21)*$B75)))</f>
        <v>0</v>
      </c>
      <c r="M75" s="97">
        <f>IF(Option1="No",0,IF($A75&lt;ImplementationYear,0,IF($A75&gt;(ImplementationYear+(Appraisal_Period-1)),0,'Mode change'!$D$36*$B75)))</f>
        <v>0</v>
      </c>
      <c r="N75" s="97">
        <f>IF(Option1="No",0,IF($A75&lt;ImplementationYear,0,IF($A75&gt;(ImplementationYear+(Appraisal_Period-1)),0,'Mode change'!$D$37*$B75)))</f>
        <v>0</v>
      </c>
      <c r="O75" s="97">
        <f>IF(Option1="No",0,IF($A75&lt;ImplementationYear,0,IF($A75&gt;(ImplementationYear+(Appraisal_Period-1)),0,'Road safety'!$D$22*$B75)))</f>
        <v>0</v>
      </c>
      <c r="P75" s="97">
        <f>IF(Option1="No",0,IF($A75&lt;ImplementationYear,0,IF($A75&gt;(ImplementationYear+(Appraisal_Period-1)),0,'Reduction in car usage'!$D$46*$B75)))</f>
        <v>0</v>
      </c>
      <c r="Q75" s="97">
        <f>IF(Option1="No",0,IF($A75&lt;ImplementationYear,0,IF($A75&gt;(ImplementationYear+(Appraisal_Period-1)),0,'Reduction in car usage'!$D$47*$B75)))</f>
        <v>0</v>
      </c>
      <c r="R75" s="97">
        <f>IF(Option1="No",0,IF($A75&lt;ImplementationYear,0,IF($A75&gt;(ImplementationYear+(Appraisal_Period-1)),0,'Reduction in car usage'!$D$48*$B75)))</f>
        <v>0</v>
      </c>
      <c r="S75" s="92"/>
      <c r="T75" s="94">
        <f>IF(Option2="No",0,IF($A75=ImplementationYear,('Project details'!$L$10-'Project details'!$D$10)*VLOOKUP(Year_cost_estimate,'Time-series parameters'!$B$11:$C$89,2,FALSE)*$B75*(1+Contingency),0))</f>
        <v>0</v>
      </c>
      <c r="U75" s="94">
        <f>IF(Option2="No",0,IF($A75&lt;ImplementationYear,0,IF($A75&gt;(ImplementationYear+(Appraisal_Period-1)),0,('Project details'!$L$11-'Project details'!$D$11)*VLOOKUP(Year_cost_estimate,'Time-series parameters'!$B$11:$C$89,2,0))*$B75))</f>
        <v>0</v>
      </c>
      <c r="V75" s="94">
        <f>IF(Option2="No",0,IF($A75=ImplementationYear,('Project details'!$L$12-'Project details'!$D$12)*VLOOKUP(Year_cost_estimate,'Time-series parameters'!$B$11:$C$89,2,FALSE)*$B75,0))</f>
        <v>0</v>
      </c>
      <c r="W75" s="97">
        <f>IF(Option2="No",0,IF($A75&lt;ImplementationYear,0,IF($A75&gt;(ImplementationYear+(Appraisal_Period-1)),0,Health!$E$21*$B75)))</f>
        <v>0</v>
      </c>
      <c r="X75" s="97">
        <f>IF(Option2="No",0,IF($A75&lt;ImplementationYear,0,IF($A75&gt;(ImplementationYear+(Appraisal_Period-1)),0,Health!$E$22*$B75)))</f>
        <v>0</v>
      </c>
      <c r="Y75" s="97">
        <f>IF(Option2="No",0,IF($A75&lt;ImplementationYear,0,IF($A75&gt;(ImplementationYear+(Appraisal_Period-1)),0,SUM('Travel time'!$E$22:$E$23)*$B75)))</f>
        <v>0</v>
      </c>
      <c r="Z75" s="97">
        <f>IF(Option2="No",0,IF($A75&lt;ImplementationYear,0,IF($A75&gt;(ImplementationYear+(Appraisal_Period-1)),0,SUM('Travel time'!$E$20:$E$21)*$B75)))</f>
        <v>0</v>
      </c>
      <c r="AA75" s="97">
        <f>IF(Option2="No",0,IF($A75&lt;ImplementationYear,0,IF($A75&gt;(ImplementationYear+(Appraisal_Period-1)),0,SUM(Quality!$E$22:$E$23)*$B75)))</f>
        <v>0</v>
      </c>
      <c r="AB75" s="97">
        <f>IF(Option2="No",0,IF($A75&lt;ImplementationYear,0,IF($A75&gt;(ImplementationYear+(Appraisal_Period-1)),0,SUM(Quality!$E$20:$E$21)*$B75)))</f>
        <v>0</v>
      </c>
      <c r="AC75" s="97">
        <f>IF(Option2="No",0,IF($A75&lt;ImplementationYear,0,IF($A75&gt;(ImplementationYear+(Appraisal_Period-1)),0,'Mode change'!$E$36*$B75)))</f>
        <v>0</v>
      </c>
      <c r="AD75" s="97">
        <f>IF(Option2="No",0,IF($A75&lt;ImplementationYear,0,IF($A75&gt;(ImplementationYear+(Appraisal_Period-1)),0,'Mode change'!$E$37*$B75)))</f>
        <v>0</v>
      </c>
      <c r="AE75" s="97">
        <f>IF(Option2="No",0,IF($A75&lt;ImplementationYear,0,IF($A75&gt;(ImplementationYear+(Appraisal_Period-1)),0,'Road safety'!$E$22*$B75)))</f>
        <v>0</v>
      </c>
      <c r="AF75" s="97">
        <f>IF(Option2="No",0,IF($A75&lt;ImplementationYear,0,IF($A75&gt;(ImplementationYear+(Appraisal_Period-1)),0,'Reduction in car usage'!$E$46*$B75)))</f>
        <v>0</v>
      </c>
      <c r="AG75" s="97">
        <f>IF(Option2="No",0,IF($A75&lt;ImplementationYear,0,IF($A75&gt;(ImplementationYear+(Appraisal_Period-1)),0,'Reduction in car usage'!$E$47*$B75)))</f>
        <v>0</v>
      </c>
      <c r="AH75" s="97">
        <f>IF(Option2="No",0,IF($A75&lt;ImplementationYear,0,IF($A75&gt;(ImplementationYear+(Appraisal_Period-1)),0,'Reduction in car usage'!$E$48*$B75)))</f>
        <v>0</v>
      </c>
      <c r="AJ75" s="94">
        <f>IF(Option3="No",0,IF($A75=ImplementationYear,('Project details'!$P$10-'Project details'!$D$10)*VLOOKUP(Year_cost_estimate,'Time-series parameters'!$B$11:$C$89,2,FALSE)*$B75*(1+Contingency),0))</f>
        <v>0</v>
      </c>
      <c r="AK75" s="94">
        <f>IF(Option3="No",0,IF($A75&lt;ImplementationYear,0,IF($A75&gt;(ImplementationYear+(Appraisal_Period-1)),0,('Project details'!$P$11-'Project details'!$D$11)*VLOOKUP(Year_cost_estimate,'Time-series parameters'!$B$11:$C$89,2,0))*$B75))</f>
        <v>0</v>
      </c>
      <c r="AL75" s="94">
        <f>IF(Option3="No",0,IF($A75=ImplementationYear,('Project details'!$P$12-'Project details'!$D$12)*VLOOKUP(Year_cost_estimate,'Time-series parameters'!$B$11:$C$89,2,FALSE)*$B75,0))</f>
        <v>0</v>
      </c>
      <c r="AM75" s="97">
        <f>IF(Option3="No",0,IF($A75&lt;ImplementationYear,0,IF($A75&gt;(ImplementationYear+(Appraisal_Period-1)),0,Health!$F$21*$B75)))</f>
        <v>0</v>
      </c>
      <c r="AN75" s="97">
        <f>IF(Option3="No",0,IF($A75&lt;ImplementationYear,0,IF($A75&gt;(ImplementationYear+(Appraisal_Period-1)),0,Health!$F$22*$B75)))</f>
        <v>0</v>
      </c>
      <c r="AO75" s="97">
        <f>IF(Option3="No",0,IF($A75&lt;ImplementationYear,0,IF($A75&gt;(ImplementationYear+(Appraisal_Period-1)),0,SUM('Travel time'!$F$22:$F$23)*$B75)))</f>
        <v>0</v>
      </c>
      <c r="AP75" s="97">
        <f>IF(Option3="No",0,IF($A75&lt;ImplementationYear,0,IF($A75&gt;(ImplementationYear+(Appraisal_Period-1)),0,SUM('Travel time'!$F$20:$F$21)*$B75)))</f>
        <v>0</v>
      </c>
      <c r="AQ75" s="97">
        <f>IF(Option3="No",0,IF($A75&lt;ImplementationYear,0,IF($A75&gt;(ImplementationYear+(Appraisal_Period-1)),0,SUM(Quality!$F$22:$F$23)*$B75)))</f>
        <v>0</v>
      </c>
      <c r="AR75" s="97">
        <f>IF(Option3="No",0,IF($A75&lt;ImplementationYear,0,IF($A75&gt;(ImplementationYear+(Appraisal_Period-1)),0,SUM(Quality!$F$20:$F$21)*$B75)))</f>
        <v>0</v>
      </c>
      <c r="AS75" s="97">
        <f>IF(Option3="No",0,IF($A75&lt;ImplementationYear,0,IF($A75&gt;(ImplementationYear+(Appraisal_Period-1)),0,'Mode change'!$F$36*$B75)))</f>
        <v>0</v>
      </c>
      <c r="AT75" s="97">
        <f>IF(Option3="No",0,IF($A75&lt;ImplementationYear,0,IF($A75&gt;(ImplementationYear+(Appraisal_Period-1)),0,'Mode change'!$F$37*$B75)))</f>
        <v>0</v>
      </c>
      <c r="AU75" s="97">
        <f>IF(Option3="No",0,IF($A75&lt;ImplementationYear,0,IF($A75&gt;(ImplementationYear+(Appraisal_Period-1)),0,'Road safety'!$F$22*$B75)))</f>
        <v>0</v>
      </c>
      <c r="AV75" s="97">
        <f>IF(Option3="No",0,IF($A75&lt;ImplementationYear,0,IF($A75&gt;(ImplementationYear+(Appraisal_Period-1)),0,'Reduction in car usage'!$F$46*$B75)))</f>
        <v>0</v>
      </c>
      <c r="AW75" s="97">
        <f>IF(Option3="No",0,IF($A75&lt;ImplementationYear,0,IF($A75&gt;(ImplementationYear+(Appraisal_Period-1)),0,'Reduction in car usage'!$F$47*$B75)))</f>
        <v>0</v>
      </c>
      <c r="AX75" s="97">
        <f>IF(Option3="No",0,IF($A75&lt;ImplementationYear,0,IF($A75&gt;(ImplementationYear+(Appraisal_Period-1)),0,'Reduction in car usage'!$F$48*$B75)))</f>
        <v>0</v>
      </c>
    </row>
    <row r="76" spans="1:50">
      <c r="A76" s="335">
        <v>2071</v>
      </c>
      <c r="B76" s="62">
        <f>VLOOKUP($A76,'Time-series parameters'!$E$11:$H$89,2,FALSE)</f>
        <v>6.7184585288816521E-3</v>
      </c>
      <c r="C76" s="89"/>
      <c r="D76" s="94">
        <f>IF(Option1="No",0,IF($A76=ImplementationYear,('Project details'!$H$10-'Project details'!$D$10)*VLOOKUP(Year_cost_estimate,'Time-series parameters'!$B$11:$C$89,2,FALSE)*$B76*(1+Contingency),0))</f>
        <v>0</v>
      </c>
      <c r="E76" s="94">
        <f>IF(Option1="No",0,IF($A76&lt;ImplementationYear,0,IF($A76&gt;(ImplementationYear+(Appraisal_Period-1)),0,('Project details'!$H$11-'Project details'!$D$11)*VLOOKUP(Year_cost_estimate,'Time-series parameters'!$B$11:$C$89,2,0))*$B76))</f>
        <v>0</v>
      </c>
      <c r="F76" s="94">
        <f>IF(Option1="No",0,IF($A76=ImplementationYear,('Project details'!$H$12-'Project details'!$D$12)*VLOOKUP(Year_cost_estimate,'Time-series parameters'!$B$11:$C$89,2,FALSE)*$B76,0))</f>
        <v>0</v>
      </c>
      <c r="G76" s="97">
        <f>IF(Option1="No",0,IF($A76&lt;ImplementationYear,0,IF($A76&gt;(ImplementationYear+(Appraisal_Period-1)),0,Health!$D$21*$B76)))</f>
        <v>0</v>
      </c>
      <c r="H76" s="97">
        <f>IF(Option1="No",0,IF($A76&lt;ImplementationYear,0,IF($A76&gt;(ImplementationYear+(Appraisal_Period-1)),0,Health!$D$22*$B76)))</f>
        <v>0</v>
      </c>
      <c r="I76" s="97">
        <f>IF(Option1="No",0,IF($A76&lt;ImplementationYear,0,IF($A76&gt;(ImplementationYear+(Appraisal_Period-1)),0,SUM('Travel time'!$D$22:$D$23)*$B76)))</f>
        <v>0</v>
      </c>
      <c r="J76" s="97">
        <f>IF(Option1="No",0,IF($A76&lt;ImplementationYear,0,IF($A76&gt;(ImplementationYear+(Appraisal_Period-1)),0,SUM('Travel time'!$D$20:$D$21)*$B76)))</f>
        <v>0</v>
      </c>
      <c r="K76" s="97">
        <f>IF(Option1="No",0,IF($A76&lt;ImplementationYear,0,IF($A76&gt;(ImplementationYear+(Appraisal_Period-1)),0,SUM(Quality!$D$22:$D$23)*$B76)))</f>
        <v>0</v>
      </c>
      <c r="L76" s="97">
        <f>IF(Option1="No",0,IF($A76&lt;ImplementationYear,0,IF($A76&gt;(ImplementationYear+(Appraisal_Period-1)),0,SUM(Quality!$D$20:$D$21)*$B76)))</f>
        <v>0</v>
      </c>
      <c r="M76" s="97">
        <f>IF(Option1="No",0,IF($A76&lt;ImplementationYear,0,IF($A76&gt;(ImplementationYear+(Appraisal_Period-1)),0,'Mode change'!$D$36*$B76)))</f>
        <v>0</v>
      </c>
      <c r="N76" s="97">
        <f>IF(Option1="No",0,IF($A76&lt;ImplementationYear,0,IF($A76&gt;(ImplementationYear+(Appraisal_Period-1)),0,'Mode change'!$D$37*$B76)))</f>
        <v>0</v>
      </c>
      <c r="O76" s="97">
        <f>IF(Option1="No",0,IF($A76&lt;ImplementationYear,0,IF($A76&gt;(ImplementationYear+(Appraisal_Period-1)),0,'Road safety'!$D$22*$B76)))</f>
        <v>0</v>
      </c>
      <c r="P76" s="97">
        <f>IF(Option1="No",0,IF($A76&lt;ImplementationYear,0,IF($A76&gt;(ImplementationYear+(Appraisal_Period-1)),0,'Reduction in car usage'!$D$46*$B76)))</f>
        <v>0</v>
      </c>
      <c r="Q76" s="97">
        <f>IF(Option1="No",0,IF($A76&lt;ImplementationYear,0,IF($A76&gt;(ImplementationYear+(Appraisal_Period-1)),0,'Reduction in car usage'!$D$47*$B76)))</f>
        <v>0</v>
      </c>
      <c r="R76" s="97">
        <f>IF(Option1="No",0,IF($A76&lt;ImplementationYear,0,IF($A76&gt;(ImplementationYear+(Appraisal_Period-1)),0,'Reduction in car usage'!$D$48*$B76)))</f>
        <v>0</v>
      </c>
      <c r="S76" s="92"/>
      <c r="T76" s="94">
        <f>IF(Option2="No",0,IF($A76=ImplementationYear,('Project details'!$L$10-'Project details'!$D$10)*VLOOKUP(Year_cost_estimate,'Time-series parameters'!$B$11:$C$89,2,FALSE)*$B76*(1+Contingency),0))</f>
        <v>0</v>
      </c>
      <c r="U76" s="94">
        <f>IF(Option2="No",0,IF($A76&lt;ImplementationYear,0,IF($A76&gt;(ImplementationYear+(Appraisal_Period-1)),0,('Project details'!$L$11-'Project details'!$D$11)*VLOOKUP(Year_cost_estimate,'Time-series parameters'!$B$11:$C$89,2,0))*$B76))</f>
        <v>0</v>
      </c>
      <c r="V76" s="94">
        <f>IF(Option2="No",0,IF($A76=ImplementationYear,('Project details'!$L$12-'Project details'!$D$12)*VLOOKUP(Year_cost_estimate,'Time-series parameters'!$B$11:$C$89,2,FALSE)*$B76,0))</f>
        <v>0</v>
      </c>
      <c r="W76" s="97">
        <f>IF(Option2="No",0,IF($A76&lt;ImplementationYear,0,IF($A76&gt;(ImplementationYear+(Appraisal_Period-1)),0,Health!$E$21*$B76)))</f>
        <v>0</v>
      </c>
      <c r="X76" s="97">
        <f>IF(Option2="No",0,IF($A76&lt;ImplementationYear,0,IF($A76&gt;(ImplementationYear+(Appraisal_Period-1)),0,Health!$E$22*$B76)))</f>
        <v>0</v>
      </c>
      <c r="Y76" s="97">
        <f>IF(Option2="No",0,IF($A76&lt;ImplementationYear,0,IF($A76&gt;(ImplementationYear+(Appraisal_Period-1)),0,SUM('Travel time'!$E$22:$E$23)*$B76)))</f>
        <v>0</v>
      </c>
      <c r="Z76" s="97">
        <f>IF(Option2="No",0,IF($A76&lt;ImplementationYear,0,IF($A76&gt;(ImplementationYear+(Appraisal_Period-1)),0,SUM('Travel time'!$E$20:$E$21)*$B76)))</f>
        <v>0</v>
      </c>
      <c r="AA76" s="97">
        <f>IF(Option2="No",0,IF($A76&lt;ImplementationYear,0,IF($A76&gt;(ImplementationYear+(Appraisal_Period-1)),0,SUM(Quality!$E$22:$E$23)*$B76)))</f>
        <v>0</v>
      </c>
      <c r="AB76" s="97">
        <f>IF(Option2="No",0,IF($A76&lt;ImplementationYear,0,IF($A76&gt;(ImplementationYear+(Appraisal_Period-1)),0,SUM(Quality!$E$20:$E$21)*$B76)))</f>
        <v>0</v>
      </c>
      <c r="AC76" s="97">
        <f>IF(Option2="No",0,IF($A76&lt;ImplementationYear,0,IF($A76&gt;(ImplementationYear+(Appraisal_Period-1)),0,'Mode change'!$E$36*$B76)))</f>
        <v>0</v>
      </c>
      <c r="AD76" s="97">
        <f>IF(Option2="No",0,IF($A76&lt;ImplementationYear,0,IF($A76&gt;(ImplementationYear+(Appraisal_Period-1)),0,'Mode change'!$E$37*$B76)))</f>
        <v>0</v>
      </c>
      <c r="AE76" s="97">
        <f>IF(Option2="No",0,IF($A76&lt;ImplementationYear,0,IF($A76&gt;(ImplementationYear+(Appraisal_Period-1)),0,'Road safety'!$E$22*$B76)))</f>
        <v>0</v>
      </c>
      <c r="AF76" s="97">
        <f>IF(Option2="No",0,IF($A76&lt;ImplementationYear,0,IF($A76&gt;(ImplementationYear+(Appraisal_Period-1)),0,'Reduction in car usage'!$E$46*$B76)))</f>
        <v>0</v>
      </c>
      <c r="AG76" s="97">
        <f>IF(Option2="No",0,IF($A76&lt;ImplementationYear,0,IF($A76&gt;(ImplementationYear+(Appraisal_Period-1)),0,'Reduction in car usage'!$E$47*$B76)))</f>
        <v>0</v>
      </c>
      <c r="AH76" s="97">
        <f>IF(Option2="No",0,IF($A76&lt;ImplementationYear,0,IF($A76&gt;(ImplementationYear+(Appraisal_Period-1)),0,'Reduction in car usage'!$E$48*$B76)))</f>
        <v>0</v>
      </c>
      <c r="AJ76" s="94">
        <f>IF(Option3="No",0,IF($A76=ImplementationYear,('Project details'!$P$10-'Project details'!$D$10)*VLOOKUP(Year_cost_estimate,'Time-series parameters'!$B$11:$C$89,2,FALSE)*$B76*(1+Contingency),0))</f>
        <v>0</v>
      </c>
      <c r="AK76" s="94">
        <f>IF(Option3="No",0,IF($A76&lt;ImplementationYear,0,IF($A76&gt;(ImplementationYear+(Appraisal_Period-1)),0,('Project details'!$P$11-'Project details'!$D$11)*VLOOKUP(Year_cost_estimate,'Time-series parameters'!$B$11:$C$89,2,0))*$B76))</f>
        <v>0</v>
      </c>
      <c r="AL76" s="94">
        <f>IF(Option3="No",0,IF($A76=ImplementationYear,('Project details'!$P$12-'Project details'!$D$12)*VLOOKUP(Year_cost_estimate,'Time-series parameters'!$B$11:$C$89,2,FALSE)*$B76,0))</f>
        <v>0</v>
      </c>
      <c r="AM76" s="97">
        <f>IF(Option3="No",0,IF($A76&lt;ImplementationYear,0,IF($A76&gt;(ImplementationYear+(Appraisal_Period-1)),0,Health!$F$21*$B76)))</f>
        <v>0</v>
      </c>
      <c r="AN76" s="97">
        <f>IF(Option3="No",0,IF($A76&lt;ImplementationYear,0,IF($A76&gt;(ImplementationYear+(Appraisal_Period-1)),0,Health!$F$22*$B76)))</f>
        <v>0</v>
      </c>
      <c r="AO76" s="97">
        <f>IF(Option3="No",0,IF($A76&lt;ImplementationYear,0,IF($A76&gt;(ImplementationYear+(Appraisal_Period-1)),0,SUM('Travel time'!$F$22:$F$23)*$B76)))</f>
        <v>0</v>
      </c>
      <c r="AP76" s="97">
        <f>IF(Option3="No",0,IF($A76&lt;ImplementationYear,0,IF($A76&gt;(ImplementationYear+(Appraisal_Period-1)),0,SUM('Travel time'!$F$20:$F$21)*$B76)))</f>
        <v>0</v>
      </c>
      <c r="AQ76" s="97">
        <f>IF(Option3="No",0,IF($A76&lt;ImplementationYear,0,IF($A76&gt;(ImplementationYear+(Appraisal_Period-1)),0,SUM(Quality!$F$22:$F$23)*$B76)))</f>
        <v>0</v>
      </c>
      <c r="AR76" s="97">
        <f>IF(Option3="No",0,IF($A76&lt;ImplementationYear,0,IF($A76&gt;(ImplementationYear+(Appraisal_Period-1)),0,SUM(Quality!$F$20:$F$21)*$B76)))</f>
        <v>0</v>
      </c>
      <c r="AS76" s="97">
        <f>IF(Option3="No",0,IF($A76&lt;ImplementationYear,0,IF($A76&gt;(ImplementationYear+(Appraisal_Period-1)),0,'Mode change'!$F$36*$B76)))</f>
        <v>0</v>
      </c>
      <c r="AT76" s="97">
        <f>IF(Option3="No",0,IF($A76&lt;ImplementationYear,0,IF($A76&gt;(ImplementationYear+(Appraisal_Period-1)),0,'Mode change'!$F$37*$B76)))</f>
        <v>0</v>
      </c>
      <c r="AU76" s="97">
        <f>IF(Option3="No",0,IF($A76&lt;ImplementationYear,0,IF($A76&gt;(ImplementationYear+(Appraisal_Period-1)),0,'Road safety'!$F$22*$B76)))</f>
        <v>0</v>
      </c>
      <c r="AV76" s="97">
        <f>IF(Option3="No",0,IF($A76&lt;ImplementationYear,0,IF($A76&gt;(ImplementationYear+(Appraisal_Period-1)),0,'Reduction in car usage'!$F$46*$B76)))</f>
        <v>0</v>
      </c>
      <c r="AW76" s="97">
        <f>IF(Option3="No",0,IF($A76&lt;ImplementationYear,0,IF($A76&gt;(ImplementationYear+(Appraisal_Period-1)),0,'Reduction in car usage'!$F$47*$B76)))</f>
        <v>0</v>
      </c>
      <c r="AX76" s="97">
        <f>IF(Option3="No",0,IF($A76&lt;ImplementationYear,0,IF($A76&gt;(ImplementationYear+(Appraisal_Period-1)),0,'Reduction in car usage'!$F$48*$B76)))</f>
        <v>0</v>
      </c>
    </row>
    <row r="77" spans="1:50">
      <c r="A77" s="335">
        <v>2072</v>
      </c>
      <c r="B77" s="62">
        <f>VLOOKUP($A77,'Time-series parameters'!$E$11:$H$89,2,FALSE)</f>
        <v>6.18098184657112E-3</v>
      </c>
      <c r="C77" s="89"/>
      <c r="D77" s="94">
        <f>IF(Option1="No",0,IF($A77=ImplementationYear,('Project details'!$H$10-'Project details'!$D$10)*VLOOKUP(Year_cost_estimate,'Time-series parameters'!$B$11:$C$89,2,FALSE)*$B77*(1+Contingency),0))</f>
        <v>0</v>
      </c>
      <c r="E77" s="94">
        <f>IF(Option1="No",0,IF($A77&lt;ImplementationYear,0,IF($A77&gt;(ImplementationYear+(Appraisal_Period-1)),0,('Project details'!$H$11-'Project details'!$D$11)*VLOOKUP(Year_cost_estimate,'Time-series parameters'!$B$11:$C$89,2,0))*$B77))</f>
        <v>0</v>
      </c>
      <c r="F77" s="94">
        <f>IF(Option1="No",0,IF($A77=ImplementationYear,('Project details'!$H$12-'Project details'!$D$12)*VLOOKUP(Year_cost_estimate,'Time-series parameters'!$B$11:$C$89,2,FALSE)*$B77,0))</f>
        <v>0</v>
      </c>
      <c r="G77" s="97">
        <f>IF(Option1="No",0,IF($A77&lt;ImplementationYear,0,IF($A77&gt;(ImplementationYear+(Appraisal_Period-1)),0,Health!$D$21*$B77)))</f>
        <v>0</v>
      </c>
      <c r="H77" s="97">
        <f>IF(Option1="No",0,IF($A77&lt;ImplementationYear,0,IF($A77&gt;(ImplementationYear+(Appraisal_Period-1)),0,Health!$D$22*$B77)))</f>
        <v>0</v>
      </c>
      <c r="I77" s="97">
        <f>IF(Option1="No",0,IF($A77&lt;ImplementationYear,0,IF($A77&gt;(ImplementationYear+(Appraisal_Period-1)),0,SUM('Travel time'!$D$22:$D$23)*$B77)))</f>
        <v>0</v>
      </c>
      <c r="J77" s="97">
        <f>IF(Option1="No",0,IF($A77&lt;ImplementationYear,0,IF($A77&gt;(ImplementationYear+(Appraisal_Period-1)),0,SUM('Travel time'!$D$20:$D$21)*$B77)))</f>
        <v>0</v>
      </c>
      <c r="K77" s="97">
        <f>IF(Option1="No",0,IF($A77&lt;ImplementationYear,0,IF($A77&gt;(ImplementationYear+(Appraisal_Period-1)),0,SUM(Quality!$D$22:$D$23)*$B77)))</f>
        <v>0</v>
      </c>
      <c r="L77" s="97">
        <f>IF(Option1="No",0,IF($A77&lt;ImplementationYear,0,IF($A77&gt;(ImplementationYear+(Appraisal_Period-1)),0,SUM(Quality!$D$20:$D$21)*$B77)))</f>
        <v>0</v>
      </c>
      <c r="M77" s="97">
        <f>IF(Option1="No",0,IF($A77&lt;ImplementationYear,0,IF($A77&gt;(ImplementationYear+(Appraisal_Period-1)),0,'Mode change'!$D$36*$B77)))</f>
        <v>0</v>
      </c>
      <c r="N77" s="97">
        <f>IF(Option1="No",0,IF($A77&lt;ImplementationYear,0,IF($A77&gt;(ImplementationYear+(Appraisal_Period-1)),0,'Mode change'!$D$37*$B77)))</f>
        <v>0</v>
      </c>
      <c r="O77" s="97">
        <f>IF(Option1="No",0,IF($A77&lt;ImplementationYear,0,IF($A77&gt;(ImplementationYear+(Appraisal_Period-1)),0,'Road safety'!$D$22*$B77)))</f>
        <v>0</v>
      </c>
      <c r="P77" s="97">
        <f>IF(Option1="No",0,IF($A77&lt;ImplementationYear,0,IF($A77&gt;(ImplementationYear+(Appraisal_Period-1)),0,'Reduction in car usage'!$D$46*$B77)))</f>
        <v>0</v>
      </c>
      <c r="Q77" s="97">
        <f>IF(Option1="No",0,IF($A77&lt;ImplementationYear,0,IF($A77&gt;(ImplementationYear+(Appraisal_Period-1)),0,'Reduction in car usage'!$D$47*$B77)))</f>
        <v>0</v>
      </c>
      <c r="R77" s="97">
        <f>IF(Option1="No",0,IF($A77&lt;ImplementationYear,0,IF($A77&gt;(ImplementationYear+(Appraisal_Period-1)),0,'Reduction in car usage'!$D$48*$B77)))</f>
        <v>0</v>
      </c>
      <c r="S77" s="92"/>
      <c r="T77" s="94">
        <f>IF(Option2="No",0,IF($A77=ImplementationYear,('Project details'!$L$10-'Project details'!$D$10)*VLOOKUP(Year_cost_estimate,'Time-series parameters'!$B$11:$C$89,2,FALSE)*$B77*(1+Contingency),0))</f>
        <v>0</v>
      </c>
      <c r="U77" s="94">
        <f>IF(Option2="No",0,IF($A77&lt;ImplementationYear,0,IF($A77&gt;(ImplementationYear+(Appraisal_Period-1)),0,('Project details'!$L$11-'Project details'!$D$11)*VLOOKUP(Year_cost_estimate,'Time-series parameters'!$B$11:$C$89,2,0))*$B77))</f>
        <v>0</v>
      </c>
      <c r="V77" s="94">
        <f>IF(Option2="No",0,IF($A77=ImplementationYear,('Project details'!$L$12-'Project details'!$D$12)*VLOOKUP(Year_cost_estimate,'Time-series parameters'!$B$11:$C$89,2,FALSE)*$B77,0))</f>
        <v>0</v>
      </c>
      <c r="W77" s="97">
        <f>IF(Option2="No",0,IF($A77&lt;ImplementationYear,0,IF($A77&gt;(ImplementationYear+(Appraisal_Period-1)),0,Health!$E$21*$B77)))</f>
        <v>0</v>
      </c>
      <c r="X77" s="97">
        <f>IF(Option2="No",0,IF($A77&lt;ImplementationYear,0,IF($A77&gt;(ImplementationYear+(Appraisal_Period-1)),0,Health!$E$22*$B77)))</f>
        <v>0</v>
      </c>
      <c r="Y77" s="97">
        <f>IF(Option2="No",0,IF($A77&lt;ImplementationYear,0,IF($A77&gt;(ImplementationYear+(Appraisal_Period-1)),0,SUM('Travel time'!$E$22:$E$23)*$B77)))</f>
        <v>0</v>
      </c>
      <c r="Z77" s="97">
        <f>IF(Option2="No",0,IF($A77&lt;ImplementationYear,0,IF($A77&gt;(ImplementationYear+(Appraisal_Period-1)),0,SUM('Travel time'!$E$20:$E$21)*$B77)))</f>
        <v>0</v>
      </c>
      <c r="AA77" s="97">
        <f>IF(Option2="No",0,IF($A77&lt;ImplementationYear,0,IF($A77&gt;(ImplementationYear+(Appraisal_Period-1)),0,SUM(Quality!$E$22:$E$23)*$B77)))</f>
        <v>0</v>
      </c>
      <c r="AB77" s="97">
        <f>IF(Option2="No",0,IF($A77&lt;ImplementationYear,0,IF($A77&gt;(ImplementationYear+(Appraisal_Period-1)),0,SUM(Quality!$E$20:$E$21)*$B77)))</f>
        <v>0</v>
      </c>
      <c r="AC77" s="97">
        <f>IF(Option2="No",0,IF($A77&lt;ImplementationYear,0,IF($A77&gt;(ImplementationYear+(Appraisal_Period-1)),0,'Mode change'!$E$36*$B77)))</f>
        <v>0</v>
      </c>
      <c r="AD77" s="97">
        <f>IF(Option2="No",0,IF($A77&lt;ImplementationYear,0,IF($A77&gt;(ImplementationYear+(Appraisal_Period-1)),0,'Mode change'!$E$37*$B77)))</f>
        <v>0</v>
      </c>
      <c r="AE77" s="97">
        <f>IF(Option2="No",0,IF($A77&lt;ImplementationYear,0,IF($A77&gt;(ImplementationYear+(Appraisal_Period-1)),0,'Road safety'!$E$22*$B77)))</f>
        <v>0</v>
      </c>
      <c r="AF77" s="97">
        <f>IF(Option2="No",0,IF($A77&lt;ImplementationYear,0,IF($A77&gt;(ImplementationYear+(Appraisal_Period-1)),0,'Reduction in car usage'!$E$46*$B77)))</f>
        <v>0</v>
      </c>
      <c r="AG77" s="97">
        <f>IF(Option2="No",0,IF($A77&lt;ImplementationYear,0,IF($A77&gt;(ImplementationYear+(Appraisal_Period-1)),0,'Reduction in car usage'!$E$47*$B77)))</f>
        <v>0</v>
      </c>
      <c r="AH77" s="97">
        <f>IF(Option2="No",0,IF($A77&lt;ImplementationYear,0,IF($A77&gt;(ImplementationYear+(Appraisal_Period-1)),0,'Reduction in car usage'!$E$48*$B77)))</f>
        <v>0</v>
      </c>
      <c r="AJ77" s="94">
        <f>IF(Option3="No",0,IF($A77=ImplementationYear,('Project details'!$P$10-'Project details'!$D$10)*VLOOKUP(Year_cost_estimate,'Time-series parameters'!$B$11:$C$89,2,FALSE)*$B77*(1+Contingency),0))</f>
        <v>0</v>
      </c>
      <c r="AK77" s="94">
        <f>IF(Option3="No",0,IF($A77&lt;ImplementationYear,0,IF($A77&gt;(ImplementationYear+(Appraisal_Period-1)),0,('Project details'!$P$11-'Project details'!$D$11)*VLOOKUP(Year_cost_estimate,'Time-series parameters'!$B$11:$C$89,2,0))*$B77))</f>
        <v>0</v>
      </c>
      <c r="AL77" s="94">
        <f>IF(Option3="No",0,IF($A77=ImplementationYear,('Project details'!$P$12-'Project details'!$D$12)*VLOOKUP(Year_cost_estimate,'Time-series parameters'!$B$11:$C$89,2,FALSE)*$B77,0))</f>
        <v>0</v>
      </c>
      <c r="AM77" s="97">
        <f>IF(Option3="No",0,IF($A77&lt;ImplementationYear,0,IF($A77&gt;(ImplementationYear+(Appraisal_Period-1)),0,Health!$F$21*$B77)))</f>
        <v>0</v>
      </c>
      <c r="AN77" s="97">
        <f>IF(Option3="No",0,IF($A77&lt;ImplementationYear,0,IF($A77&gt;(ImplementationYear+(Appraisal_Period-1)),0,Health!$F$22*$B77)))</f>
        <v>0</v>
      </c>
      <c r="AO77" s="97">
        <f>IF(Option3="No",0,IF($A77&lt;ImplementationYear,0,IF($A77&gt;(ImplementationYear+(Appraisal_Period-1)),0,SUM('Travel time'!$F$22:$F$23)*$B77)))</f>
        <v>0</v>
      </c>
      <c r="AP77" s="97">
        <f>IF(Option3="No",0,IF($A77&lt;ImplementationYear,0,IF($A77&gt;(ImplementationYear+(Appraisal_Period-1)),0,SUM('Travel time'!$F$20:$F$21)*$B77)))</f>
        <v>0</v>
      </c>
      <c r="AQ77" s="97">
        <f>IF(Option3="No",0,IF($A77&lt;ImplementationYear,0,IF($A77&gt;(ImplementationYear+(Appraisal_Period-1)),0,SUM(Quality!$F$22:$F$23)*$B77)))</f>
        <v>0</v>
      </c>
      <c r="AR77" s="97">
        <f>IF(Option3="No",0,IF($A77&lt;ImplementationYear,0,IF($A77&gt;(ImplementationYear+(Appraisal_Period-1)),0,SUM(Quality!$F$20:$F$21)*$B77)))</f>
        <v>0</v>
      </c>
      <c r="AS77" s="97">
        <f>IF(Option3="No",0,IF($A77&lt;ImplementationYear,0,IF($A77&gt;(ImplementationYear+(Appraisal_Period-1)),0,'Mode change'!$F$36*$B77)))</f>
        <v>0</v>
      </c>
      <c r="AT77" s="97">
        <f>IF(Option3="No",0,IF($A77&lt;ImplementationYear,0,IF($A77&gt;(ImplementationYear+(Appraisal_Period-1)),0,'Mode change'!$F$37*$B77)))</f>
        <v>0</v>
      </c>
      <c r="AU77" s="97">
        <f>IF(Option3="No",0,IF($A77&lt;ImplementationYear,0,IF($A77&gt;(ImplementationYear+(Appraisal_Period-1)),0,'Road safety'!$F$22*$B77)))</f>
        <v>0</v>
      </c>
      <c r="AV77" s="97">
        <f>IF(Option3="No",0,IF($A77&lt;ImplementationYear,0,IF($A77&gt;(ImplementationYear+(Appraisal_Period-1)),0,'Reduction in car usage'!$F$46*$B77)))</f>
        <v>0</v>
      </c>
      <c r="AW77" s="97">
        <f>IF(Option3="No",0,IF($A77&lt;ImplementationYear,0,IF($A77&gt;(ImplementationYear+(Appraisal_Period-1)),0,'Reduction in car usage'!$F$47*$B77)))</f>
        <v>0</v>
      </c>
      <c r="AX77" s="97">
        <f>IF(Option3="No",0,IF($A77&lt;ImplementationYear,0,IF($A77&gt;(ImplementationYear+(Appraisal_Period-1)),0,'Reduction in car usage'!$F$48*$B77)))</f>
        <v>0</v>
      </c>
    </row>
    <row r="78" spans="1:50">
      <c r="A78" s="335">
        <v>2073</v>
      </c>
      <c r="B78" s="62">
        <f>VLOOKUP($A78,'Time-series parameters'!$E$11:$H$89,2,FALSE)</f>
        <v>5.68650329884543E-3</v>
      </c>
      <c r="C78" s="89"/>
      <c r="D78" s="94">
        <f>IF(Option1="No",0,IF($A78=ImplementationYear,('Project details'!$H$10-'Project details'!$D$10)*VLOOKUP(Year_cost_estimate,'Time-series parameters'!$B$11:$C$89,2,FALSE)*$B78*(1+Contingency),0))</f>
        <v>0</v>
      </c>
      <c r="E78" s="94">
        <f>IF(Option1="No",0,IF($A78&lt;ImplementationYear,0,IF($A78&gt;(ImplementationYear+(Appraisal_Period-1)),0,('Project details'!$H$11-'Project details'!$D$11)*VLOOKUP(Year_cost_estimate,'Time-series parameters'!$B$11:$C$89,2,0))*$B78))</f>
        <v>0</v>
      </c>
      <c r="F78" s="94">
        <f>IF(Option1="No",0,IF($A78=ImplementationYear,('Project details'!$H$12-'Project details'!$D$12)*VLOOKUP(Year_cost_estimate,'Time-series parameters'!$B$11:$C$89,2,FALSE)*$B78,0))</f>
        <v>0</v>
      </c>
      <c r="G78" s="97">
        <f>IF(Option1="No",0,IF($A78&lt;ImplementationYear,0,IF($A78&gt;(ImplementationYear+(Appraisal_Period-1)),0,Health!$D$21*$B78)))</f>
        <v>0</v>
      </c>
      <c r="H78" s="97">
        <f>IF(Option1="No",0,IF($A78&lt;ImplementationYear,0,IF($A78&gt;(ImplementationYear+(Appraisal_Period-1)),0,Health!$D$22*$B78)))</f>
        <v>0</v>
      </c>
      <c r="I78" s="97">
        <f>IF(Option1="No",0,IF($A78&lt;ImplementationYear,0,IF($A78&gt;(ImplementationYear+(Appraisal_Period-1)),0,SUM('Travel time'!$D$22:$D$23)*$B78)))</f>
        <v>0</v>
      </c>
      <c r="J78" s="97">
        <f>IF(Option1="No",0,IF($A78&lt;ImplementationYear,0,IF($A78&gt;(ImplementationYear+(Appraisal_Period-1)),0,SUM('Travel time'!$D$20:$D$21)*$B78)))</f>
        <v>0</v>
      </c>
      <c r="K78" s="97">
        <f>IF(Option1="No",0,IF($A78&lt;ImplementationYear,0,IF($A78&gt;(ImplementationYear+(Appraisal_Period-1)),0,SUM(Quality!$D$22:$D$23)*$B78)))</f>
        <v>0</v>
      </c>
      <c r="L78" s="97">
        <f>IF(Option1="No",0,IF($A78&lt;ImplementationYear,0,IF($A78&gt;(ImplementationYear+(Appraisal_Period-1)),0,SUM(Quality!$D$20:$D$21)*$B78)))</f>
        <v>0</v>
      </c>
      <c r="M78" s="97">
        <f>IF(Option1="No",0,IF($A78&lt;ImplementationYear,0,IF($A78&gt;(ImplementationYear+(Appraisal_Period-1)),0,'Mode change'!$D$36*$B78)))</f>
        <v>0</v>
      </c>
      <c r="N78" s="97">
        <f>IF(Option1="No",0,IF($A78&lt;ImplementationYear,0,IF($A78&gt;(ImplementationYear+(Appraisal_Period-1)),0,'Mode change'!$D$37*$B78)))</f>
        <v>0</v>
      </c>
      <c r="O78" s="97">
        <f>IF(Option1="No",0,IF($A78&lt;ImplementationYear,0,IF($A78&gt;(ImplementationYear+(Appraisal_Period-1)),0,'Road safety'!$D$22*$B78)))</f>
        <v>0</v>
      </c>
      <c r="P78" s="97">
        <f>IF(Option1="No",0,IF($A78&lt;ImplementationYear,0,IF($A78&gt;(ImplementationYear+(Appraisal_Period-1)),0,'Reduction in car usage'!$D$46*$B78)))</f>
        <v>0</v>
      </c>
      <c r="Q78" s="97">
        <f>IF(Option1="No",0,IF($A78&lt;ImplementationYear,0,IF($A78&gt;(ImplementationYear+(Appraisal_Period-1)),0,'Reduction in car usage'!$D$47*$B78)))</f>
        <v>0</v>
      </c>
      <c r="R78" s="97">
        <f>IF(Option1="No",0,IF($A78&lt;ImplementationYear,0,IF($A78&gt;(ImplementationYear+(Appraisal_Period-1)),0,'Reduction in car usage'!$D$48*$B78)))</f>
        <v>0</v>
      </c>
      <c r="S78" s="92"/>
      <c r="T78" s="94">
        <f>IF(Option2="No",0,IF($A78=ImplementationYear,('Project details'!$L$10-'Project details'!$D$10)*VLOOKUP(Year_cost_estimate,'Time-series parameters'!$B$11:$C$89,2,FALSE)*$B78*(1+Contingency),0))</f>
        <v>0</v>
      </c>
      <c r="U78" s="94">
        <f>IF(Option2="No",0,IF($A78&lt;ImplementationYear,0,IF($A78&gt;(ImplementationYear+(Appraisal_Period-1)),0,('Project details'!$L$11-'Project details'!$D$11)*VLOOKUP(Year_cost_estimate,'Time-series parameters'!$B$11:$C$89,2,0))*$B78))</f>
        <v>0</v>
      </c>
      <c r="V78" s="94">
        <f>IF(Option2="No",0,IF($A78=ImplementationYear,('Project details'!$L$12-'Project details'!$D$12)*VLOOKUP(Year_cost_estimate,'Time-series parameters'!$B$11:$C$89,2,FALSE)*$B78,0))</f>
        <v>0</v>
      </c>
      <c r="W78" s="97">
        <f>IF(Option2="No",0,IF($A78&lt;ImplementationYear,0,IF($A78&gt;(ImplementationYear+(Appraisal_Period-1)),0,Health!$E$21*$B78)))</f>
        <v>0</v>
      </c>
      <c r="X78" s="97">
        <f>IF(Option2="No",0,IF($A78&lt;ImplementationYear,0,IF($A78&gt;(ImplementationYear+(Appraisal_Period-1)),0,Health!$E$22*$B78)))</f>
        <v>0</v>
      </c>
      <c r="Y78" s="97">
        <f>IF(Option2="No",0,IF($A78&lt;ImplementationYear,0,IF($A78&gt;(ImplementationYear+(Appraisal_Period-1)),0,SUM('Travel time'!$E$22:$E$23)*$B78)))</f>
        <v>0</v>
      </c>
      <c r="Z78" s="97">
        <f>IF(Option2="No",0,IF($A78&lt;ImplementationYear,0,IF($A78&gt;(ImplementationYear+(Appraisal_Period-1)),0,SUM('Travel time'!$E$20:$E$21)*$B78)))</f>
        <v>0</v>
      </c>
      <c r="AA78" s="97">
        <f>IF(Option2="No",0,IF($A78&lt;ImplementationYear,0,IF($A78&gt;(ImplementationYear+(Appraisal_Period-1)),0,SUM(Quality!$E$22:$E$23)*$B78)))</f>
        <v>0</v>
      </c>
      <c r="AB78" s="97">
        <f>IF(Option2="No",0,IF($A78&lt;ImplementationYear,0,IF($A78&gt;(ImplementationYear+(Appraisal_Period-1)),0,SUM(Quality!$E$20:$E$21)*$B78)))</f>
        <v>0</v>
      </c>
      <c r="AC78" s="97">
        <f>IF(Option2="No",0,IF($A78&lt;ImplementationYear,0,IF($A78&gt;(ImplementationYear+(Appraisal_Period-1)),0,'Mode change'!$E$36*$B78)))</f>
        <v>0</v>
      </c>
      <c r="AD78" s="97">
        <f>IF(Option2="No",0,IF($A78&lt;ImplementationYear,0,IF($A78&gt;(ImplementationYear+(Appraisal_Period-1)),0,'Mode change'!$E$37*$B78)))</f>
        <v>0</v>
      </c>
      <c r="AE78" s="97">
        <f>IF(Option2="No",0,IF($A78&lt;ImplementationYear,0,IF($A78&gt;(ImplementationYear+(Appraisal_Period-1)),0,'Road safety'!$E$22*$B78)))</f>
        <v>0</v>
      </c>
      <c r="AF78" s="97">
        <f>IF(Option2="No",0,IF($A78&lt;ImplementationYear,0,IF($A78&gt;(ImplementationYear+(Appraisal_Period-1)),0,'Reduction in car usage'!$E$46*$B78)))</f>
        <v>0</v>
      </c>
      <c r="AG78" s="97">
        <f>IF(Option2="No",0,IF($A78&lt;ImplementationYear,0,IF($A78&gt;(ImplementationYear+(Appraisal_Period-1)),0,'Reduction in car usage'!$E$47*$B78)))</f>
        <v>0</v>
      </c>
      <c r="AH78" s="97">
        <f>IF(Option2="No",0,IF($A78&lt;ImplementationYear,0,IF($A78&gt;(ImplementationYear+(Appraisal_Period-1)),0,'Reduction in car usage'!$E$48*$B78)))</f>
        <v>0</v>
      </c>
      <c r="AJ78" s="94">
        <f>IF(Option3="No",0,IF($A78=ImplementationYear,('Project details'!$P$10-'Project details'!$D$10)*VLOOKUP(Year_cost_estimate,'Time-series parameters'!$B$11:$C$89,2,FALSE)*$B78*(1+Contingency),0))</f>
        <v>0</v>
      </c>
      <c r="AK78" s="94">
        <f>IF(Option3="No",0,IF($A78&lt;ImplementationYear,0,IF($A78&gt;(ImplementationYear+(Appraisal_Period-1)),0,('Project details'!$P$11-'Project details'!$D$11)*VLOOKUP(Year_cost_estimate,'Time-series parameters'!$B$11:$C$89,2,0))*$B78))</f>
        <v>0</v>
      </c>
      <c r="AL78" s="94">
        <f>IF(Option3="No",0,IF($A78=ImplementationYear,('Project details'!$P$12-'Project details'!$D$12)*VLOOKUP(Year_cost_estimate,'Time-series parameters'!$B$11:$C$89,2,FALSE)*$B78,0))</f>
        <v>0</v>
      </c>
      <c r="AM78" s="97">
        <f>IF(Option3="No",0,IF($A78&lt;ImplementationYear,0,IF($A78&gt;(ImplementationYear+(Appraisal_Period-1)),0,Health!$F$21*$B78)))</f>
        <v>0</v>
      </c>
      <c r="AN78" s="97">
        <f>IF(Option3="No",0,IF($A78&lt;ImplementationYear,0,IF($A78&gt;(ImplementationYear+(Appraisal_Period-1)),0,Health!$F$22*$B78)))</f>
        <v>0</v>
      </c>
      <c r="AO78" s="97">
        <f>IF(Option3="No",0,IF($A78&lt;ImplementationYear,0,IF($A78&gt;(ImplementationYear+(Appraisal_Period-1)),0,SUM('Travel time'!$F$22:$F$23)*$B78)))</f>
        <v>0</v>
      </c>
      <c r="AP78" s="97">
        <f>IF(Option3="No",0,IF($A78&lt;ImplementationYear,0,IF($A78&gt;(ImplementationYear+(Appraisal_Period-1)),0,SUM('Travel time'!$F$20:$F$21)*$B78)))</f>
        <v>0</v>
      </c>
      <c r="AQ78" s="97">
        <f>IF(Option3="No",0,IF($A78&lt;ImplementationYear,0,IF($A78&gt;(ImplementationYear+(Appraisal_Period-1)),0,SUM(Quality!$F$22:$F$23)*$B78)))</f>
        <v>0</v>
      </c>
      <c r="AR78" s="97">
        <f>IF(Option3="No",0,IF($A78&lt;ImplementationYear,0,IF($A78&gt;(ImplementationYear+(Appraisal_Period-1)),0,SUM(Quality!$F$20:$F$21)*$B78)))</f>
        <v>0</v>
      </c>
      <c r="AS78" s="97">
        <f>IF(Option3="No",0,IF($A78&lt;ImplementationYear,0,IF($A78&gt;(ImplementationYear+(Appraisal_Period-1)),0,'Mode change'!$F$36*$B78)))</f>
        <v>0</v>
      </c>
      <c r="AT78" s="97">
        <f>IF(Option3="No",0,IF($A78&lt;ImplementationYear,0,IF($A78&gt;(ImplementationYear+(Appraisal_Period-1)),0,'Mode change'!$F$37*$B78)))</f>
        <v>0</v>
      </c>
      <c r="AU78" s="97">
        <f>IF(Option3="No",0,IF($A78&lt;ImplementationYear,0,IF($A78&gt;(ImplementationYear+(Appraisal_Period-1)),0,'Road safety'!$F$22*$B78)))</f>
        <v>0</v>
      </c>
      <c r="AV78" s="97">
        <f>IF(Option3="No",0,IF($A78&lt;ImplementationYear,0,IF($A78&gt;(ImplementationYear+(Appraisal_Period-1)),0,'Reduction in car usage'!$F$46*$B78)))</f>
        <v>0</v>
      </c>
      <c r="AW78" s="97">
        <f>IF(Option3="No",0,IF($A78&lt;ImplementationYear,0,IF($A78&gt;(ImplementationYear+(Appraisal_Period-1)),0,'Reduction in car usage'!$F$47*$B78)))</f>
        <v>0</v>
      </c>
      <c r="AX78" s="97">
        <f>IF(Option3="No",0,IF($A78&lt;ImplementationYear,0,IF($A78&gt;(ImplementationYear+(Appraisal_Period-1)),0,'Reduction in car usage'!$F$48*$B78)))</f>
        <v>0</v>
      </c>
    </row>
    <row r="79" spans="1:50">
      <c r="A79" s="335">
        <v>2074</v>
      </c>
      <c r="B79" s="62">
        <f>VLOOKUP($A79,'Time-series parameters'!$E$11:$H$89,2,FALSE)</f>
        <v>5.2315830349377954E-3</v>
      </c>
      <c r="C79" s="89"/>
      <c r="D79" s="94">
        <f>IF(Option1="No",0,IF($A79=ImplementationYear,('Project details'!$H$10-'Project details'!$D$10)*VLOOKUP(Year_cost_estimate,'Time-series parameters'!$B$11:$C$89,2,FALSE)*$B79*(1+Contingency),0))</f>
        <v>0</v>
      </c>
      <c r="E79" s="94">
        <f>IF(Option1="No",0,IF($A79&lt;ImplementationYear,0,IF($A79&gt;(ImplementationYear+(Appraisal_Period-1)),0,('Project details'!$H$11-'Project details'!$D$11)*VLOOKUP(Year_cost_estimate,'Time-series parameters'!$B$11:$C$89,2,0))*$B79))</f>
        <v>0</v>
      </c>
      <c r="F79" s="94">
        <f>IF(Option1="No",0,IF($A79=ImplementationYear,('Project details'!$H$12-'Project details'!$D$12)*VLOOKUP(Year_cost_estimate,'Time-series parameters'!$B$11:$C$89,2,FALSE)*$B79,0))</f>
        <v>0</v>
      </c>
      <c r="G79" s="97">
        <f>IF(Option1="No",0,IF($A79&lt;ImplementationYear,0,IF($A79&gt;(ImplementationYear+(Appraisal_Period-1)),0,Health!$D$21*$B79)))</f>
        <v>0</v>
      </c>
      <c r="H79" s="97">
        <f>IF(Option1="No",0,IF($A79&lt;ImplementationYear,0,IF($A79&gt;(ImplementationYear+(Appraisal_Period-1)),0,Health!$D$22*$B79)))</f>
        <v>0</v>
      </c>
      <c r="I79" s="97">
        <f>IF(Option1="No",0,IF($A79&lt;ImplementationYear,0,IF($A79&gt;(ImplementationYear+(Appraisal_Period-1)),0,SUM('Travel time'!$D$22:$D$23)*$B79)))</f>
        <v>0</v>
      </c>
      <c r="J79" s="97">
        <f>IF(Option1="No",0,IF($A79&lt;ImplementationYear,0,IF($A79&gt;(ImplementationYear+(Appraisal_Period-1)),0,SUM('Travel time'!$D$20:$D$21)*$B79)))</f>
        <v>0</v>
      </c>
      <c r="K79" s="97">
        <f>IF(Option1="No",0,IF($A79&lt;ImplementationYear,0,IF($A79&gt;(ImplementationYear+(Appraisal_Period-1)),0,SUM(Quality!$D$22:$D$23)*$B79)))</f>
        <v>0</v>
      </c>
      <c r="L79" s="97">
        <f>IF(Option1="No",0,IF($A79&lt;ImplementationYear,0,IF($A79&gt;(ImplementationYear+(Appraisal_Period-1)),0,SUM(Quality!$D$20:$D$21)*$B79)))</f>
        <v>0</v>
      </c>
      <c r="M79" s="97">
        <f>IF(Option1="No",0,IF($A79&lt;ImplementationYear,0,IF($A79&gt;(ImplementationYear+(Appraisal_Period-1)),0,'Mode change'!$D$36*$B79)))</f>
        <v>0</v>
      </c>
      <c r="N79" s="97">
        <f>IF(Option1="No",0,IF($A79&lt;ImplementationYear,0,IF($A79&gt;(ImplementationYear+(Appraisal_Period-1)),0,'Mode change'!$D$37*$B79)))</f>
        <v>0</v>
      </c>
      <c r="O79" s="97">
        <f>IF(Option1="No",0,IF($A79&lt;ImplementationYear,0,IF($A79&gt;(ImplementationYear+(Appraisal_Period-1)),0,'Road safety'!$D$22*$B79)))</f>
        <v>0</v>
      </c>
      <c r="P79" s="97">
        <f>IF(Option1="No",0,IF($A79&lt;ImplementationYear,0,IF($A79&gt;(ImplementationYear+(Appraisal_Period-1)),0,'Reduction in car usage'!$D$46*$B79)))</f>
        <v>0</v>
      </c>
      <c r="Q79" s="97">
        <f>IF(Option1="No",0,IF($A79&lt;ImplementationYear,0,IF($A79&gt;(ImplementationYear+(Appraisal_Period-1)),0,'Reduction in car usage'!$D$47*$B79)))</f>
        <v>0</v>
      </c>
      <c r="R79" s="97">
        <f>IF(Option1="No",0,IF($A79&lt;ImplementationYear,0,IF($A79&gt;(ImplementationYear+(Appraisal_Period-1)),0,'Reduction in car usage'!$D$48*$B79)))</f>
        <v>0</v>
      </c>
      <c r="S79" s="92"/>
      <c r="T79" s="94">
        <f>IF(Option2="No",0,IF($A79=ImplementationYear,('Project details'!$L$10-'Project details'!$D$10)*VLOOKUP(Year_cost_estimate,'Time-series parameters'!$B$11:$C$89,2,FALSE)*$B79*(1+Contingency),0))</f>
        <v>0</v>
      </c>
      <c r="U79" s="94">
        <f>IF(Option2="No",0,IF($A79&lt;ImplementationYear,0,IF($A79&gt;(ImplementationYear+(Appraisal_Period-1)),0,('Project details'!$L$11-'Project details'!$D$11)*VLOOKUP(Year_cost_estimate,'Time-series parameters'!$B$11:$C$89,2,0))*$B79))</f>
        <v>0</v>
      </c>
      <c r="V79" s="94">
        <f>IF(Option2="No",0,IF($A79=ImplementationYear,('Project details'!$L$12-'Project details'!$D$12)*VLOOKUP(Year_cost_estimate,'Time-series parameters'!$B$11:$C$89,2,FALSE)*$B79,0))</f>
        <v>0</v>
      </c>
      <c r="W79" s="97">
        <f>IF(Option2="No",0,IF($A79&lt;ImplementationYear,0,IF($A79&gt;(ImplementationYear+(Appraisal_Period-1)),0,Health!$E$21*$B79)))</f>
        <v>0</v>
      </c>
      <c r="X79" s="97">
        <f>IF(Option2="No",0,IF($A79&lt;ImplementationYear,0,IF($A79&gt;(ImplementationYear+(Appraisal_Period-1)),0,Health!$E$22*$B79)))</f>
        <v>0</v>
      </c>
      <c r="Y79" s="97">
        <f>IF(Option2="No",0,IF($A79&lt;ImplementationYear,0,IF($A79&gt;(ImplementationYear+(Appraisal_Period-1)),0,SUM('Travel time'!$E$22:$E$23)*$B79)))</f>
        <v>0</v>
      </c>
      <c r="Z79" s="97">
        <f>IF(Option2="No",0,IF($A79&lt;ImplementationYear,0,IF($A79&gt;(ImplementationYear+(Appraisal_Period-1)),0,SUM('Travel time'!$E$20:$E$21)*$B79)))</f>
        <v>0</v>
      </c>
      <c r="AA79" s="97">
        <f>IF(Option2="No",0,IF($A79&lt;ImplementationYear,0,IF($A79&gt;(ImplementationYear+(Appraisal_Period-1)),0,SUM(Quality!$E$22:$E$23)*$B79)))</f>
        <v>0</v>
      </c>
      <c r="AB79" s="97">
        <f>IF(Option2="No",0,IF($A79&lt;ImplementationYear,0,IF($A79&gt;(ImplementationYear+(Appraisal_Period-1)),0,SUM(Quality!$E$20:$E$21)*$B79)))</f>
        <v>0</v>
      </c>
      <c r="AC79" s="97">
        <f>IF(Option2="No",0,IF($A79&lt;ImplementationYear,0,IF($A79&gt;(ImplementationYear+(Appraisal_Period-1)),0,'Mode change'!$E$36*$B79)))</f>
        <v>0</v>
      </c>
      <c r="AD79" s="97">
        <f>IF(Option2="No",0,IF($A79&lt;ImplementationYear,0,IF($A79&gt;(ImplementationYear+(Appraisal_Period-1)),0,'Mode change'!$E$37*$B79)))</f>
        <v>0</v>
      </c>
      <c r="AE79" s="97">
        <f>IF(Option2="No",0,IF($A79&lt;ImplementationYear,0,IF($A79&gt;(ImplementationYear+(Appraisal_Period-1)),0,'Road safety'!$E$22*$B79)))</f>
        <v>0</v>
      </c>
      <c r="AF79" s="97">
        <f>IF(Option2="No",0,IF($A79&lt;ImplementationYear,0,IF($A79&gt;(ImplementationYear+(Appraisal_Period-1)),0,'Reduction in car usage'!$E$46*$B79)))</f>
        <v>0</v>
      </c>
      <c r="AG79" s="97">
        <f>IF(Option2="No",0,IF($A79&lt;ImplementationYear,0,IF($A79&gt;(ImplementationYear+(Appraisal_Period-1)),0,'Reduction in car usage'!$E$47*$B79)))</f>
        <v>0</v>
      </c>
      <c r="AH79" s="97">
        <f>IF(Option2="No",0,IF($A79&lt;ImplementationYear,0,IF($A79&gt;(ImplementationYear+(Appraisal_Period-1)),0,'Reduction in car usage'!$E$48*$B79)))</f>
        <v>0</v>
      </c>
      <c r="AJ79" s="94">
        <f>IF(Option3="No",0,IF($A79=ImplementationYear,('Project details'!$P$10-'Project details'!$D$10)*VLOOKUP(Year_cost_estimate,'Time-series parameters'!$B$11:$C$89,2,FALSE)*$B79*(1+Contingency),0))</f>
        <v>0</v>
      </c>
      <c r="AK79" s="94">
        <f>IF(Option3="No",0,IF($A79&lt;ImplementationYear,0,IF($A79&gt;(ImplementationYear+(Appraisal_Period-1)),0,('Project details'!$P$11-'Project details'!$D$11)*VLOOKUP(Year_cost_estimate,'Time-series parameters'!$B$11:$C$89,2,0))*$B79))</f>
        <v>0</v>
      </c>
      <c r="AL79" s="94">
        <f>IF(Option3="No",0,IF($A79=ImplementationYear,('Project details'!$P$12-'Project details'!$D$12)*VLOOKUP(Year_cost_estimate,'Time-series parameters'!$B$11:$C$89,2,FALSE)*$B79,0))</f>
        <v>0</v>
      </c>
      <c r="AM79" s="97">
        <f>IF(Option3="No",0,IF($A79&lt;ImplementationYear,0,IF($A79&gt;(ImplementationYear+(Appraisal_Period-1)),0,Health!$F$21*$B79)))</f>
        <v>0</v>
      </c>
      <c r="AN79" s="97">
        <f>IF(Option3="No",0,IF($A79&lt;ImplementationYear,0,IF($A79&gt;(ImplementationYear+(Appraisal_Period-1)),0,Health!$F$22*$B79)))</f>
        <v>0</v>
      </c>
      <c r="AO79" s="97">
        <f>IF(Option3="No",0,IF($A79&lt;ImplementationYear,0,IF($A79&gt;(ImplementationYear+(Appraisal_Period-1)),0,SUM('Travel time'!$F$22:$F$23)*$B79)))</f>
        <v>0</v>
      </c>
      <c r="AP79" s="97">
        <f>IF(Option3="No",0,IF($A79&lt;ImplementationYear,0,IF($A79&gt;(ImplementationYear+(Appraisal_Period-1)),0,SUM('Travel time'!$F$20:$F$21)*$B79)))</f>
        <v>0</v>
      </c>
      <c r="AQ79" s="97">
        <f>IF(Option3="No",0,IF($A79&lt;ImplementationYear,0,IF($A79&gt;(ImplementationYear+(Appraisal_Period-1)),0,SUM(Quality!$F$22:$F$23)*$B79)))</f>
        <v>0</v>
      </c>
      <c r="AR79" s="97">
        <f>IF(Option3="No",0,IF($A79&lt;ImplementationYear,0,IF($A79&gt;(ImplementationYear+(Appraisal_Period-1)),0,SUM(Quality!$F$20:$F$21)*$B79)))</f>
        <v>0</v>
      </c>
      <c r="AS79" s="97">
        <f>IF(Option3="No",0,IF($A79&lt;ImplementationYear,0,IF($A79&gt;(ImplementationYear+(Appraisal_Period-1)),0,'Mode change'!$F$36*$B79)))</f>
        <v>0</v>
      </c>
      <c r="AT79" s="97">
        <f>IF(Option3="No",0,IF($A79&lt;ImplementationYear,0,IF($A79&gt;(ImplementationYear+(Appraisal_Period-1)),0,'Mode change'!$F$37*$B79)))</f>
        <v>0</v>
      </c>
      <c r="AU79" s="97">
        <f>IF(Option3="No",0,IF($A79&lt;ImplementationYear,0,IF($A79&gt;(ImplementationYear+(Appraisal_Period-1)),0,'Road safety'!$F$22*$B79)))</f>
        <v>0</v>
      </c>
      <c r="AV79" s="97">
        <f>IF(Option3="No",0,IF($A79&lt;ImplementationYear,0,IF($A79&gt;(ImplementationYear+(Appraisal_Period-1)),0,'Reduction in car usage'!$F$46*$B79)))</f>
        <v>0</v>
      </c>
      <c r="AW79" s="97">
        <f>IF(Option3="No",0,IF($A79&lt;ImplementationYear,0,IF($A79&gt;(ImplementationYear+(Appraisal_Period-1)),0,'Reduction in car usage'!$F$47*$B79)))</f>
        <v>0</v>
      </c>
      <c r="AX79" s="97">
        <f>IF(Option3="No",0,IF($A79&lt;ImplementationYear,0,IF($A79&gt;(ImplementationYear+(Appraisal_Period-1)),0,'Reduction in car usage'!$F$48*$B79)))</f>
        <v>0</v>
      </c>
    </row>
    <row r="80" spans="1:50">
      <c r="A80" s="335">
        <v>2075</v>
      </c>
      <c r="B80" s="62">
        <f>VLOOKUP($A80,'Time-series parameters'!$E$11:$H$89,2,FALSE)</f>
        <v>4.8130563921427718E-3</v>
      </c>
      <c r="C80" s="89"/>
      <c r="D80" s="94">
        <f>IF(Option1="No",0,IF($A80=ImplementationYear,('Project details'!$H$10-'Project details'!$D$10)*VLOOKUP(Year_cost_estimate,'Time-series parameters'!$B$11:$C$89,2,FALSE)*$B80*(1+Contingency),0))</f>
        <v>0</v>
      </c>
      <c r="E80" s="94">
        <f>IF(Option1="No",0,IF($A80&lt;ImplementationYear,0,IF($A80&gt;(ImplementationYear+(Appraisal_Period-1)),0,('Project details'!$H$11-'Project details'!$D$11)*VLOOKUP(Year_cost_estimate,'Time-series parameters'!$B$11:$C$89,2,0))*$B80))</f>
        <v>0</v>
      </c>
      <c r="F80" s="94">
        <f>IF(Option1="No",0,IF($A80=ImplementationYear,('Project details'!$H$12-'Project details'!$D$12)*VLOOKUP(Year_cost_estimate,'Time-series parameters'!$B$11:$C$89,2,FALSE)*$B80,0))</f>
        <v>0</v>
      </c>
      <c r="G80" s="97">
        <f>IF(Option1="No",0,IF($A80&lt;ImplementationYear,0,IF($A80&gt;(ImplementationYear+(Appraisal_Period-1)),0,Health!$D$21*$B80)))</f>
        <v>0</v>
      </c>
      <c r="H80" s="97">
        <f>IF(Option1="No",0,IF($A80&lt;ImplementationYear,0,IF($A80&gt;(ImplementationYear+(Appraisal_Period-1)),0,Health!$D$22*$B80)))</f>
        <v>0</v>
      </c>
      <c r="I80" s="97">
        <f>IF(Option1="No",0,IF($A80&lt;ImplementationYear,0,IF($A80&gt;(ImplementationYear+(Appraisal_Period-1)),0,SUM('Travel time'!$D$22:$D$23)*$B80)))</f>
        <v>0</v>
      </c>
      <c r="J80" s="97">
        <f>IF(Option1="No",0,IF($A80&lt;ImplementationYear,0,IF($A80&gt;(ImplementationYear+(Appraisal_Period-1)),0,SUM('Travel time'!$D$20:$D$21)*$B80)))</f>
        <v>0</v>
      </c>
      <c r="K80" s="97">
        <f>IF(Option1="No",0,IF($A80&lt;ImplementationYear,0,IF($A80&gt;(ImplementationYear+(Appraisal_Period-1)),0,SUM(Quality!$D$22:$D$23)*$B80)))</f>
        <v>0</v>
      </c>
      <c r="L80" s="97">
        <f>IF(Option1="No",0,IF($A80&lt;ImplementationYear,0,IF($A80&gt;(ImplementationYear+(Appraisal_Period-1)),0,SUM(Quality!$D$20:$D$21)*$B80)))</f>
        <v>0</v>
      </c>
      <c r="M80" s="97">
        <f>IF(Option1="No",0,IF($A80&lt;ImplementationYear,0,IF($A80&gt;(ImplementationYear+(Appraisal_Period-1)),0,'Mode change'!$D$36*$B80)))</f>
        <v>0</v>
      </c>
      <c r="N80" s="97">
        <f>IF(Option1="No",0,IF($A80&lt;ImplementationYear,0,IF($A80&gt;(ImplementationYear+(Appraisal_Period-1)),0,'Mode change'!$D$37*$B80)))</f>
        <v>0</v>
      </c>
      <c r="O80" s="97">
        <f>IF(Option1="No",0,IF($A80&lt;ImplementationYear,0,IF($A80&gt;(ImplementationYear+(Appraisal_Period-1)),0,'Road safety'!$D$22*$B80)))</f>
        <v>0</v>
      </c>
      <c r="P80" s="97">
        <f>IF(Option1="No",0,IF($A80&lt;ImplementationYear,0,IF($A80&gt;(ImplementationYear+(Appraisal_Period-1)),0,'Reduction in car usage'!$D$46*$B80)))</f>
        <v>0</v>
      </c>
      <c r="Q80" s="97">
        <f>IF(Option1="No",0,IF($A80&lt;ImplementationYear,0,IF($A80&gt;(ImplementationYear+(Appraisal_Period-1)),0,'Reduction in car usage'!$D$47*$B80)))</f>
        <v>0</v>
      </c>
      <c r="R80" s="97">
        <f>IF(Option1="No",0,IF($A80&lt;ImplementationYear,0,IF($A80&gt;(ImplementationYear+(Appraisal_Period-1)),0,'Reduction in car usage'!$D$48*$B80)))</f>
        <v>0</v>
      </c>
      <c r="S80" s="92"/>
      <c r="T80" s="94">
        <f>IF(Option2="No",0,IF($A80=ImplementationYear,('Project details'!$L$10-'Project details'!$D$10)*VLOOKUP(Year_cost_estimate,'Time-series parameters'!$B$11:$C$89,2,FALSE)*$B80*(1+Contingency),0))</f>
        <v>0</v>
      </c>
      <c r="U80" s="94">
        <f>IF(Option2="No",0,IF($A80&lt;ImplementationYear,0,IF($A80&gt;(ImplementationYear+(Appraisal_Period-1)),0,('Project details'!$L$11-'Project details'!$D$11)*VLOOKUP(Year_cost_estimate,'Time-series parameters'!$B$11:$C$89,2,0))*$B80))</f>
        <v>0</v>
      </c>
      <c r="V80" s="94">
        <f>IF(Option2="No",0,IF($A80=ImplementationYear,('Project details'!$L$12-'Project details'!$D$12)*VLOOKUP(Year_cost_estimate,'Time-series parameters'!$B$11:$C$89,2,FALSE)*$B80,0))</f>
        <v>0</v>
      </c>
      <c r="W80" s="97">
        <f>IF(Option2="No",0,IF($A80&lt;ImplementationYear,0,IF($A80&gt;(ImplementationYear+(Appraisal_Period-1)),0,Health!$E$21*$B80)))</f>
        <v>0</v>
      </c>
      <c r="X80" s="97">
        <f>IF(Option2="No",0,IF($A80&lt;ImplementationYear,0,IF($A80&gt;(ImplementationYear+(Appraisal_Period-1)),0,Health!$E$22*$B80)))</f>
        <v>0</v>
      </c>
      <c r="Y80" s="97">
        <f>IF(Option2="No",0,IF($A80&lt;ImplementationYear,0,IF($A80&gt;(ImplementationYear+(Appraisal_Period-1)),0,SUM('Travel time'!$E$22:$E$23)*$B80)))</f>
        <v>0</v>
      </c>
      <c r="Z80" s="97">
        <f>IF(Option2="No",0,IF($A80&lt;ImplementationYear,0,IF($A80&gt;(ImplementationYear+(Appraisal_Period-1)),0,SUM('Travel time'!$E$20:$E$21)*$B80)))</f>
        <v>0</v>
      </c>
      <c r="AA80" s="97">
        <f>IF(Option2="No",0,IF($A80&lt;ImplementationYear,0,IF($A80&gt;(ImplementationYear+(Appraisal_Period-1)),0,SUM(Quality!$E$22:$E$23)*$B80)))</f>
        <v>0</v>
      </c>
      <c r="AB80" s="97">
        <f>IF(Option2="No",0,IF($A80&lt;ImplementationYear,0,IF($A80&gt;(ImplementationYear+(Appraisal_Period-1)),0,SUM(Quality!$E$20:$E$21)*$B80)))</f>
        <v>0</v>
      </c>
      <c r="AC80" s="97">
        <f>IF(Option2="No",0,IF($A80&lt;ImplementationYear,0,IF($A80&gt;(ImplementationYear+(Appraisal_Period-1)),0,'Mode change'!$E$36*$B80)))</f>
        <v>0</v>
      </c>
      <c r="AD80" s="97">
        <f>IF(Option2="No",0,IF($A80&lt;ImplementationYear,0,IF($A80&gt;(ImplementationYear+(Appraisal_Period-1)),0,'Mode change'!$E$37*$B80)))</f>
        <v>0</v>
      </c>
      <c r="AE80" s="97">
        <f>IF(Option2="No",0,IF($A80&lt;ImplementationYear,0,IF($A80&gt;(ImplementationYear+(Appraisal_Period-1)),0,'Road safety'!$E$22*$B80)))</f>
        <v>0</v>
      </c>
      <c r="AF80" s="97">
        <f>IF(Option2="No",0,IF($A80&lt;ImplementationYear,0,IF($A80&gt;(ImplementationYear+(Appraisal_Period-1)),0,'Reduction in car usage'!$E$46*$B80)))</f>
        <v>0</v>
      </c>
      <c r="AG80" s="97">
        <f>IF(Option2="No",0,IF($A80&lt;ImplementationYear,0,IF($A80&gt;(ImplementationYear+(Appraisal_Period-1)),0,'Reduction in car usage'!$E$47*$B80)))</f>
        <v>0</v>
      </c>
      <c r="AH80" s="97">
        <f>IF(Option2="No",0,IF($A80&lt;ImplementationYear,0,IF($A80&gt;(ImplementationYear+(Appraisal_Period-1)),0,'Reduction in car usage'!$E$48*$B80)))</f>
        <v>0</v>
      </c>
      <c r="AJ80" s="94">
        <f>IF(Option3="No",0,IF($A80=ImplementationYear,('Project details'!$P$10-'Project details'!$D$10)*VLOOKUP(Year_cost_estimate,'Time-series parameters'!$B$11:$C$89,2,FALSE)*$B80*(1+Contingency),0))</f>
        <v>0</v>
      </c>
      <c r="AK80" s="94">
        <f>IF(Option3="No",0,IF($A80&lt;ImplementationYear,0,IF($A80&gt;(ImplementationYear+(Appraisal_Period-1)),0,('Project details'!$P$11-'Project details'!$D$11)*VLOOKUP(Year_cost_estimate,'Time-series parameters'!$B$11:$C$89,2,0))*$B80))</f>
        <v>0</v>
      </c>
      <c r="AL80" s="94">
        <f>IF(Option3="No",0,IF($A80=ImplementationYear,('Project details'!$P$12-'Project details'!$D$12)*VLOOKUP(Year_cost_estimate,'Time-series parameters'!$B$11:$C$89,2,FALSE)*$B80,0))</f>
        <v>0</v>
      </c>
      <c r="AM80" s="97">
        <f>IF(Option3="No",0,IF($A80&lt;ImplementationYear,0,IF($A80&gt;(ImplementationYear+(Appraisal_Period-1)),0,Health!$F$21*$B80)))</f>
        <v>0</v>
      </c>
      <c r="AN80" s="97">
        <f>IF(Option3="No",0,IF($A80&lt;ImplementationYear,0,IF($A80&gt;(ImplementationYear+(Appraisal_Period-1)),0,Health!$F$22*$B80)))</f>
        <v>0</v>
      </c>
      <c r="AO80" s="97">
        <f>IF(Option3="No",0,IF($A80&lt;ImplementationYear,0,IF($A80&gt;(ImplementationYear+(Appraisal_Period-1)),0,SUM('Travel time'!$F$22:$F$23)*$B80)))</f>
        <v>0</v>
      </c>
      <c r="AP80" s="97">
        <f>IF(Option3="No",0,IF($A80&lt;ImplementationYear,0,IF($A80&gt;(ImplementationYear+(Appraisal_Period-1)),0,SUM('Travel time'!$F$20:$F$21)*$B80)))</f>
        <v>0</v>
      </c>
      <c r="AQ80" s="97">
        <f>IF(Option3="No",0,IF($A80&lt;ImplementationYear,0,IF($A80&gt;(ImplementationYear+(Appraisal_Period-1)),0,SUM(Quality!$F$22:$F$23)*$B80)))</f>
        <v>0</v>
      </c>
      <c r="AR80" s="97">
        <f>IF(Option3="No",0,IF($A80&lt;ImplementationYear,0,IF($A80&gt;(ImplementationYear+(Appraisal_Period-1)),0,SUM(Quality!$F$20:$F$21)*$B80)))</f>
        <v>0</v>
      </c>
      <c r="AS80" s="97">
        <f>IF(Option3="No",0,IF($A80&lt;ImplementationYear,0,IF($A80&gt;(ImplementationYear+(Appraisal_Period-1)),0,'Mode change'!$F$36*$B80)))</f>
        <v>0</v>
      </c>
      <c r="AT80" s="97">
        <f>IF(Option3="No",0,IF($A80&lt;ImplementationYear,0,IF($A80&gt;(ImplementationYear+(Appraisal_Period-1)),0,'Mode change'!$F$37*$B80)))</f>
        <v>0</v>
      </c>
      <c r="AU80" s="97">
        <f>IF(Option3="No",0,IF($A80&lt;ImplementationYear,0,IF($A80&gt;(ImplementationYear+(Appraisal_Period-1)),0,'Road safety'!$F$22*$B80)))</f>
        <v>0</v>
      </c>
      <c r="AV80" s="97">
        <f>IF(Option3="No",0,IF($A80&lt;ImplementationYear,0,IF($A80&gt;(ImplementationYear+(Appraisal_Period-1)),0,'Reduction in car usage'!$F$46*$B80)))</f>
        <v>0</v>
      </c>
      <c r="AW80" s="97">
        <f>IF(Option3="No",0,IF($A80&lt;ImplementationYear,0,IF($A80&gt;(ImplementationYear+(Appraisal_Period-1)),0,'Reduction in car usage'!$F$47*$B80)))</f>
        <v>0</v>
      </c>
      <c r="AX80" s="97">
        <f>IF(Option3="No",0,IF($A80&lt;ImplementationYear,0,IF($A80&gt;(ImplementationYear+(Appraisal_Period-1)),0,'Reduction in car usage'!$F$48*$B80)))</f>
        <v>0</v>
      </c>
    </row>
    <row r="81" spans="1:50">
      <c r="A81" s="335">
        <v>2076</v>
      </c>
      <c r="B81" s="62">
        <f>VLOOKUP($A81,'Time-series parameters'!$E$11:$H$89,2,FALSE)</f>
        <v>4.4280118807713499E-3</v>
      </c>
      <c r="C81" s="89"/>
      <c r="D81" s="94">
        <f>IF(Option1="No",0,IF($A81=ImplementationYear,('Project details'!$H$10-'Project details'!$D$10)*VLOOKUP(Year_cost_estimate,'Time-series parameters'!$B$11:$C$89,2,FALSE)*$B81*(1+Contingency),0))</f>
        <v>0</v>
      </c>
      <c r="E81" s="94">
        <f>IF(Option1="No",0,IF($A81&lt;ImplementationYear,0,IF($A81&gt;(ImplementationYear+(Appraisal_Period-1)),0,('Project details'!$H$11-'Project details'!$D$11)*VLOOKUP(Year_cost_estimate,'Time-series parameters'!$B$11:$C$89,2,0))*$B81))</f>
        <v>0</v>
      </c>
      <c r="F81" s="94">
        <f>IF(Option1="No",0,IF($A81=ImplementationYear,('Project details'!$H$12-'Project details'!$D$12)*VLOOKUP(Year_cost_estimate,'Time-series parameters'!$B$11:$C$89,2,FALSE)*$B81,0))</f>
        <v>0</v>
      </c>
      <c r="G81" s="97">
        <f>IF(Option1="No",0,IF($A81&lt;ImplementationYear,0,IF($A81&gt;(ImplementationYear+(Appraisal_Period-1)),0,Health!$D$21*$B81)))</f>
        <v>0</v>
      </c>
      <c r="H81" s="97">
        <f>IF(Option1="No",0,IF($A81&lt;ImplementationYear,0,IF($A81&gt;(ImplementationYear+(Appraisal_Period-1)),0,Health!$D$22*$B81)))</f>
        <v>0</v>
      </c>
      <c r="I81" s="97">
        <f>IF(Option1="No",0,IF($A81&lt;ImplementationYear,0,IF($A81&gt;(ImplementationYear+(Appraisal_Period-1)),0,SUM('Travel time'!$D$22:$D$23)*$B81)))</f>
        <v>0</v>
      </c>
      <c r="J81" s="97">
        <f>IF(Option1="No",0,IF($A81&lt;ImplementationYear,0,IF($A81&gt;(ImplementationYear+(Appraisal_Period-1)),0,SUM('Travel time'!$D$20:$D$21)*$B81)))</f>
        <v>0</v>
      </c>
      <c r="K81" s="97">
        <f>IF(Option1="No",0,IF($A81&lt;ImplementationYear,0,IF($A81&gt;(ImplementationYear+(Appraisal_Period-1)),0,SUM(Quality!$D$22:$D$23)*$B81)))</f>
        <v>0</v>
      </c>
      <c r="L81" s="97">
        <f>IF(Option1="No",0,IF($A81&lt;ImplementationYear,0,IF($A81&gt;(ImplementationYear+(Appraisal_Period-1)),0,SUM(Quality!$D$20:$D$21)*$B81)))</f>
        <v>0</v>
      </c>
      <c r="M81" s="97">
        <f>IF(Option1="No",0,IF($A81&lt;ImplementationYear,0,IF($A81&gt;(ImplementationYear+(Appraisal_Period-1)),0,'Mode change'!$D$36*$B81)))</f>
        <v>0</v>
      </c>
      <c r="N81" s="97">
        <f>IF(Option1="No",0,IF($A81&lt;ImplementationYear,0,IF($A81&gt;(ImplementationYear+(Appraisal_Period-1)),0,'Mode change'!$D$37*$B81)))</f>
        <v>0</v>
      </c>
      <c r="O81" s="97">
        <f>IF(Option1="No",0,IF($A81&lt;ImplementationYear,0,IF($A81&gt;(ImplementationYear+(Appraisal_Period-1)),0,'Road safety'!$D$22*$B81)))</f>
        <v>0</v>
      </c>
      <c r="P81" s="97">
        <f>IF(Option1="No",0,IF($A81&lt;ImplementationYear,0,IF($A81&gt;(ImplementationYear+(Appraisal_Period-1)),0,'Reduction in car usage'!$D$46*$B81)))</f>
        <v>0</v>
      </c>
      <c r="Q81" s="97">
        <f>IF(Option1="No",0,IF($A81&lt;ImplementationYear,0,IF($A81&gt;(ImplementationYear+(Appraisal_Period-1)),0,'Reduction in car usage'!$D$47*$B81)))</f>
        <v>0</v>
      </c>
      <c r="R81" s="97">
        <f>IF(Option1="No",0,IF($A81&lt;ImplementationYear,0,IF($A81&gt;(ImplementationYear+(Appraisal_Period-1)),0,'Reduction in car usage'!$D$48*$B81)))</f>
        <v>0</v>
      </c>
      <c r="S81" s="92"/>
      <c r="T81" s="94">
        <f>IF(Option2="No",0,IF($A81=ImplementationYear,('Project details'!$L$10-'Project details'!$D$10)*VLOOKUP(Year_cost_estimate,'Time-series parameters'!$B$11:$C$89,2,FALSE)*$B81*(1+Contingency),0))</f>
        <v>0</v>
      </c>
      <c r="U81" s="94">
        <f>IF(Option2="No",0,IF($A81&lt;ImplementationYear,0,IF($A81&gt;(ImplementationYear+(Appraisal_Period-1)),0,('Project details'!$L$11-'Project details'!$D$11)*VLOOKUP(Year_cost_estimate,'Time-series parameters'!$B$11:$C$89,2,0))*$B81))</f>
        <v>0</v>
      </c>
      <c r="V81" s="94">
        <f>IF(Option2="No",0,IF($A81=ImplementationYear,('Project details'!$L$12-'Project details'!$D$12)*VLOOKUP(Year_cost_estimate,'Time-series parameters'!$B$11:$C$89,2,FALSE)*$B81,0))</f>
        <v>0</v>
      </c>
      <c r="W81" s="97">
        <f>IF(Option2="No",0,IF($A81&lt;ImplementationYear,0,IF($A81&gt;(ImplementationYear+(Appraisal_Period-1)),0,Health!$E$21*$B81)))</f>
        <v>0</v>
      </c>
      <c r="X81" s="97">
        <f>IF(Option2="No",0,IF($A81&lt;ImplementationYear,0,IF($A81&gt;(ImplementationYear+(Appraisal_Period-1)),0,Health!$E$22*$B81)))</f>
        <v>0</v>
      </c>
      <c r="Y81" s="97">
        <f>IF(Option2="No",0,IF($A81&lt;ImplementationYear,0,IF($A81&gt;(ImplementationYear+(Appraisal_Period-1)),0,SUM('Travel time'!$E$22:$E$23)*$B81)))</f>
        <v>0</v>
      </c>
      <c r="Z81" s="97">
        <f>IF(Option2="No",0,IF($A81&lt;ImplementationYear,0,IF($A81&gt;(ImplementationYear+(Appraisal_Period-1)),0,SUM('Travel time'!$E$20:$E$21)*$B81)))</f>
        <v>0</v>
      </c>
      <c r="AA81" s="97">
        <f>IF(Option2="No",0,IF($A81&lt;ImplementationYear,0,IF($A81&gt;(ImplementationYear+(Appraisal_Period-1)),0,SUM(Quality!$E$22:$E$23)*$B81)))</f>
        <v>0</v>
      </c>
      <c r="AB81" s="97">
        <f>IF(Option2="No",0,IF($A81&lt;ImplementationYear,0,IF($A81&gt;(ImplementationYear+(Appraisal_Period-1)),0,SUM(Quality!$E$20:$E$21)*$B81)))</f>
        <v>0</v>
      </c>
      <c r="AC81" s="97">
        <f>IF(Option2="No",0,IF($A81&lt;ImplementationYear,0,IF($A81&gt;(ImplementationYear+(Appraisal_Period-1)),0,'Mode change'!$E$36*$B81)))</f>
        <v>0</v>
      </c>
      <c r="AD81" s="97">
        <f>IF(Option2="No",0,IF($A81&lt;ImplementationYear,0,IF($A81&gt;(ImplementationYear+(Appraisal_Period-1)),0,'Mode change'!$E$37*$B81)))</f>
        <v>0</v>
      </c>
      <c r="AE81" s="97">
        <f>IF(Option2="No",0,IF($A81&lt;ImplementationYear,0,IF($A81&gt;(ImplementationYear+(Appraisal_Period-1)),0,'Road safety'!$E$22*$B81)))</f>
        <v>0</v>
      </c>
      <c r="AF81" s="97">
        <f>IF(Option2="No",0,IF($A81&lt;ImplementationYear,0,IF($A81&gt;(ImplementationYear+(Appraisal_Period-1)),0,'Reduction in car usage'!$E$46*$B81)))</f>
        <v>0</v>
      </c>
      <c r="AG81" s="97">
        <f>IF(Option2="No",0,IF($A81&lt;ImplementationYear,0,IF($A81&gt;(ImplementationYear+(Appraisal_Period-1)),0,'Reduction in car usage'!$E$47*$B81)))</f>
        <v>0</v>
      </c>
      <c r="AH81" s="97">
        <f>IF(Option2="No",0,IF($A81&lt;ImplementationYear,0,IF($A81&gt;(ImplementationYear+(Appraisal_Period-1)),0,'Reduction in car usage'!$E$48*$B81)))</f>
        <v>0</v>
      </c>
      <c r="AJ81" s="94">
        <f>IF(Option3="No",0,IF($A81=ImplementationYear,('Project details'!$P$10-'Project details'!$D$10)*VLOOKUP(Year_cost_estimate,'Time-series parameters'!$B$11:$C$89,2,FALSE)*$B81*(1+Contingency),0))</f>
        <v>0</v>
      </c>
      <c r="AK81" s="94">
        <f>IF(Option3="No",0,IF($A81&lt;ImplementationYear,0,IF($A81&gt;(ImplementationYear+(Appraisal_Period-1)),0,('Project details'!$P$11-'Project details'!$D$11)*VLOOKUP(Year_cost_estimate,'Time-series parameters'!$B$11:$C$89,2,0))*$B81))</f>
        <v>0</v>
      </c>
      <c r="AL81" s="94">
        <f>IF(Option3="No",0,IF($A81=ImplementationYear,('Project details'!$P$12-'Project details'!$D$12)*VLOOKUP(Year_cost_estimate,'Time-series parameters'!$B$11:$C$89,2,FALSE)*$B81,0))</f>
        <v>0</v>
      </c>
      <c r="AM81" s="97">
        <f>IF(Option3="No",0,IF($A81&lt;ImplementationYear,0,IF($A81&gt;(ImplementationYear+(Appraisal_Period-1)),0,Health!$F$21*$B81)))</f>
        <v>0</v>
      </c>
      <c r="AN81" s="97">
        <f>IF(Option3="No",0,IF($A81&lt;ImplementationYear,0,IF($A81&gt;(ImplementationYear+(Appraisal_Period-1)),0,Health!$F$22*$B81)))</f>
        <v>0</v>
      </c>
      <c r="AO81" s="97">
        <f>IF(Option3="No",0,IF($A81&lt;ImplementationYear,0,IF($A81&gt;(ImplementationYear+(Appraisal_Period-1)),0,SUM('Travel time'!$F$22:$F$23)*$B81)))</f>
        <v>0</v>
      </c>
      <c r="AP81" s="97">
        <f>IF(Option3="No",0,IF($A81&lt;ImplementationYear,0,IF($A81&gt;(ImplementationYear+(Appraisal_Period-1)),0,SUM('Travel time'!$F$20:$F$21)*$B81)))</f>
        <v>0</v>
      </c>
      <c r="AQ81" s="97">
        <f>IF(Option3="No",0,IF($A81&lt;ImplementationYear,0,IF($A81&gt;(ImplementationYear+(Appraisal_Period-1)),0,SUM(Quality!$F$22:$F$23)*$B81)))</f>
        <v>0</v>
      </c>
      <c r="AR81" s="97">
        <f>IF(Option3="No",0,IF($A81&lt;ImplementationYear,0,IF($A81&gt;(ImplementationYear+(Appraisal_Period-1)),0,SUM(Quality!$F$20:$F$21)*$B81)))</f>
        <v>0</v>
      </c>
      <c r="AS81" s="97">
        <f>IF(Option3="No",0,IF($A81&lt;ImplementationYear,0,IF($A81&gt;(ImplementationYear+(Appraisal_Period-1)),0,'Mode change'!$F$36*$B81)))</f>
        <v>0</v>
      </c>
      <c r="AT81" s="97">
        <f>IF(Option3="No",0,IF($A81&lt;ImplementationYear,0,IF($A81&gt;(ImplementationYear+(Appraisal_Period-1)),0,'Mode change'!$F$37*$B81)))</f>
        <v>0</v>
      </c>
      <c r="AU81" s="97">
        <f>IF(Option3="No",0,IF($A81&lt;ImplementationYear,0,IF($A81&gt;(ImplementationYear+(Appraisal_Period-1)),0,'Road safety'!$F$22*$B81)))</f>
        <v>0</v>
      </c>
      <c r="AV81" s="97">
        <f>IF(Option3="No",0,IF($A81&lt;ImplementationYear,0,IF($A81&gt;(ImplementationYear+(Appraisal_Period-1)),0,'Reduction in car usage'!$F$46*$B81)))</f>
        <v>0</v>
      </c>
      <c r="AW81" s="97">
        <f>IF(Option3="No",0,IF($A81&lt;ImplementationYear,0,IF($A81&gt;(ImplementationYear+(Appraisal_Period-1)),0,'Reduction in car usage'!$F$47*$B81)))</f>
        <v>0</v>
      </c>
      <c r="AX81" s="97">
        <f>IF(Option3="No",0,IF($A81&lt;ImplementationYear,0,IF($A81&gt;(ImplementationYear+(Appraisal_Period-1)),0,'Reduction in car usage'!$F$48*$B81)))</f>
        <v>0</v>
      </c>
    </row>
    <row r="82" spans="1:50">
      <c r="A82" s="336">
        <v>2077</v>
      </c>
      <c r="B82" s="62">
        <f>VLOOKUP($A82,'Time-series parameters'!$E$11:$H$89,2,FALSE)</f>
        <v>4.0737709303096418E-3</v>
      </c>
      <c r="C82" s="89"/>
      <c r="D82" s="94">
        <f>IF(Option1="No",0,IF($A82=ImplementationYear,('Project details'!$H$10-'Project details'!$D$10)*VLOOKUP(Year_cost_estimate,'Time-series parameters'!$B$11:$C$89,2,FALSE)*$B82*(1+Contingency),0))</f>
        <v>0</v>
      </c>
      <c r="E82" s="94">
        <f>IF(Option1="No",0,IF($A82&lt;ImplementationYear,0,IF($A82&gt;(ImplementationYear+(Appraisal_Period-1)),0,('Project details'!$H$11-'Project details'!$D$11)*VLOOKUP(Year_cost_estimate,'Time-series parameters'!$B$11:$C$89,2,0))*$B82))</f>
        <v>0</v>
      </c>
      <c r="F82" s="94">
        <f>IF(Option1="No",0,IF($A82=ImplementationYear,('Project details'!$H$12-'Project details'!$D$12)*VLOOKUP(Year_cost_estimate,'Time-series parameters'!$B$11:$C$89,2,FALSE)*$B82,0))</f>
        <v>0</v>
      </c>
      <c r="G82" s="97">
        <f>IF(Option1="No",0,IF($A82&lt;ImplementationYear,0,IF($A82&gt;(ImplementationYear+(Appraisal_Period-1)),0,Health!$D$21*$B82)))</f>
        <v>0</v>
      </c>
      <c r="H82" s="97">
        <f>IF(Option1="No",0,IF($A82&lt;ImplementationYear,0,IF($A82&gt;(ImplementationYear+(Appraisal_Period-1)),0,Health!$D$22*$B82)))</f>
        <v>0</v>
      </c>
      <c r="I82" s="97">
        <f>IF(Option1="No",0,IF($A82&lt;ImplementationYear,0,IF($A82&gt;(ImplementationYear+(Appraisal_Period-1)),0,SUM('Travel time'!$D$22:$D$23)*$B82)))</f>
        <v>0</v>
      </c>
      <c r="J82" s="97">
        <f>IF(Option1="No",0,IF($A82&lt;ImplementationYear,0,IF($A82&gt;(ImplementationYear+(Appraisal_Period-1)),0,SUM('Travel time'!$D$20:$D$21)*$B82)))</f>
        <v>0</v>
      </c>
      <c r="K82" s="97">
        <f>IF(Option1="No",0,IF($A82&lt;ImplementationYear,0,IF($A82&gt;(ImplementationYear+(Appraisal_Period-1)),0,SUM(Quality!$D$22:$D$23)*$B82)))</f>
        <v>0</v>
      </c>
      <c r="L82" s="97">
        <f>IF(Option1="No",0,IF($A82&lt;ImplementationYear,0,IF($A82&gt;(ImplementationYear+(Appraisal_Period-1)),0,SUM(Quality!$D$20:$D$21)*$B82)))</f>
        <v>0</v>
      </c>
      <c r="M82" s="97">
        <f>IF(Option1="No",0,IF($A82&lt;ImplementationYear,0,IF($A82&gt;(ImplementationYear+(Appraisal_Period-1)),0,'Mode change'!$D$36*$B82)))</f>
        <v>0</v>
      </c>
      <c r="N82" s="97">
        <f>IF(Option1="No",0,IF($A82&lt;ImplementationYear,0,IF($A82&gt;(ImplementationYear+(Appraisal_Period-1)),0,'Mode change'!$D$37*$B82)))</f>
        <v>0</v>
      </c>
      <c r="O82" s="97">
        <f>IF(Option1="No",0,IF($A82&lt;ImplementationYear,0,IF($A82&gt;(ImplementationYear+(Appraisal_Period-1)),0,'Road safety'!$D$22*$B82)))</f>
        <v>0</v>
      </c>
      <c r="P82" s="97">
        <f>IF(Option1="No",0,IF($A82&lt;ImplementationYear,0,IF($A82&gt;(ImplementationYear+(Appraisal_Period-1)),0,'Reduction in car usage'!$D$46*$B82)))</f>
        <v>0</v>
      </c>
      <c r="Q82" s="97">
        <f>IF(Option1="No",0,IF($A82&lt;ImplementationYear,0,IF($A82&gt;(ImplementationYear+(Appraisal_Period-1)),0,'Reduction in car usage'!$D$47*$B82)))</f>
        <v>0</v>
      </c>
      <c r="R82" s="97">
        <f>IF(Option1="No",0,IF($A82&lt;ImplementationYear,0,IF($A82&gt;(ImplementationYear+(Appraisal_Period-1)),0,'Reduction in car usage'!$D$48*$B82)))</f>
        <v>0</v>
      </c>
      <c r="S82" s="92"/>
      <c r="T82" s="94">
        <f>IF(Option2="No",0,IF($A82=ImplementationYear,('Project details'!$L$10-'Project details'!$D$10)*VLOOKUP(Year_cost_estimate,'Time-series parameters'!$B$11:$C$89,2,FALSE)*$B82*(1+Contingency),0))</f>
        <v>0</v>
      </c>
      <c r="U82" s="94">
        <f>IF(Option2="No",0,IF($A82&lt;ImplementationYear,0,IF($A82&gt;(ImplementationYear+(Appraisal_Period-1)),0,('Project details'!$L$11-'Project details'!$D$11)*VLOOKUP(Year_cost_estimate,'Time-series parameters'!$B$11:$C$89,2,0))*$B82))</f>
        <v>0</v>
      </c>
      <c r="V82" s="94">
        <f>IF(Option2="No",0,IF($A82=ImplementationYear,('Project details'!$L$12-'Project details'!$D$12)*VLOOKUP(Year_cost_estimate,'Time-series parameters'!$B$11:$C$89,2,FALSE)*$B82,0))</f>
        <v>0</v>
      </c>
      <c r="W82" s="97">
        <f>IF(Option2="No",0,IF($A82&lt;ImplementationYear,0,IF($A82&gt;(ImplementationYear+(Appraisal_Period-1)),0,Health!$E$21*$B82)))</f>
        <v>0</v>
      </c>
      <c r="X82" s="97">
        <f>IF(Option2="No",0,IF($A82&lt;ImplementationYear,0,IF($A82&gt;(ImplementationYear+(Appraisal_Period-1)),0,Health!$E$22*$B82)))</f>
        <v>0</v>
      </c>
      <c r="Y82" s="97">
        <f>IF(Option2="No",0,IF($A82&lt;ImplementationYear,0,IF($A82&gt;(ImplementationYear+(Appraisal_Period-1)),0,SUM('Travel time'!$E$22:$E$23)*$B82)))</f>
        <v>0</v>
      </c>
      <c r="Z82" s="97">
        <f>IF(Option2="No",0,IF($A82&lt;ImplementationYear,0,IF($A82&gt;(ImplementationYear+(Appraisal_Period-1)),0,SUM('Travel time'!$E$20:$E$21)*$B82)))</f>
        <v>0</v>
      </c>
      <c r="AA82" s="97">
        <f>IF(Option2="No",0,IF($A82&lt;ImplementationYear,0,IF($A82&gt;(ImplementationYear+(Appraisal_Period-1)),0,SUM(Quality!$E$22:$E$23)*$B82)))</f>
        <v>0</v>
      </c>
      <c r="AB82" s="97">
        <f>IF(Option2="No",0,IF($A82&lt;ImplementationYear,0,IF($A82&gt;(ImplementationYear+(Appraisal_Period-1)),0,SUM(Quality!$E$20:$E$21)*$B82)))</f>
        <v>0</v>
      </c>
      <c r="AC82" s="97">
        <f>IF(Option2="No",0,IF($A82&lt;ImplementationYear,0,IF($A82&gt;(ImplementationYear+(Appraisal_Period-1)),0,'Mode change'!$E$36*$B82)))</f>
        <v>0</v>
      </c>
      <c r="AD82" s="97">
        <f>IF(Option2="No",0,IF($A82&lt;ImplementationYear,0,IF($A82&gt;(ImplementationYear+(Appraisal_Period-1)),0,'Mode change'!$E$37*$B82)))</f>
        <v>0</v>
      </c>
      <c r="AE82" s="97">
        <f>IF(Option2="No",0,IF($A82&lt;ImplementationYear,0,IF($A82&gt;(ImplementationYear+(Appraisal_Period-1)),0,'Road safety'!$E$22*$B82)))</f>
        <v>0</v>
      </c>
      <c r="AF82" s="97">
        <f>IF(Option2="No",0,IF($A82&lt;ImplementationYear,0,IF($A82&gt;(ImplementationYear+(Appraisal_Period-1)),0,'Reduction in car usage'!$E$46*$B82)))</f>
        <v>0</v>
      </c>
      <c r="AG82" s="97">
        <f>IF(Option2="No",0,IF($A82&lt;ImplementationYear,0,IF($A82&gt;(ImplementationYear+(Appraisal_Period-1)),0,'Reduction in car usage'!$E$47*$B82)))</f>
        <v>0</v>
      </c>
      <c r="AH82" s="97">
        <f>IF(Option2="No",0,IF($A82&lt;ImplementationYear,0,IF($A82&gt;(ImplementationYear+(Appraisal_Period-1)),0,'Reduction in car usage'!$E$48*$B82)))</f>
        <v>0</v>
      </c>
      <c r="AJ82" s="94">
        <f>IF(Option3="No",0,IF($A82=ImplementationYear,('Project details'!$P$10-'Project details'!$D$10)*VLOOKUP(Year_cost_estimate,'Time-series parameters'!$B$11:$C$89,2,FALSE)*$B82*(1+Contingency),0))</f>
        <v>0</v>
      </c>
      <c r="AK82" s="94">
        <f>IF(Option3="No",0,IF($A82&lt;ImplementationYear,0,IF($A82&gt;(ImplementationYear+(Appraisal_Period-1)),0,('Project details'!$P$11-'Project details'!$D$11)*VLOOKUP(Year_cost_estimate,'Time-series parameters'!$B$11:$C$89,2,0))*$B82))</f>
        <v>0</v>
      </c>
      <c r="AL82" s="94">
        <f>IF(Option3="No",0,IF($A82=ImplementationYear,('Project details'!$P$12-'Project details'!$D$12)*VLOOKUP(Year_cost_estimate,'Time-series parameters'!$B$11:$C$89,2,FALSE)*$B82,0))</f>
        <v>0</v>
      </c>
      <c r="AM82" s="97">
        <f>IF(Option3="No",0,IF($A82&lt;ImplementationYear,0,IF($A82&gt;(ImplementationYear+(Appraisal_Period-1)),0,Health!$F$21*$B82)))</f>
        <v>0</v>
      </c>
      <c r="AN82" s="97">
        <f>IF(Option3="No",0,IF($A82&lt;ImplementationYear,0,IF($A82&gt;(ImplementationYear+(Appraisal_Period-1)),0,Health!$F$22*$B82)))</f>
        <v>0</v>
      </c>
      <c r="AO82" s="97">
        <f>IF(Option3="No",0,IF($A82&lt;ImplementationYear,0,IF($A82&gt;(ImplementationYear+(Appraisal_Period-1)),0,SUM('Travel time'!$F$22:$F$23)*$B82)))</f>
        <v>0</v>
      </c>
      <c r="AP82" s="97">
        <f>IF(Option3="No",0,IF($A82&lt;ImplementationYear,0,IF($A82&gt;(ImplementationYear+(Appraisal_Period-1)),0,SUM('Travel time'!$F$20:$F$21)*$B82)))</f>
        <v>0</v>
      </c>
      <c r="AQ82" s="97">
        <f>IF(Option3="No",0,IF($A82&lt;ImplementationYear,0,IF($A82&gt;(ImplementationYear+(Appraisal_Period-1)),0,SUM(Quality!$F$22:$F$23)*$B82)))</f>
        <v>0</v>
      </c>
      <c r="AR82" s="97">
        <f>IF(Option3="No",0,IF($A82&lt;ImplementationYear,0,IF($A82&gt;(ImplementationYear+(Appraisal_Period-1)),0,SUM(Quality!$F$20:$F$21)*$B82)))</f>
        <v>0</v>
      </c>
      <c r="AS82" s="97">
        <f>IF(Option3="No",0,IF($A82&lt;ImplementationYear,0,IF($A82&gt;(ImplementationYear+(Appraisal_Period-1)),0,'Mode change'!$F$36*$B82)))</f>
        <v>0</v>
      </c>
      <c r="AT82" s="97">
        <f>IF(Option3="No",0,IF($A82&lt;ImplementationYear,0,IF($A82&gt;(ImplementationYear+(Appraisal_Period-1)),0,'Mode change'!$F$37*$B82)))</f>
        <v>0</v>
      </c>
      <c r="AU82" s="97">
        <f>IF(Option3="No",0,IF($A82&lt;ImplementationYear,0,IF($A82&gt;(ImplementationYear+(Appraisal_Period-1)),0,'Road safety'!$F$22*$B82)))</f>
        <v>0</v>
      </c>
      <c r="AV82" s="97">
        <f>IF(Option3="No",0,IF($A82&lt;ImplementationYear,0,IF($A82&gt;(ImplementationYear+(Appraisal_Period-1)),0,'Reduction in car usage'!$F$46*$B82)))</f>
        <v>0</v>
      </c>
      <c r="AW82" s="97">
        <f>IF(Option3="No",0,IF($A82&lt;ImplementationYear,0,IF($A82&gt;(ImplementationYear+(Appraisal_Period-1)),0,'Reduction in car usage'!$F$47*$B82)))</f>
        <v>0</v>
      </c>
      <c r="AX82" s="97">
        <f>IF(Option3="No",0,IF($A82&lt;ImplementationYear,0,IF($A82&gt;(ImplementationYear+(Appraisal_Period-1)),0,'Reduction in car usage'!$F$48*$B82)))</f>
        <v>0</v>
      </c>
    </row>
    <row r="83" spans="1:50">
      <c r="A83" s="336">
        <v>2078</v>
      </c>
      <c r="B83" s="62">
        <f>VLOOKUP($A83,'Time-series parameters'!$E$11:$H$89,2,FALSE)</f>
        <v>3.7478692558848706E-3</v>
      </c>
      <c r="C83" s="89"/>
      <c r="D83" s="94">
        <f>IF(Option1="No",0,IF($A83=ImplementationYear,('Project details'!$H$10-'Project details'!$D$10)*VLOOKUP(Year_cost_estimate,'Time-series parameters'!$B$11:$C$89,2,FALSE)*$B83*(1+Contingency),0))</f>
        <v>0</v>
      </c>
      <c r="E83" s="94">
        <f>IF(Option1="No",0,IF($A83&lt;ImplementationYear,0,IF($A83&gt;(ImplementationYear+(Appraisal_Period-1)),0,('Project details'!$H$11-'Project details'!$D$11)*VLOOKUP(Year_cost_estimate,'Time-series parameters'!$B$11:$C$89,2,0))*$B83))</f>
        <v>0</v>
      </c>
      <c r="F83" s="94">
        <f>IF(Option1="No",0,IF($A83=ImplementationYear,('Project details'!$H$12-'Project details'!$D$12)*VLOOKUP(Year_cost_estimate,'Time-series parameters'!$B$11:$C$89,2,FALSE)*$B83,0))</f>
        <v>0</v>
      </c>
      <c r="G83" s="97">
        <f>IF(Option1="No",0,IF($A83&lt;ImplementationYear,0,IF($A83&gt;(ImplementationYear+(Appraisal_Period-1)),0,Health!$D$21*$B83)))</f>
        <v>0</v>
      </c>
      <c r="H83" s="97">
        <f>IF(Option1="No",0,IF($A83&lt;ImplementationYear,0,IF($A83&gt;(ImplementationYear+(Appraisal_Period-1)),0,Health!$D$22*$B83)))</f>
        <v>0</v>
      </c>
      <c r="I83" s="97">
        <f>IF(Option1="No",0,IF($A83&lt;ImplementationYear,0,IF($A83&gt;(ImplementationYear+(Appraisal_Period-1)),0,SUM('Travel time'!$D$22:$D$23)*$B83)))</f>
        <v>0</v>
      </c>
      <c r="J83" s="97">
        <f>IF(Option1="No",0,IF($A83&lt;ImplementationYear,0,IF($A83&gt;(ImplementationYear+(Appraisal_Period-1)),0,SUM('Travel time'!$D$20:$D$21)*$B83)))</f>
        <v>0</v>
      </c>
      <c r="K83" s="97">
        <f>IF(Option1="No",0,IF($A83&lt;ImplementationYear,0,IF($A83&gt;(ImplementationYear+(Appraisal_Period-1)),0,SUM(Quality!$D$22:$D$23)*$B83)))</f>
        <v>0</v>
      </c>
      <c r="L83" s="97">
        <f>IF(Option1="No",0,IF($A83&lt;ImplementationYear,0,IF($A83&gt;(ImplementationYear+(Appraisal_Period-1)),0,SUM(Quality!$D$20:$D$21)*$B83)))</f>
        <v>0</v>
      </c>
      <c r="M83" s="97">
        <f>IF(Option1="No",0,IF($A83&lt;ImplementationYear,0,IF($A83&gt;(ImplementationYear+(Appraisal_Period-1)),0,'Mode change'!$D$36*$B83)))</f>
        <v>0</v>
      </c>
      <c r="N83" s="97">
        <f>IF(Option1="No",0,IF($A83&lt;ImplementationYear,0,IF($A83&gt;(ImplementationYear+(Appraisal_Period-1)),0,'Mode change'!$D$37*$B83)))</f>
        <v>0</v>
      </c>
      <c r="O83" s="97">
        <f>IF(Option1="No",0,IF($A83&lt;ImplementationYear,0,IF($A83&gt;(ImplementationYear+(Appraisal_Period-1)),0,'Road safety'!$D$22*$B83)))</f>
        <v>0</v>
      </c>
      <c r="P83" s="97">
        <f>IF(Option1="No",0,IF($A83&lt;ImplementationYear,0,IF($A83&gt;(ImplementationYear+(Appraisal_Period-1)),0,'Reduction in car usage'!$D$46*$B83)))</f>
        <v>0</v>
      </c>
      <c r="Q83" s="97">
        <f>IF(Option1="No",0,IF($A83&lt;ImplementationYear,0,IF($A83&gt;(ImplementationYear+(Appraisal_Period-1)),0,'Reduction in car usage'!$D$47*$B83)))</f>
        <v>0</v>
      </c>
      <c r="R83" s="97">
        <f>IF(Option1="No",0,IF($A83&lt;ImplementationYear,0,IF($A83&gt;(ImplementationYear+(Appraisal_Period-1)),0,'Reduction in car usage'!$D$48*$B83)))</f>
        <v>0</v>
      </c>
      <c r="S83" s="92"/>
      <c r="T83" s="94">
        <f>IF(Option2="No",0,IF($A83=ImplementationYear,('Project details'!$L$10-'Project details'!$D$10)*VLOOKUP(Year_cost_estimate,'Time-series parameters'!$B$11:$C$89,2,FALSE)*$B83*(1+Contingency),0))</f>
        <v>0</v>
      </c>
      <c r="U83" s="94">
        <f>IF(Option2="No",0,IF($A83&lt;ImplementationYear,0,IF($A83&gt;(ImplementationYear+(Appraisal_Period-1)),0,('Project details'!$L$11-'Project details'!$D$11)*VLOOKUP(Year_cost_estimate,'Time-series parameters'!$B$11:$C$89,2,0))*$B83))</f>
        <v>0</v>
      </c>
      <c r="V83" s="94">
        <f>IF(Option2="No",0,IF($A83=ImplementationYear,('Project details'!$L$12-'Project details'!$D$12)*VLOOKUP(Year_cost_estimate,'Time-series parameters'!$B$11:$C$89,2,FALSE)*$B83,0))</f>
        <v>0</v>
      </c>
      <c r="W83" s="97">
        <f>IF(Option2="No",0,IF($A83&lt;ImplementationYear,0,IF($A83&gt;(ImplementationYear+(Appraisal_Period-1)),0,Health!$E$21*$B83)))</f>
        <v>0</v>
      </c>
      <c r="X83" s="97">
        <f>IF(Option2="No",0,IF($A83&lt;ImplementationYear,0,IF($A83&gt;(ImplementationYear+(Appraisal_Period-1)),0,Health!$E$22*$B83)))</f>
        <v>0</v>
      </c>
      <c r="Y83" s="97">
        <f>IF(Option2="No",0,IF($A83&lt;ImplementationYear,0,IF($A83&gt;(ImplementationYear+(Appraisal_Period-1)),0,SUM('Travel time'!$E$22:$E$23)*$B83)))</f>
        <v>0</v>
      </c>
      <c r="Z83" s="97">
        <f>IF(Option2="No",0,IF($A83&lt;ImplementationYear,0,IF($A83&gt;(ImplementationYear+(Appraisal_Period-1)),0,SUM('Travel time'!$E$20:$E$21)*$B83)))</f>
        <v>0</v>
      </c>
      <c r="AA83" s="97">
        <f>IF(Option2="No",0,IF($A83&lt;ImplementationYear,0,IF($A83&gt;(ImplementationYear+(Appraisal_Period-1)),0,SUM(Quality!$E$22:$E$23)*$B83)))</f>
        <v>0</v>
      </c>
      <c r="AB83" s="97">
        <f>IF(Option2="No",0,IF($A83&lt;ImplementationYear,0,IF($A83&gt;(ImplementationYear+(Appraisal_Period-1)),0,SUM(Quality!$E$20:$E$21)*$B83)))</f>
        <v>0</v>
      </c>
      <c r="AC83" s="97">
        <f>IF(Option2="No",0,IF($A83&lt;ImplementationYear,0,IF($A83&gt;(ImplementationYear+(Appraisal_Period-1)),0,'Mode change'!$E$36*$B83)))</f>
        <v>0</v>
      </c>
      <c r="AD83" s="97">
        <f>IF(Option2="No",0,IF($A83&lt;ImplementationYear,0,IF($A83&gt;(ImplementationYear+(Appraisal_Period-1)),0,'Mode change'!$E$37*$B83)))</f>
        <v>0</v>
      </c>
      <c r="AE83" s="97">
        <f>IF(Option2="No",0,IF($A83&lt;ImplementationYear,0,IF($A83&gt;(ImplementationYear+(Appraisal_Period-1)),0,'Road safety'!$E$22*$B83)))</f>
        <v>0</v>
      </c>
      <c r="AF83" s="97">
        <f>IF(Option2="No",0,IF($A83&lt;ImplementationYear,0,IF($A83&gt;(ImplementationYear+(Appraisal_Period-1)),0,'Reduction in car usage'!$E$46*$B83)))</f>
        <v>0</v>
      </c>
      <c r="AG83" s="97">
        <f>IF(Option2="No",0,IF($A83&lt;ImplementationYear,0,IF($A83&gt;(ImplementationYear+(Appraisal_Period-1)),0,'Reduction in car usage'!$E$47*$B83)))</f>
        <v>0</v>
      </c>
      <c r="AH83" s="97">
        <f>IF(Option2="No",0,IF($A83&lt;ImplementationYear,0,IF($A83&gt;(ImplementationYear+(Appraisal_Period-1)),0,'Reduction in car usage'!$E$48*$B83)))</f>
        <v>0</v>
      </c>
      <c r="AJ83" s="94">
        <f>IF(Option3="No",0,IF($A83=ImplementationYear,('Project details'!$P$10-'Project details'!$D$10)*VLOOKUP(Year_cost_estimate,'Time-series parameters'!$B$11:$C$89,2,FALSE)*$B83*(1+Contingency),0))</f>
        <v>0</v>
      </c>
      <c r="AK83" s="94">
        <f>IF(Option3="No",0,IF($A83&lt;ImplementationYear,0,IF($A83&gt;(ImplementationYear+(Appraisal_Period-1)),0,('Project details'!$P$11-'Project details'!$D$11)*VLOOKUP(Year_cost_estimate,'Time-series parameters'!$B$11:$C$89,2,0))*$B83))</f>
        <v>0</v>
      </c>
      <c r="AL83" s="94">
        <f>IF(Option3="No",0,IF($A83=ImplementationYear,('Project details'!$P$12-'Project details'!$D$12)*VLOOKUP(Year_cost_estimate,'Time-series parameters'!$B$11:$C$89,2,FALSE)*$B83,0))</f>
        <v>0</v>
      </c>
      <c r="AM83" s="97">
        <f>IF(Option3="No",0,IF($A83&lt;ImplementationYear,0,IF($A83&gt;(ImplementationYear+(Appraisal_Period-1)),0,Health!$F$21*$B83)))</f>
        <v>0</v>
      </c>
      <c r="AN83" s="97">
        <f>IF(Option3="No",0,IF($A83&lt;ImplementationYear,0,IF($A83&gt;(ImplementationYear+(Appraisal_Period-1)),0,Health!$F$22*$B83)))</f>
        <v>0</v>
      </c>
      <c r="AO83" s="97">
        <f>IF(Option3="No",0,IF($A83&lt;ImplementationYear,0,IF($A83&gt;(ImplementationYear+(Appraisal_Period-1)),0,SUM('Travel time'!$F$22:$F$23)*$B83)))</f>
        <v>0</v>
      </c>
      <c r="AP83" s="97">
        <f>IF(Option3="No",0,IF($A83&lt;ImplementationYear,0,IF($A83&gt;(ImplementationYear+(Appraisal_Period-1)),0,SUM('Travel time'!$F$20:$F$21)*$B83)))</f>
        <v>0</v>
      </c>
      <c r="AQ83" s="97">
        <f>IF(Option3="No",0,IF($A83&lt;ImplementationYear,0,IF($A83&gt;(ImplementationYear+(Appraisal_Period-1)),0,SUM(Quality!$F$22:$F$23)*$B83)))</f>
        <v>0</v>
      </c>
      <c r="AR83" s="97">
        <f>IF(Option3="No",0,IF($A83&lt;ImplementationYear,0,IF($A83&gt;(ImplementationYear+(Appraisal_Period-1)),0,SUM(Quality!$F$20:$F$21)*$B83)))</f>
        <v>0</v>
      </c>
      <c r="AS83" s="97">
        <f>IF(Option3="No",0,IF($A83&lt;ImplementationYear,0,IF($A83&gt;(ImplementationYear+(Appraisal_Period-1)),0,'Mode change'!$F$36*$B83)))</f>
        <v>0</v>
      </c>
      <c r="AT83" s="97">
        <f>IF(Option3="No",0,IF($A83&lt;ImplementationYear,0,IF($A83&gt;(ImplementationYear+(Appraisal_Period-1)),0,'Mode change'!$F$37*$B83)))</f>
        <v>0</v>
      </c>
      <c r="AU83" s="97">
        <f>IF(Option3="No",0,IF($A83&lt;ImplementationYear,0,IF($A83&gt;(ImplementationYear+(Appraisal_Period-1)),0,'Road safety'!$F$22*$B83)))</f>
        <v>0</v>
      </c>
      <c r="AV83" s="97">
        <f>IF(Option3="No",0,IF($A83&lt;ImplementationYear,0,IF($A83&gt;(ImplementationYear+(Appraisal_Period-1)),0,'Reduction in car usage'!$F$46*$B83)))</f>
        <v>0</v>
      </c>
      <c r="AW83" s="97">
        <f>IF(Option3="No",0,IF($A83&lt;ImplementationYear,0,IF($A83&gt;(ImplementationYear+(Appraisal_Period-1)),0,'Reduction in car usage'!$F$47*$B83)))</f>
        <v>0</v>
      </c>
      <c r="AX83" s="97">
        <f>IF(Option3="No",0,IF($A83&lt;ImplementationYear,0,IF($A83&gt;(ImplementationYear+(Appraisal_Period-1)),0,'Reduction in car usage'!$F$48*$B83)))</f>
        <v>0</v>
      </c>
    </row>
    <row r="84" spans="1:50">
      <c r="A84" s="336">
        <v>2079</v>
      </c>
      <c r="B84" s="62">
        <f>VLOOKUP($A84,'Time-series parameters'!$E$11:$H$89,2,FALSE)</f>
        <v>3.4480397154140808E-3</v>
      </c>
      <c r="C84" s="89"/>
      <c r="D84" s="94">
        <f>IF(Option1="No",0,IF($A84=ImplementationYear,('Project details'!$H$10-'Project details'!$D$10)*VLOOKUP(Year_cost_estimate,'Time-series parameters'!$B$11:$C$89,2,FALSE)*$B84*(1+Contingency),0))</f>
        <v>0</v>
      </c>
      <c r="E84" s="94">
        <f>IF(Option1="No",0,IF($A84&lt;ImplementationYear,0,IF($A84&gt;(ImplementationYear+(Appraisal_Period-1)),0,('Project details'!$H$11-'Project details'!$D$11)*VLOOKUP(Year_cost_estimate,'Time-series parameters'!$B$11:$C$89,2,0))*$B84))</f>
        <v>0</v>
      </c>
      <c r="F84" s="94">
        <f>IF(Option1="No",0,IF($A84=ImplementationYear,('Project details'!$H$12-'Project details'!$D$12)*VLOOKUP(Year_cost_estimate,'Time-series parameters'!$B$11:$C$89,2,FALSE)*$B84,0))</f>
        <v>0</v>
      </c>
      <c r="G84" s="97">
        <f>IF(Option1="No",0,IF($A84&lt;ImplementationYear,0,IF($A84&gt;(ImplementationYear+(Appraisal_Period-1)),0,Health!$D$21*$B84)))</f>
        <v>0</v>
      </c>
      <c r="H84" s="97">
        <f>IF(Option1="No",0,IF($A84&lt;ImplementationYear,0,IF($A84&gt;(ImplementationYear+(Appraisal_Period-1)),0,Health!$D$22*$B84)))</f>
        <v>0</v>
      </c>
      <c r="I84" s="97">
        <f>IF(Option1="No",0,IF($A84&lt;ImplementationYear,0,IF($A84&gt;(ImplementationYear+(Appraisal_Period-1)),0,SUM('Travel time'!$D$22:$D$23)*$B84)))</f>
        <v>0</v>
      </c>
      <c r="J84" s="97">
        <f>IF(Option1="No",0,IF($A84&lt;ImplementationYear,0,IF($A84&gt;(ImplementationYear+(Appraisal_Period-1)),0,SUM('Travel time'!$D$20:$D$21)*$B84)))</f>
        <v>0</v>
      </c>
      <c r="K84" s="97">
        <f>IF(Option1="No",0,IF($A84&lt;ImplementationYear,0,IF($A84&gt;(ImplementationYear+(Appraisal_Period-1)),0,SUM(Quality!$D$22:$D$23)*$B84)))</f>
        <v>0</v>
      </c>
      <c r="L84" s="97">
        <f>IF(Option1="No",0,IF($A84&lt;ImplementationYear,0,IF($A84&gt;(ImplementationYear+(Appraisal_Period-1)),0,SUM(Quality!$D$20:$D$21)*$B84)))</f>
        <v>0</v>
      </c>
      <c r="M84" s="97">
        <f>IF(Option1="No",0,IF($A84&lt;ImplementationYear,0,IF($A84&gt;(ImplementationYear+(Appraisal_Period-1)),0,'Mode change'!$D$36*$B84)))</f>
        <v>0</v>
      </c>
      <c r="N84" s="97">
        <f>IF(Option1="No",0,IF($A84&lt;ImplementationYear,0,IF($A84&gt;(ImplementationYear+(Appraisal_Period-1)),0,'Mode change'!$D$37*$B84)))</f>
        <v>0</v>
      </c>
      <c r="O84" s="97">
        <f>IF(Option1="No",0,IF($A84&lt;ImplementationYear,0,IF($A84&gt;(ImplementationYear+(Appraisal_Period-1)),0,'Road safety'!$D$22*$B84)))</f>
        <v>0</v>
      </c>
      <c r="P84" s="97">
        <f>IF(Option1="No",0,IF($A84&lt;ImplementationYear,0,IF($A84&gt;(ImplementationYear+(Appraisal_Period-1)),0,'Reduction in car usage'!$D$46*$B84)))</f>
        <v>0</v>
      </c>
      <c r="Q84" s="97">
        <f>IF(Option1="No",0,IF($A84&lt;ImplementationYear,0,IF($A84&gt;(ImplementationYear+(Appraisal_Period-1)),0,'Reduction in car usage'!$D$47*$B84)))</f>
        <v>0</v>
      </c>
      <c r="R84" s="97">
        <f>IF(Option1="No",0,IF($A84&lt;ImplementationYear,0,IF($A84&gt;(ImplementationYear+(Appraisal_Period-1)),0,'Reduction in car usage'!$D$48*$B84)))</f>
        <v>0</v>
      </c>
      <c r="S84" s="92"/>
      <c r="T84" s="94">
        <f>IF(Option2="No",0,IF($A84=ImplementationYear,('Project details'!$L$10-'Project details'!$D$10)*VLOOKUP(Year_cost_estimate,'Time-series parameters'!$B$11:$C$89,2,FALSE)*$B84*(1+Contingency),0))</f>
        <v>0</v>
      </c>
      <c r="U84" s="94">
        <f>IF(Option2="No",0,IF($A84&lt;ImplementationYear,0,IF($A84&gt;(ImplementationYear+(Appraisal_Period-1)),0,('Project details'!$L$11-'Project details'!$D$11)*VLOOKUP(Year_cost_estimate,'Time-series parameters'!$B$11:$C$89,2,0))*$B84))</f>
        <v>0</v>
      </c>
      <c r="V84" s="94">
        <f>IF(Option2="No",0,IF($A84=ImplementationYear,('Project details'!$L$12-'Project details'!$D$12)*VLOOKUP(Year_cost_estimate,'Time-series parameters'!$B$11:$C$89,2,FALSE)*$B84,0))</f>
        <v>0</v>
      </c>
      <c r="W84" s="97">
        <f>IF(Option2="No",0,IF($A84&lt;ImplementationYear,0,IF($A84&gt;(ImplementationYear+(Appraisal_Period-1)),0,Health!$E$21*$B84)))</f>
        <v>0</v>
      </c>
      <c r="X84" s="97">
        <f>IF(Option2="No",0,IF($A84&lt;ImplementationYear,0,IF($A84&gt;(ImplementationYear+(Appraisal_Period-1)),0,Health!$E$22*$B84)))</f>
        <v>0</v>
      </c>
      <c r="Y84" s="97">
        <f>IF(Option2="No",0,IF($A84&lt;ImplementationYear,0,IF($A84&gt;(ImplementationYear+(Appraisal_Period-1)),0,SUM('Travel time'!$E$22:$E$23)*$B84)))</f>
        <v>0</v>
      </c>
      <c r="Z84" s="97">
        <f>IF(Option2="No",0,IF($A84&lt;ImplementationYear,0,IF($A84&gt;(ImplementationYear+(Appraisal_Period-1)),0,SUM('Travel time'!$E$20:$E$21)*$B84)))</f>
        <v>0</v>
      </c>
      <c r="AA84" s="97">
        <f>IF(Option2="No",0,IF($A84&lt;ImplementationYear,0,IF($A84&gt;(ImplementationYear+(Appraisal_Period-1)),0,SUM(Quality!$E$22:$E$23)*$B84)))</f>
        <v>0</v>
      </c>
      <c r="AB84" s="97">
        <f>IF(Option2="No",0,IF($A84&lt;ImplementationYear,0,IF($A84&gt;(ImplementationYear+(Appraisal_Period-1)),0,SUM(Quality!$E$20:$E$21)*$B84)))</f>
        <v>0</v>
      </c>
      <c r="AC84" s="97">
        <f>IF(Option2="No",0,IF($A84&lt;ImplementationYear,0,IF($A84&gt;(ImplementationYear+(Appraisal_Period-1)),0,'Mode change'!$E$36*$B84)))</f>
        <v>0</v>
      </c>
      <c r="AD84" s="97">
        <f>IF(Option2="No",0,IF($A84&lt;ImplementationYear,0,IF($A84&gt;(ImplementationYear+(Appraisal_Period-1)),0,'Mode change'!$E$37*$B84)))</f>
        <v>0</v>
      </c>
      <c r="AE84" s="97">
        <f>IF(Option2="No",0,IF($A84&lt;ImplementationYear,0,IF($A84&gt;(ImplementationYear+(Appraisal_Period-1)),0,'Road safety'!$E$22*$B84)))</f>
        <v>0</v>
      </c>
      <c r="AF84" s="97">
        <f>IF(Option2="No",0,IF($A84&lt;ImplementationYear,0,IF($A84&gt;(ImplementationYear+(Appraisal_Period-1)),0,'Reduction in car usage'!$E$46*$B84)))</f>
        <v>0</v>
      </c>
      <c r="AG84" s="97">
        <f>IF(Option2="No",0,IF($A84&lt;ImplementationYear,0,IF($A84&gt;(ImplementationYear+(Appraisal_Period-1)),0,'Reduction in car usage'!$E$47*$B84)))</f>
        <v>0</v>
      </c>
      <c r="AH84" s="97">
        <f>IF(Option2="No",0,IF($A84&lt;ImplementationYear,0,IF($A84&gt;(ImplementationYear+(Appraisal_Period-1)),0,'Reduction in car usage'!$E$48*$B84)))</f>
        <v>0</v>
      </c>
      <c r="AJ84" s="94">
        <f>IF(Option3="No",0,IF($A84=ImplementationYear,('Project details'!$P$10-'Project details'!$D$10)*VLOOKUP(Year_cost_estimate,'Time-series parameters'!$B$11:$C$89,2,FALSE)*$B84*(1+Contingency),0))</f>
        <v>0</v>
      </c>
      <c r="AK84" s="94">
        <f>IF(Option3="No",0,IF($A84&lt;ImplementationYear,0,IF($A84&gt;(ImplementationYear+(Appraisal_Period-1)),0,('Project details'!$P$11-'Project details'!$D$11)*VLOOKUP(Year_cost_estimate,'Time-series parameters'!$B$11:$C$89,2,0))*$B84))</f>
        <v>0</v>
      </c>
      <c r="AL84" s="94">
        <f>IF(Option3="No",0,IF($A84=ImplementationYear,('Project details'!$P$12-'Project details'!$D$12)*VLOOKUP(Year_cost_estimate,'Time-series parameters'!$B$11:$C$89,2,FALSE)*$B84,0))</f>
        <v>0</v>
      </c>
      <c r="AM84" s="97">
        <f>IF(Option3="No",0,IF($A84&lt;ImplementationYear,0,IF($A84&gt;(ImplementationYear+(Appraisal_Period-1)),0,Health!$F$21*$B84)))</f>
        <v>0</v>
      </c>
      <c r="AN84" s="97">
        <f>IF(Option3="No",0,IF($A84&lt;ImplementationYear,0,IF($A84&gt;(ImplementationYear+(Appraisal_Period-1)),0,Health!$F$22*$B84)))</f>
        <v>0</v>
      </c>
      <c r="AO84" s="97">
        <f>IF(Option3="No",0,IF($A84&lt;ImplementationYear,0,IF($A84&gt;(ImplementationYear+(Appraisal_Period-1)),0,SUM('Travel time'!$F$22:$F$23)*$B84)))</f>
        <v>0</v>
      </c>
      <c r="AP84" s="97">
        <f>IF(Option3="No",0,IF($A84&lt;ImplementationYear,0,IF($A84&gt;(ImplementationYear+(Appraisal_Period-1)),0,SUM('Travel time'!$F$20:$F$21)*$B84)))</f>
        <v>0</v>
      </c>
      <c r="AQ84" s="97">
        <f>IF(Option3="No",0,IF($A84&lt;ImplementationYear,0,IF($A84&gt;(ImplementationYear+(Appraisal_Period-1)),0,SUM(Quality!$F$22:$F$23)*$B84)))</f>
        <v>0</v>
      </c>
      <c r="AR84" s="97">
        <f>IF(Option3="No",0,IF($A84&lt;ImplementationYear,0,IF($A84&gt;(ImplementationYear+(Appraisal_Period-1)),0,SUM(Quality!$F$20:$F$21)*$B84)))</f>
        <v>0</v>
      </c>
      <c r="AS84" s="97">
        <f>IF(Option3="No",0,IF($A84&lt;ImplementationYear,0,IF($A84&gt;(ImplementationYear+(Appraisal_Period-1)),0,'Mode change'!$F$36*$B84)))</f>
        <v>0</v>
      </c>
      <c r="AT84" s="97">
        <f>IF(Option3="No",0,IF($A84&lt;ImplementationYear,0,IF($A84&gt;(ImplementationYear+(Appraisal_Period-1)),0,'Mode change'!$F$37*$B84)))</f>
        <v>0</v>
      </c>
      <c r="AU84" s="97">
        <f>IF(Option3="No",0,IF($A84&lt;ImplementationYear,0,IF($A84&gt;(ImplementationYear+(Appraisal_Period-1)),0,'Road safety'!$F$22*$B84)))</f>
        <v>0</v>
      </c>
      <c r="AV84" s="97">
        <f>IF(Option3="No",0,IF($A84&lt;ImplementationYear,0,IF($A84&gt;(ImplementationYear+(Appraisal_Period-1)),0,'Reduction in car usage'!$F$46*$B84)))</f>
        <v>0</v>
      </c>
      <c r="AW84" s="97">
        <f>IF(Option3="No",0,IF($A84&lt;ImplementationYear,0,IF($A84&gt;(ImplementationYear+(Appraisal_Period-1)),0,'Reduction in car usage'!$F$47*$B84)))</f>
        <v>0</v>
      </c>
      <c r="AX84" s="97">
        <f>IF(Option3="No",0,IF($A84&lt;ImplementationYear,0,IF($A84&gt;(ImplementationYear+(Appraisal_Period-1)),0,'Reduction in car usage'!$F$48*$B84)))</f>
        <v>0</v>
      </c>
    </row>
    <row r="85" spans="1:50">
      <c r="A85" s="337">
        <v>2080</v>
      </c>
      <c r="B85" s="63">
        <f>VLOOKUP($A85,'Time-series parameters'!$E$11:$H$89,2,FALSE)</f>
        <v>3.1721965381809542E-3</v>
      </c>
      <c r="C85" s="89"/>
      <c r="D85" s="95">
        <f>IF(Option1="No",0,IF($A85=ImplementationYear,('Project details'!$H$10-'Project details'!$D$10)*VLOOKUP(Year_cost_estimate,'Time-series parameters'!$B$11:$C$89,2,FALSE)*$B85*(1+Contingency),0))</f>
        <v>0</v>
      </c>
      <c r="E85" s="95">
        <f>IF(Option1="No",0,IF($A85&lt;ImplementationYear,0,IF($A85&gt;(ImplementationYear+(Appraisal_Period-1)),0,('Project details'!$H$11-'Project details'!$D$11)*VLOOKUP(Year_cost_estimate,'Time-series parameters'!$B$11:$C$89,2,0))*$B85))</f>
        <v>0</v>
      </c>
      <c r="F85" s="95">
        <f>IF(Option1="No",0,IF($A85=ImplementationYear,('Project details'!$H$12-'Project details'!$D$12)*VLOOKUP(Year_cost_estimate,'Time-series parameters'!$B$11:$C$89,2,FALSE)*$B85,0))</f>
        <v>0</v>
      </c>
      <c r="G85" s="98">
        <f>IF(Option1="No",0,IF($A85&lt;ImplementationYear,0,IF($A85&gt;(ImplementationYear+(Appraisal_Period-1)),0,Health!$D$21*$B85)))</f>
        <v>0</v>
      </c>
      <c r="H85" s="98">
        <f>IF(Option1="No",0,IF($A85&lt;ImplementationYear,0,IF($A85&gt;(ImplementationYear+(Appraisal_Period-1)),0,Health!$D$22*$B85)))</f>
        <v>0</v>
      </c>
      <c r="I85" s="98">
        <f>IF(Option1="No",0,IF($A85&lt;ImplementationYear,0,IF($A85&gt;(ImplementationYear+(Appraisal_Period-1)),0,SUM('Travel time'!$D$22:$D$23)*$B85)))</f>
        <v>0</v>
      </c>
      <c r="J85" s="98">
        <f>IF(Option1="No",0,IF($A85&lt;ImplementationYear,0,IF($A85&gt;(ImplementationYear+(Appraisal_Period-1)),0,SUM('Travel time'!$D$20:$D$21)*$B85)))</f>
        <v>0</v>
      </c>
      <c r="K85" s="98">
        <f>IF(Option1="No",0,IF($A85&lt;ImplementationYear,0,IF($A85&gt;(ImplementationYear+(Appraisal_Period-1)),0,SUM(Quality!$D$22:$D$23)*$B85)))</f>
        <v>0</v>
      </c>
      <c r="L85" s="98">
        <f>IF(Option1="No",0,IF($A85&lt;ImplementationYear,0,IF($A85&gt;(ImplementationYear+(Appraisal_Period-1)),0,SUM(Quality!$D$20:$D$21)*$B85)))</f>
        <v>0</v>
      </c>
      <c r="M85" s="97">
        <f>IF(Option1="No",0,IF($A85&lt;ImplementationYear,0,IF($A85&gt;(ImplementationYear+(Appraisal_Period-1)),0,'Mode change'!$D$36*$B85)))</f>
        <v>0</v>
      </c>
      <c r="N85" s="97">
        <f>IF(Option1="No",0,IF($A85&lt;ImplementationYear,0,IF($A85&gt;(ImplementationYear+(Appraisal_Period-1)),0,'Mode change'!$D$37*$B85)))</f>
        <v>0</v>
      </c>
      <c r="O85" s="98">
        <f>IF(Option1="No",0,IF($A85&lt;ImplementationYear,0,IF($A85&gt;(ImplementationYear+(Appraisal_Period-1)),0,'Road safety'!$D$22*$B85)))</f>
        <v>0</v>
      </c>
      <c r="P85" s="98">
        <f>IF(Option1="No",0,IF($A85&lt;ImplementationYear,0,IF($A85&gt;(ImplementationYear+(Appraisal_Period-1)),0,'Reduction in car usage'!$D$46*$B85)))</f>
        <v>0</v>
      </c>
      <c r="Q85" s="98">
        <f>IF(Option1="No",0,IF($A85&lt;ImplementationYear,0,IF($A85&gt;(ImplementationYear+(Appraisal_Period-1)),0,'Reduction in car usage'!$D$47*$B85)))</f>
        <v>0</v>
      </c>
      <c r="R85" s="98">
        <f>IF(Option1="No",0,IF($A85&lt;ImplementationYear,0,IF($A85&gt;(ImplementationYear+(Appraisal_Period-1)),0,'Reduction in car usage'!$D$48*$B85)))</f>
        <v>0</v>
      </c>
      <c r="S85" s="92"/>
      <c r="T85" s="95">
        <f>IF(Option2="No",0,IF($A85=ImplementationYear,('Project details'!$L$10-'Project details'!$D$10)*VLOOKUP(Year_cost_estimate,'Time-series parameters'!$B$11:$C$89,2,FALSE)*$B85*(1+Contingency),0))</f>
        <v>0</v>
      </c>
      <c r="U85" s="95">
        <f>IF(Option2="No",0,IF($A85&lt;ImplementationYear,0,IF($A85&gt;(ImplementationYear+(Appraisal_Period-1)),0,('Project details'!$L$11-'Project details'!$D$11)*VLOOKUP(Year_cost_estimate,'Time-series parameters'!$B$11:$C$89,2,0))*$B85))</f>
        <v>0</v>
      </c>
      <c r="V85" s="95">
        <f>IF(Option2="No",0,IF($A85=ImplementationYear,('Project details'!$L$12-'Project details'!$D$12)*VLOOKUP(Year_cost_estimate,'Time-series parameters'!$B$11:$C$89,2,FALSE)*$B85,0))</f>
        <v>0</v>
      </c>
      <c r="W85" s="98">
        <f>IF(Option2="No",0,IF($A85&lt;ImplementationYear,0,IF($A85&gt;(ImplementationYear+(Appraisal_Period-1)),0,Health!$E$21*$B85)))</f>
        <v>0</v>
      </c>
      <c r="X85" s="98">
        <f>IF(Option2="No",0,IF($A85&lt;ImplementationYear,0,IF($A85&gt;(ImplementationYear+(Appraisal_Period-1)),0,Health!$E$22*$B85)))</f>
        <v>0</v>
      </c>
      <c r="Y85" s="98">
        <f>IF(Option2="No",0,IF($A85&lt;ImplementationYear,0,IF($A85&gt;(ImplementationYear+(Appraisal_Period-1)),0,SUM('Travel time'!$E$22:$E$23)*$B85)))</f>
        <v>0</v>
      </c>
      <c r="Z85" s="98">
        <f>IF(Option2="No",0,IF($A85&lt;ImplementationYear,0,IF($A85&gt;(ImplementationYear+(Appraisal_Period-1)),0,SUM('Travel time'!$E$20:$E$21)*$B85)))</f>
        <v>0</v>
      </c>
      <c r="AA85" s="98">
        <f>IF(Option2="No",0,IF($A85&lt;ImplementationYear,0,IF($A85&gt;(ImplementationYear+(Appraisal_Period-1)),0,SUM(Quality!$E$22:$E$23)*$B85)))</f>
        <v>0</v>
      </c>
      <c r="AB85" s="98">
        <f>IF(Option2="No",0,IF($A85&lt;ImplementationYear,0,IF($A85&gt;(ImplementationYear+(Appraisal_Period-1)),0,SUM(Quality!$E$20:$E$21)*$B85)))</f>
        <v>0</v>
      </c>
      <c r="AC85" s="97">
        <f>IF(Option2="No",0,IF($A85&lt;ImplementationYear,0,IF($A85&gt;(ImplementationYear+(Appraisal_Period-1)),0,'Mode change'!$E$36*$B85)))</f>
        <v>0</v>
      </c>
      <c r="AD85" s="97">
        <f>IF(Option2="No",0,IF($A85&lt;ImplementationYear,0,IF($A85&gt;(ImplementationYear+(Appraisal_Period-1)),0,'Mode change'!$E$37*$B85)))</f>
        <v>0</v>
      </c>
      <c r="AE85" s="98">
        <f>IF(Option2="No",0,IF($A85&lt;ImplementationYear,0,IF($A85&gt;(ImplementationYear+(Appraisal_Period-1)),0,'Road safety'!$E$22*$B85)))</f>
        <v>0</v>
      </c>
      <c r="AF85" s="98">
        <f>IF(Option2="No",0,IF($A85&lt;ImplementationYear,0,IF($A85&gt;(ImplementationYear+(Appraisal_Period-1)),0,'Reduction in car usage'!$E$46*$B85)))</f>
        <v>0</v>
      </c>
      <c r="AG85" s="98">
        <f>IF(Option2="No",0,IF($A85&lt;ImplementationYear,0,IF($A85&gt;(ImplementationYear+(Appraisal_Period-1)),0,'Reduction in car usage'!$E$47*$B85)))</f>
        <v>0</v>
      </c>
      <c r="AH85" s="98">
        <f>IF(Option2="No",0,IF($A85&lt;ImplementationYear,0,IF($A85&gt;(ImplementationYear+(Appraisal_Period-1)),0,'Reduction in car usage'!$E$48*$B85)))</f>
        <v>0</v>
      </c>
      <c r="AJ85" s="95">
        <f>IF(Option3="No",0,IF($A85=ImplementationYear,('Project details'!$P$10-'Project details'!$D$10)*VLOOKUP(Year_cost_estimate,'Time-series parameters'!$B$11:$C$89,2,FALSE)*$B85*(1+Contingency),0))</f>
        <v>0</v>
      </c>
      <c r="AK85" s="95">
        <f>IF(Option3="No",0,IF($A85&lt;ImplementationYear,0,IF($A85&gt;(ImplementationYear+(Appraisal_Period-1)),0,('Project details'!$P$11-'Project details'!$D$11)*VLOOKUP(Year_cost_estimate,'Time-series parameters'!$B$11:$C$89,2,0))*$B85))</f>
        <v>0</v>
      </c>
      <c r="AL85" s="95">
        <f>IF(Option3="No",0,IF($A85=ImplementationYear,('Project details'!$P$12-'Project details'!$D$12)*VLOOKUP(Year_cost_estimate,'Time-series parameters'!$B$11:$C$89,2,FALSE)*$B85,0))</f>
        <v>0</v>
      </c>
      <c r="AM85" s="98">
        <f>IF(Option3="No",0,IF($A85&lt;ImplementationYear,0,IF($A85&gt;(ImplementationYear+(Appraisal_Period-1)),0,Health!$F$21*$B85)))</f>
        <v>0</v>
      </c>
      <c r="AN85" s="98">
        <f>IF(Option3="No",0,IF($A85&lt;ImplementationYear,0,IF($A85&gt;(ImplementationYear+(Appraisal_Period-1)),0,Health!$F$22*$B85)))</f>
        <v>0</v>
      </c>
      <c r="AO85" s="98">
        <f>IF(Option3="No",0,IF($A85&lt;ImplementationYear,0,IF($A85&gt;(ImplementationYear+(Appraisal_Period-1)),0,SUM('Travel time'!$F$22:$F$23)*$B85)))</f>
        <v>0</v>
      </c>
      <c r="AP85" s="98">
        <f>IF(Option3="No",0,IF($A85&lt;ImplementationYear,0,IF($A85&gt;(ImplementationYear+(Appraisal_Period-1)),0,SUM('Travel time'!$F$20:$F$21)*$B85)))</f>
        <v>0</v>
      </c>
      <c r="AQ85" s="98">
        <f>IF(Option3="No",0,IF($A85&lt;ImplementationYear,0,IF($A85&gt;(ImplementationYear+(Appraisal_Period-1)),0,SUM(Quality!$F$22:$F$23)*$B85)))</f>
        <v>0</v>
      </c>
      <c r="AR85" s="98">
        <f>IF(Option3="No",0,IF($A85&lt;ImplementationYear,0,IF($A85&gt;(ImplementationYear+(Appraisal_Period-1)),0,SUM(Quality!$F$20:$F$21)*$B85)))</f>
        <v>0</v>
      </c>
      <c r="AS85" s="97">
        <f>IF(Option3="No",0,IF($A85&lt;ImplementationYear,0,IF($A85&gt;(ImplementationYear+(Appraisal_Period-1)),0,'Mode change'!$F$36*$B85)))</f>
        <v>0</v>
      </c>
      <c r="AT85" s="97">
        <f>IF(Option3="No",0,IF($A85&lt;ImplementationYear,0,IF($A85&gt;(ImplementationYear+(Appraisal_Period-1)),0,'Mode change'!$F$37*$B85)))</f>
        <v>0</v>
      </c>
      <c r="AU85" s="98">
        <f>IF(Option3="No",0,IF($A85&lt;ImplementationYear,0,IF($A85&gt;(ImplementationYear+(Appraisal_Period-1)),0,'Road safety'!$F$22*$B85)))</f>
        <v>0</v>
      </c>
      <c r="AV85" s="98">
        <f>IF(Option3="No",0,IF($A85&lt;ImplementationYear,0,IF($A85&gt;(ImplementationYear+(Appraisal_Period-1)),0,'Reduction in car usage'!$F$46*$B85)))</f>
        <v>0</v>
      </c>
      <c r="AW85" s="98">
        <f>IF(Option3="No",0,IF($A85&lt;ImplementationYear,0,IF($A85&gt;(ImplementationYear+(Appraisal_Period-1)),0,'Reduction in car usage'!$F$47*$B85)))</f>
        <v>0</v>
      </c>
      <c r="AX85" s="98">
        <f>IF(Option3="No",0,IF($A85&lt;ImplementationYear,0,IF($A85&gt;(ImplementationYear+(Appraisal_Period-1)),0,'Reduction in car usage'!$F$48*$B85)))</f>
        <v>0</v>
      </c>
    </row>
  </sheetData>
  <sheetProtection password="EA07" sheet="1" objects="1" scenarios="1"/>
  <mergeCells count="4">
    <mergeCell ref="A6:A7"/>
    <mergeCell ref="G6:R6"/>
    <mergeCell ref="W6:AH6"/>
    <mergeCell ref="AM6:AX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7"/>
  </sheetPr>
  <dimension ref="A2:AX85"/>
  <sheetViews>
    <sheetView topLeftCell="A4" zoomScale="85" zoomScaleNormal="85" workbookViewId="0">
      <selection activeCell="AS7" sqref="AS7:AT85"/>
    </sheetView>
  </sheetViews>
  <sheetFormatPr defaultColWidth="9.140625" defaultRowHeight="15"/>
  <cols>
    <col min="1" max="1" width="8" style="1" customWidth="1"/>
    <col min="2" max="2" width="26.7109375" style="1" customWidth="1"/>
    <col min="3" max="3" width="3.5703125" style="15" customWidth="1"/>
    <col min="4" max="6" width="17.140625" style="1" customWidth="1"/>
    <col min="7" max="7" width="15.7109375" style="1" customWidth="1"/>
    <col min="8" max="8" width="14.5703125" style="1" customWidth="1"/>
    <col min="9" max="9" width="15.140625" style="1" customWidth="1"/>
    <col min="10" max="18" width="13.42578125" style="1" customWidth="1"/>
    <col min="19" max="19" width="4.28515625" style="15" customWidth="1"/>
    <col min="20" max="34" width="15.85546875" style="1" customWidth="1"/>
    <col min="35" max="35" width="3.7109375" style="1" customWidth="1"/>
    <col min="36" max="50" width="15.85546875" style="1" customWidth="1"/>
    <col min="51" max="16384" width="9.140625" style="1"/>
  </cols>
  <sheetData>
    <row r="2" spans="1:50">
      <c r="B2" s="295" t="s">
        <v>99</v>
      </c>
    </row>
    <row r="3" spans="1:50">
      <c r="G3" s="96"/>
    </row>
    <row r="5" spans="1:50" ht="18.75">
      <c r="B5" s="9"/>
      <c r="C5" s="18"/>
      <c r="D5" s="2" t="s">
        <v>124</v>
      </c>
      <c r="E5" s="9"/>
      <c r="F5" s="9"/>
      <c r="G5" s="9"/>
      <c r="H5" s="9"/>
      <c r="I5" s="9"/>
      <c r="J5" s="9"/>
      <c r="K5" s="9"/>
      <c r="L5" s="9"/>
      <c r="M5" s="9"/>
      <c r="N5" s="9"/>
      <c r="O5" s="9"/>
      <c r="P5" s="9"/>
      <c r="Q5" s="9"/>
      <c r="R5" s="9"/>
      <c r="S5" s="18"/>
      <c r="T5" s="2" t="s">
        <v>125</v>
      </c>
      <c r="U5" s="9"/>
      <c r="V5" s="9"/>
      <c r="W5" s="9"/>
      <c r="X5" s="9"/>
      <c r="Y5" s="9"/>
      <c r="Z5" s="9"/>
      <c r="AA5" s="9"/>
      <c r="AB5" s="9"/>
      <c r="AC5" s="9"/>
      <c r="AD5" s="9"/>
      <c r="AE5" s="9"/>
      <c r="AF5" s="9"/>
      <c r="AG5" s="9"/>
      <c r="AH5" s="9"/>
      <c r="AJ5" s="2" t="s">
        <v>126</v>
      </c>
      <c r="AK5" s="9"/>
      <c r="AL5" s="9"/>
      <c r="AM5" s="9"/>
      <c r="AN5" s="9"/>
      <c r="AO5" s="9"/>
      <c r="AP5" s="9"/>
      <c r="AQ5" s="9"/>
      <c r="AR5" s="9"/>
      <c r="AS5" s="9"/>
      <c r="AT5" s="9"/>
      <c r="AU5" s="9"/>
      <c r="AV5" s="9"/>
      <c r="AW5" s="9"/>
      <c r="AX5" s="9"/>
    </row>
    <row r="6" spans="1:50" ht="15.75">
      <c r="A6" s="604" t="s">
        <v>81</v>
      </c>
      <c r="B6" s="507" t="s">
        <v>82</v>
      </c>
      <c r="C6" s="90"/>
      <c r="D6" s="91" t="s">
        <v>600</v>
      </c>
      <c r="E6" s="87"/>
      <c r="F6" s="87"/>
      <c r="G6" s="606" t="s">
        <v>88</v>
      </c>
      <c r="H6" s="607"/>
      <c r="I6" s="607"/>
      <c r="J6" s="607"/>
      <c r="K6" s="607"/>
      <c r="L6" s="607"/>
      <c r="M6" s="607"/>
      <c r="N6" s="607"/>
      <c r="O6" s="607"/>
      <c r="P6" s="607"/>
      <c r="Q6" s="607"/>
      <c r="R6" s="608"/>
      <c r="S6" s="93"/>
      <c r="T6" s="91" t="s">
        <v>84</v>
      </c>
      <c r="U6" s="87"/>
      <c r="V6" s="87"/>
      <c r="W6" s="606" t="s">
        <v>88</v>
      </c>
      <c r="X6" s="607"/>
      <c r="Y6" s="607"/>
      <c r="Z6" s="607"/>
      <c r="AA6" s="607"/>
      <c r="AB6" s="607"/>
      <c r="AC6" s="607"/>
      <c r="AD6" s="607"/>
      <c r="AE6" s="607"/>
      <c r="AF6" s="607"/>
      <c r="AG6" s="607"/>
      <c r="AH6" s="608"/>
      <c r="AJ6" s="91" t="s">
        <v>84</v>
      </c>
      <c r="AK6" s="87"/>
      <c r="AL6" s="87"/>
      <c r="AM6" s="606" t="s">
        <v>88</v>
      </c>
      <c r="AN6" s="607"/>
      <c r="AO6" s="607"/>
      <c r="AP6" s="607"/>
      <c r="AQ6" s="607"/>
      <c r="AR6" s="607"/>
      <c r="AS6" s="607"/>
      <c r="AT6" s="607"/>
      <c r="AU6" s="607"/>
      <c r="AV6" s="607"/>
      <c r="AW6" s="607"/>
      <c r="AX6" s="608"/>
    </row>
    <row r="7" spans="1:50" ht="45">
      <c r="A7" s="605"/>
      <c r="B7" s="40" t="s">
        <v>83</v>
      </c>
      <c r="C7" s="39"/>
      <c r="D7" s="40" t="s">
        <v>85</v>
      </c>
      <c r="E7" s="40" t="s">
        <v>86</v>
      </c>
      <c r="F7" s="40" t="s">
        <v>87</v>
      </c>
      <c r="G7" s="40" t="s">
        <v>137</v>
      </c>
      <c r="H7" s="41" t="s">
        <v>138</v>
      </c>
      <c r="I7" s="508" t="s">
        <v>230</v>
      </c>
      <c r="J7" s="508" t="s">
        <v>231</v>
      </c>
      <c r="K7" s="508" t="s">
        <v>242</v>
      </c>
      <c r="L7" s="508" t="s">
        <v>243</v>
      </c>
      <c r="M7" s="508" t="s">
        <v>691</v>
      </c>
      <c r="N7" s="508" t="s">
        <v>692</v>
      </c>
      <c r="O7" s="509" t="s">
        <v>6</v>
      </c>
      <c r="P7" s="508" t="s">
        <v>7</v>
      </c>
      <c r="Q7" s="508" t="s">
        <v>232</v>
      </c>
      <c r="R7" s="508" t="s">
        <v>233</v>
      </c>
      <c r="S7" s="510"/>
      <c r="T7" s="40" t="s">
        <v>85</v>
      </c>
      <c r="U7" s="40" t="s">
        <v>86</v>
      </c>
      <c r="V7" s="40" t="s">
        <v>87</v>
      </c>
      <c r="W7" s="40" t="s">
        <v>137</v>
      </c>
      <c r="X7" s="41" t="s">
        <v>138</v>
      </c>
      <c r="Y7" s="508" t="s">
        <v>230</v>
      </c>
      <c r="Z7" s="508" t="s">
        <v>231</v>
      </c>
      <c r="AA7" s="508" t="s">
        <v>242</v>
      </c>
      <c r="AB7" s="508" t="s">
        <v>243</v>
      </c>
      <c r="AC7" s="508" t="s">
        <v>691</v>
      </c>
      <c r="AD7" s="508" t="s">
        <v>692</v>
      </c>
      <c r="AE7" s="509" t="s">
        <v>6</v>
      </c>
      <c r="AF7" s="508" t="s">
        <v>7</v>
      </c>
      <c r="AG7" s="508" t="s">
        <v>232</v>
      </c>
      <c r="AH7" s="508" t="s">
        <v>233</v>
      </c>
      <c r="AI7" s="498"/>
      <c r="AJ7" s="40" t="s">
        <v>85</v>
      </c>
      <c r="AK7" s="40" t="s">
        <v>86</v>
      </c>
      <c r="AL7" s="40" t="s">
        <v>87</v>
      </c>
      <c r="AM7" s="40" t="s">
        <v>137</v>
      </c>
      <c r="AN7" s="41" t="s">
        <v>138</v>
      </c>
      <c r="AO7" s="508" t="s">
        <v>230</v>
      </c>
      <c r="AP7" s="508" t="s">
        <v>231</v>
      </c>
      <c r="AQ7" s="508" t="s">
        <v>242</v>
      </c>
      <c r="AR7" s="508" t="s">
        <v>243</v>
      </c>
      <c r="AS7" s="508" t="s">
        <v>691</v>
      </c>
      <c r="AT7" s="508" t="s">
        <v>692</v>
      </c>
      <c r="AU7" s="509" t="s">
        <v>6</v>
      </c>
      <c r="AV7" s="508" t="s">
        <v>7</v>
      </c>
      <c r="AW7" s="508" t="s">
        <v>232</v>
      </c>
      <c r="AX7" s="508" t="s">
        <v>233</v>
      </c>
    </row>
    <row r="8" spans="1:50">
      <c r="A8" s="335">
        <v>2003</v>
      </c>
      <c r="B8" s="62" t="str">
        <f>VLOOKUP($A8,'Time-series parameters'!$E$11:$H$89,3,FALSE)</f>
        <v/>
      </c>
      <c r="C8" s="89"/>
      <c r="D8" s="94">
        <f>IF(Option1="No",0,IF($A8=ImplementationYear,('Project details'!$H$10-'Project details'!$D$10)*VLOOKUP(Year_cost_estimate,'Time-series parameters'!$B$11:$C$89,2,FALSE)*$B8*(1+Contingency),0))</f>
        <v>0</v>
      </c>
      <c r="E8" s="94" t="e">
        <f>IF(Option1="No",0,IF($A8&lt;ImplementationYear,0,IF($A8&gt;(ImplementationYear+(Appraisal_Period-1)),0,('Project details'!$H$11-'Project details'!$D$11)*VLOOKUP(Year_cost_estimate,'Time-series parameters'!$B$11:$C$89,2,0))*$B8))</f>
        <v>#VALUE!</v>
      </c>
      <c r="F8" s="94">
        <f>IF(Option1="No",0,IF($A8=ImplementationYear,('Project details'!$H$12-'Project details'!$D$12)*VLOOKUP(Year_cost_estimate,'Time-series parameters'!$B$11:$C$89,2,FALSE)*$B8,0))</f>
        <v>0</v>
      </c>
      <c r="G8" s="97">
        <f>IF(Option1="No",0,IF($A8&lt;ImplementationYear,0,IF($A8&gt;(ImplementationYear+(Appraisal_Period-1)),0,Health!$D$21*$B8)))</f>
        <v>0</v>
      </c>
      <c r="H8" s="97">
        <f>IF(Option1="No",0,IF($A8&lt;ImplementationYear,0,IF($A8&gt;(ImplementationYear+(Appraisal_Period-1)),0,Health!$D$22*$B8)))</f>
        <v>0</v>
      </c>
      <c r="I8" s="97">
        <f>IF(Option1="No",0,IF($A8&lt;ImplementationYear,0,IF($A8&gt;(ImplementationYear+(Appraisal_Period-1)),0,SUM('Travel time'!$D$22:$D$23)*$B8)))</f>
        <v>0</v>
      </c>
      <c r="J8" s="97">
        <f>IF(Option1="No",0,IF($A8&lt;ImplementationYear,0,IF($A8&gt;(ImplementationYear+(Appraisal_Period-1)),0,SUM('Travel time'!$D$20:$D$21)*$B8)))</f>
        <v>0</v>
      </c>
      <c r="K8" s="97">
        <f>IF(Option1="No",0,IF($A8&lt;ImplementationYear,0,IF($A8&gt;(ImplementationYear+(Appraisal_Period-1)),0,SUM(Quality!$D$22:$D$23)*$B8)))</f>
        <v>0</v>
      </c>
      <c r="L8" s="97">
        <f>IF(Option1="No",0,IF($A8&lt;ImplementationYear,0,IF($A8&gt;(ImplementationYear+(Appraisal_Period-1)),0,SUM(Quality!$D$20:$D$21)*$B8)))</f>
        <v>0</v>
      </c>
      <c r="M8" s="97">
        <f>IF(Option1="No",0,IF($A8&lt;ImplementationYear,0,IF($A8&gt;(ImplementationYear+(Appraisal_Period-1)),0,'Mode change'!$D$36*$B8)))</f>
        <v>0</v>
      </c>
      <c r="N8" s="97">
        <f>IF(Option1="No",0,IF($A8&lt;ImplementationYear,0,IF($A8&gt;(ImplementationYear+(Appraisal_Period-1)),0,'Mode change'!$D$37*$B8)))</f>
        <v>0</v>
      </c>
      <c r="O8" s="97">
        <f>IF(Option1="No",0,IF($A8&lt;ImplementationYear,0,IF($A8&gt;(ImplementationYear+(Appraisal_Period-1)),0,'Road safety'!$D$22*$B8)))</f>
        <v>0</v>
      </c>
      <c r="P8" s="97">
        <f>IF(Option1="No",0,IF($A8&lt;ImplementationYear,0,IF($A8&gt;(ImplementationYear+(Appraisal_Period-1)),0,'Reduction in car usage'!$D$46*$B8)))</f>
        <v>0</v>
      </c>
      <c r="Q8" s="97">
        <f>IF(Option1="No",0,IF($A8&lt;ImplementationYear,0,IF($A8&gt;(ImplementationYear+(Appraisal_Period-1)),0,'Reduction in car usage'!$D$47*$B8)))</f>
        <v>0</v>
      </c>
      <c r="R8" s="97">
        <f>IF(Option1="No",0,IF($A8&lt;ImplementationYear,0,IF($A8&gt;(ImplementationYear+(Appraisal_Period-1)),0,'Reduction in car usage'!$D$48*$B8)))</f>
        <v>0</v>
      </c>
      <c r="S8" s="92"/>
      <c r="T8" s="94">
        <f>IF(Option2="No",0,IF($A8=ImplementationYear,('Project details'!$L$10-'Project details'!$D$10)*VLOOKUP(Year_cost_estimate,'Time-series parameters'!$B$11:$C$89,2,FALSE)*$B8*(1+Contingency),0))</f>
        <v>0</v>
      </c>
      <c r="U8" s="94" t="e">
        <f>IF(Option2="No",0,IF($A8&lt;ImplementationYear,0,IF($A8&gt;(ImplementationYear+(Appraisal_Period-1)),0,('Project details'!$L$11-'Project details'!$D$11)*VLOOKUP(Year_cost_estimate,'Time-series parameters'!$B$11:$C$89,2,0))*$B8))</f>
        <v>#VALUE!</v>
      </c>
      <c r="V8" s="94">
        <f>IF(Option2="No",0,IF($A8=ImplementationYear,('Project details'!$L$12-'Project details'!$D$12)*VLOOKUP(Year_cost_estimate,'Time-series parameters'!$B$11:$C$89,2,FALSE)*$B8,0))</f>
        <v>0</v>
      </c>
      <c r="W8" s="97">
        <f>IF(Option2="No",0,IF($A8&lt;ImplementationYear,0,IF($A8&gt;(ImplementationYear+(Appraisal_Period-1)),0,Health!$E$21*$B8)))</f>
        <v>0</v>
      </c>
      <c r="X8" s="97">
        <f>IF(Option2="No",0,IF($A8&lt;ImplementationYear,0,IF($A8&gt;(ImplementationYear+(Appraisal_Period-1)),0,Health!$E$22*$B8)))</f>
        <v>0</v>
      </c>
      <c r="Y8" s="97">
        <f>IF(Option2="No",0,IF($A8&lt;ImplementationYear,0,IF($A8&gt;(ImplementationYear+(Appraisal_Period-1)),0,SUM('Travel time'!$E$22:$E$23)*$B8)))</f>
        <v>0</v>
      </c>
      <c r="Z8" s="97">
        <f>IF(Option2="No",0,IF($A8&lt;ImplementationYear,0,IF($A8&gt;(ImplementationYear+(Appraisal_Period-1)),0,SUM('Travel time'!$E$20:$E$21)*$B8)))</f>
        <v>0</v>
      </c>
      <c r="AA8" s="97">
        <f>IF(Option2="No",0,IF($A8&lt;ImplementationYear,0,IF($A8&gt;(ImplementationYear+(Appraisal_Period-1)),0,SUM(Quality!$E$22:$E$23)*$B8)))</f>
        <v>0</v>
      </c>
      <c r="AB8" s="97">
        <f>IF(Option2="No",0,IF($A8&lt;ImplementationYear,0,IF($A8&gt;(ImplementationYear+(Appraisal_Period-1)),0,SUM(Quality!$E$20:$E$21)*$B8)))</f>
        <v>0</v>
      </c>
      <c r="AC8" s="97">
        <f>IF(Option2="No",0,IF($A8&lt;ImplementationYear,0,IF($A8&gt;(ImplementationYear+(Appraisal_Period-1)),0,'Mode change'!$E$36*$B8)))</f>
        <v>0</v>
      </c>
      <c r="AD8" s="97">
        <f>IF(Option2="No",0,IF($A8&lt;ImplementationYear,0,IF($A8&gt;(ImplementationYear+(Appraisal_Period-1)),0,'Mode change'!$E$37*$B8)))</f>
        <v>0</v>
      </c>
      <c r="AE8" s="97">
        <f>IF(Option2="No",0,IF($A8&lt;ImplementationYear,0,IF($A8&gt;(ImplementationYear+(Appraisal_Period-1)),0,'Road safety'!$E$22*$B8)))</f>
        <v>0</v>
      </c>
      <c r="AF8" s="97">
        <f>IF(Option2="No",0,IF($A8&lt;ImplementationYear,0,IF($A8&gt;(ImplementationYear+(Appraisal_Period-1)),0,'Reduction in car usage'!$E$46*$B8)))</f>
        <v>0</v>
      </c>
      <c r="AG8" s="97">
        <f>IF(Option2="No",0,IF($A8&lt;ImplementationYear,0,IF($A8&gt;(ImplementationYear+(Appraisal_Period-1)),0,'Reduction in car usage'!$E$47*$B8)))</f>
        <v>0</v>
      </c>
      <c r="AH8" s="97">
        <f>IF(Option2="No",0,IF($A8&lt;ImplementationYear,0,IF($A8&gt;(ImplementationYear+(Appraisal_Period-1)),0,'Reduction in car usage'!$E$48*$B8)))</f>
        <v>0</v>
      </c>
      <c r="AJ8" s="94">
        <f>IF(Option3="No",0,IF($A8=ImplementationYear,('Project details'!$P$10-'Project details'!$D$10)*VLOOKUP(Year_cost_estimate,'Time-series parameters'!$B$11:$C$89,2,FALSE)*$B8*(1+Contingency),0))</f>
        <v>0</v>
      </c>
      <c r="AK8" s="94" t="e">
        <f>IF(Option3="No",0,IF($A8&lt;ImplementationYear,0,IF($A8&gt;(ImplementationYear+(Appraisal_Period-1)),0,('Project details'!$P$11-'Project details'!$D$11)*VLOOKUP(Year_cost_estimate,'Time-series parameters'!$B$11:$C$89,2,0))*$B8))</f>
        <v>#VALUE!</v>
      </c>
      <c r="AL8" s="94">
        <f>IF(Option3="No",0,IF($A8=ImplementationYear,('Project details'!$P$12-'Project details'!$D$12)*VLOOKUP(Year_cost_estimate,'Time-series parameters'!$B$11:$C$89,2,FALSE)*$B8,0))</f>
        <v>0</v>
      </c>
      <c r="AM8" s="97">
        <f>IF(Option3="No",0,IF($A8&lt;ImplementationYear,0,IF($A8&gt;(ImplementationYear+(Appraisal_Period-1)),0,Health!$F$21*$B8)))</f>
        <v>0</v>
      </c>
      <c r="AN8" s="97">
        <f>IF(Option3="No",0,IF($A8&lt;ImplementationYear,0,IF($A8&gt;(ImplementationYear+(Appraisal_Period-1)),0,Health!$F$22*$B8)))</f>
        <v>0</v>
      </c>
      <c r="AO8" s="97">
        <f>IF(Option3="No",0,IF($A8&lt;ImplementationYear,0,IF($A8&gt;(ImplementationYear+(Appraisal_Period-1)),0,SUM('Travel time'!$F$22:$F$23)*$B8)))</f>
        <v>0</v>
      </c>
      <c r="AP8" s="97">
        <f>IF(Option3="No",0,IF($A8&lt;ImplementationYear,0,IF($A8&gt;(ImplementationYear+(Appraisal_Period-1)),0,SUM('Travel time'!$F$20:$F$21)*$B8)))</f>
        <v>0</v>
      </c>
      <c r="AQ8" s="97">
        <f>IF(Option3="No",0,IF($A8&lt;ImplementationYear,0,IF($A8&gt;(ImplementationYear+(Appraisal_Period-1)),0,SUM(Quality!$F$22:$F$23)*$B8)))</f>
        <v>0</v>
      </c>
      <c r="AR8" s="97">
        <f>IF(Option3="No",0,IF($A8&lt;ImplementationYear,0,IF($A8&gt;(ImplementationYear+(Appraisal_Period-1)),0,SUM(Quality!$F$20:$F$21)*$B8)))</f>
        <v>0</v>
      </c>
      <c r="AS8" s="97">
        <f>IF(Option3="No",0,IF($A8&lt;ImplementationYear,0,IF($A8&gt;(ImplementationYear+(Appraisal_Period-1)),0,'Mode change'!$F$36*$B8)))</f>
        <v>0</v>
      </c>
      <c r="AT8" s="97">
        <f>IF(Option3="No",0,IF($A8&lt;ImplementationYear,0,IF($A8&gt;(ImplementationYear+(Appraisal_Period-1)),0,'Mode change'!$F$37*$B8)))</f>
        <v>0</v>
      </c>
      <c r="AU8" s="97">
        <f>IF(Option3="No",0,IF($A8&lt;ImplementationYear,0,IF($A8&gt;(ImplementationYear+(Appraisal_Period-1)),0,'Road safety'!$F$22*$B8)))</f>
        <v>0</v>
      </c>
      <c r="AV8" s="97">
        <f>IF(Option3="No",0,IF($A8&lt;ImplementationYear,0,IF($A8&gt;(ImplementationYear+(Appraisal_Period-1)),0,'Reduction in car usage'!$F$46*$B8)))</f>
        <v>0</v>
      </c>
      <c r="AW8" s="97">
        <f>IF(Option3="No",0,IF($A8&lt;ImplementationYear,0,IF($A8&gt;(ImplementationYear+(Appraisal_Period-1)),0,'Reduction in car usage'!$F$47*$B8)))</f>
        <v>0</v>
      </c>
      <c r="AX8" s="97">
        <f>IF(Option3="No",0,IF($A8&lt;ImplementationYear,0,IF($A8&gt;(ImplementationYear+(Appraisal_Period-1)),0,'Reduction in car usage'!$F$48*$B8)))</f>
        <v>0</v>
      </c>
    </row>
    <row r="9" spans="1:50">
      <c r="A9" s="335">
        <v>2004</v>
      </c>
      <c r="B9" s="62" t="str">
        <f>VLOOKUP($A9,'Time-series parameters'!$E$11:$H$89,3,FALSE)</f>
        <v/>
      </c>
      <c r="C9" s="89"/>
      <c r="D9" s="94">
        <f>IF(Option1="No",0,IF($A9=ImplementationYear,('Project details'!$H$10-'Project details'!$D$10)*VLOOKUP(Year_cost_estimate,'Time-series parameters'!$B$11:$C$89,2,FALSE)*$B9*(1+Contingency),0))</f>
        <v>0</v>
      </c>
      <c r="E9" s="94" t="e">
        <f>IF(Option1="No",0,IF($A9&lt;ImplementationYear,0,IF($A9&gt;(ImplementationYear+(Appraisal_Period-1)),0,('Project details'!$H$11-'Project details'!$D$11)*VLOOKUP(Year_cost_estimate,'Time-series parameters'!$B$11:$C$89,2,0))*$B9))</f>
        <v>#VALUE!</v>
      </c>
      <c r="F9" s="94">
        <f>IF(Option1="No",0,IF($A9=ImplementationYear,('Project details'!$H$12-'Project details'!$D$12)*VLOOKUP(Year_cost_estimate,'Time-series parameters'!$B$11:$C$89,2,FALSE)*$B9,0))</f>
        <v>0</v>
      </c>
      <c r="G9" s="97">
        <f>IF(Option1="No",0,IF($A9&lt;ImplementationYear,0,IF($A9&gt;(ImplementationYear+(Appraisal_Period-1)),0,Health!$D$21*$B9)))</f>
        <v>0</v>
      </c>
      <c r="H9" s="97">
        <f>IF(Option1="No",0,IF($A9&lt;ImplementationYear,0,IF($A9&gt;(ImplementationYear+(Appraisal_Period-1)),0,Health!$D$22*$B9)))</f>
        <v>0</v>
      </c>
      <c r="I9" s="97">
        <f>IF(Option1="No",0,IF($A9&lt;ImplementationYear,0,IF($A9&gt;(ImplementationYear+(Appraisal_Period-1)),0,SUM('Travel time'!$D$22:$D$23)*$B9)))</f>
        <v>0</v>
      </c>
      <c r="J9" s="97">
        <f>IF(Option1="No",0,IF($A9&lt;ImplementationYear,0,IF($A9&gt;(ImplementationYear+(Appraisal_Period-1)),0,SUM('Travel time'!$D$20:$D$21)*$B9)))</f>
        <v>0</v>
      </c>
      <c r="K9" s="97">
        <f>IF(Option1="No",0,IF($A9&lt;ImplementationYear,0,IF($A9&gt;(ImplementationYear+(Appraisal_Period-1)),0,SUM(Quality!$D$22:$D$23)*$B9)))</f>
        <v>0</v>
      </c>
      <c r="L9" s="97">
        <f>IF(Option1="No",0,IF($A9&lt;ImplementationYear,0,IF($A9&gt;(ImplementationYear+(Appraisal_Period-1)),0,SUM(Quality!$D$20:$D$21)*$B9)))</f>
        <v>0</v>
      </c>
      <c r="M9" s="97">
        <f>IF(Option1="No",0,IF($A9&lt;ImplementationYear,0,IF($A9&gt;(ImplementationYear+(Appraisal_Period-1)),0,'Mode change'!$D$36*$B9)))</f>
        <v>0</v>
      </c>
      <c r="N9" s="97">
        <f>IF(Option1="No",0,IF($A9&lt;ImplementationYear,0,IF($A9&gt;(ImplementationYear+(Appraisal_Period-1)),0,'Mode change'!$D$37*$B9)))</f>
        <v>0</v>
      </c>
      <c r="O9" s="97">
        <f>IF(Option1="No",0,IF($A9&lt;ImplementationYear,0,IF($A9&gt;(ImplementationYear+(Appraisal_Period-1)),0,'Road safety'!$D$22*$B9)))</f>
        <v>0</v>
      </c>
      <c r="P9" s="97">
        <f>IF(Option1="No",0,IF($A9&lt;ImplementationYear,0,IF($A9&gt;(ImplementationYear+(Appraisal_Period-1)),0,'Reduction in car usage'!$D$46*$B9)))</f>
        <v>0</v>
      </c>
      <c r="Q9" s="97">
        <f>IF(Option1="No",0,IF($A9&lt;ImplementationYear,0,IF($A9&gt;(ImplementationYear+(Appraisal_Period-1)),0,'Reduction in car usage'!$D$47*$B9)))</f>
        <v>0</v>
      </c>
      <c r="R9" s="97">
        <f>IF(Option1="No",0,IF($A9&lt;ImplementationYear,0,IF($A9&gt;(ImplementationYear+(Appraisal_Period-1)),0,'Reduction in car usage'!$D$48*$B9)))</f>
        <v>0</v>
      </c>
      <c r="S9" s="92"/>
      <c r="T9" s="94">
        <f>IF(Option2="No",0,IF($A9=ImplementationYear,('Project details'!$L$10-'Project details'!$D$10)*VLOOKUP(Year_cost_estimate,'Time-series parameters'!$B$11:$C$89,2,FALSE)*$B9*(1+Contingency),0))</f>
        <v>0</v>
      </c>
      <c r="U9" s="94" t="e">
        <f>IF(Option2="No",0,IF($A9&lt;ImplementationYear,0,IF($A9&gt;(ImplementationYear+(Appraisal_Period-1)),0,('Project details'!$L$11-'Project details'!$D$11)*VLOOKUP(Year_cost_estimate,'Time-series parameters'!$B$11:$C$89,2,0))*$B9))</f>
        <v>#VALUE!</v>
      </c>
      <c r="V9" s="94">
        <f>IF(Option2="No",0,IF($A9=ImplementationYear,('Project details'!$L$12-'Project details'!$D$12)*VLOOKUP(Year_cost_estimate,'Time-series parameters'!$B$11:$C$89,2,FALSE)*$B9,0))</f>
        <v>0</v>
      </c>
      <c r="W9" s="97">
        <f>IF(Option2="No",0,IF($A9&lt;ImplementationYear,0,IF($A9&gt;(ImplementationYear+(Appraisal_Period-1)),0,Health!$E$21*$B9)))</f>
        <v>0</v>
      </c>
      <c r="X9" s="97">
        <f>IF(Option2="No",0,IF($A9&lt;ImplementationYear,0,IF($A9&gt;(ImplementationYear+(Appraisal_Period-1)),0,Health!$E$22*$B9)))</f>
        <v>0</v>
      </c>
      <c r="Y9" s="97">
        <f>IF(Option2="No",0,IF($A9&lt;ImplementationYear,0,IF($A9&gt;(ImplementationYear+(Appraisal_Period-1)),0,SUM('Travel time'!$E$22:$E$23)*$B9)))</f>
        <v>0</v>
      </c>
      <c r="Z9" s="97">
        <f>IF(Option2="No",0,IF($A9&lt;ImplementationYear,0,IF($A9&gt;(ImplementationYear+(Appraisal_Period-1)),0,SUM('Travel time'!$E$20:$E$21)*$B9)))</f>
        <v>0</v>
      </c>
      <c r="AA9" s="97">
        <f>IF(Option2="No",0,IF($A9&lt;ImplementationYear,0,IF($A9&gt;(ImplementationYear+(Appraisal_Period-1)),0,SUM(Quality!$E$22:$E$23)*$B9)))</f>
        <v>0</v>
      </c>
      <c r="AB9" s="97">
        <f>IF(Option2="No",0,IF($A9&lt;ImplementationYear,0,IF($A9&gt;(ImplementationYear+(Appraisal_Period-1)),0,SUM(Quality!$E$20:$E$21)*$B9)))</f>
        <v>0</v>
      </c>
      <c r="AC9" s="97">
        <f>IF(Option2="No",0,IF($A9&lt;ImplementationYear,0,IF($A9&gt;(ImplementationYear+(Appraisal_Period-1)),0,'Mode change'!$E$36*$B9)))</f>
        <v>0</v>
      </c>
      <c r="AD9" s="97">
        <f>IF(Option2="No",0,IF($A9&lt;ImplementationYear,0,IF($A9&gt;(ImplementationYear+(Appraisal_Period-1)),0,'Mode change'!$E$37*$B9)))</f>
        <v>0</v>
      </c>
      <c r="AE9" s="97">
        <f>IF(Option2="No",0,IF($A9&lt;ImplementationYear,0,IF($A9&gt;(ImplementationYear+(Appraisal_Period-1)),0,'Road safety'!$E$22*$B9)))</f>
        <v>0</v>
      </c>
      <c r="AF9" s="97">
        <f>IF(Option2="No",0,IF($A9&lt;ImplementationYear,0,IF($A9&gt;(ImplementationYear+(Appraisal_Period-1)),0,'Reduction in car usage'!$E$46*$B9)))</f>
        <v>0</v>
      </c>
      <c r="AG9" s="97">
        <f>IF(Option2="No",0,IF($A9&lt;ImplementationYear,0,IF($A9&gt;(ImplementationYear+(Appraisal_Period-1)),0,'Reduction in car usage'!$E$47*$B9)))</f>
        <v>0</v>
      </c>
      <c r="AH9" s="97">
        <f>IF(Option2="No",0,IF($A9&lt;ImplementationYear,0,IF($A9&gt;(ImplementationYear+(Appraisal_Period-1)),0,'Reduction in car usage'!$E$48*$B9)))</f>
        <v>0</v>
      </c>
      <c r="AJ9" s="94">
        <f>IF(Option3="No",0,IF($A9=ImplementationYear,('Project details'!$P$10-'Project details'!$D$10)*VLOOKUP(Year_cost_estimate,'Time-series parameters'!$B$11:$C$89,2,FALSE)*$B9*(1+Contingency),0))</f>
        <v>0</v>
      </c>
      <c r="AK9" s="94" t="e">
        <f>IF(Option3="No",0,IF($A9&lt;ImplementationYear,0,IF($A9&gt;(ImplementationYear+(Appraisal_Period-1)),0,('Project details'!$P$11-'Project details'!$D$11)*VLOOKUP(Year_cost_estimate,'Time-series parameters'!$B$11:$C$89,2,0))*$B9))</f>
        <v>#VALUE!</v>
      </c>
      <c r="AL9" s="94">
        <f>IF(Option3="No",0,IF($A9=ImplementationYear,('Project details'!$P$12-'Project details'!$D$12)*VLOOKUP(Year_cost_estimate,'Time-series parameters'!$B$11:$C$89,2,FALSE)*$B9,0))</f>
        <v>0</v>
      </c>
      <c r="AM9" s="97">
        <f>IF(Option3="No",0,IF($A9&lt;ImplementationYear,0,IF($A9&gt;(ImplementationYear+(Appraisal_Period-1)),0,Health!$F$21*$B9)))</f>
        <v>0</v>
      </c>
      <c r="AN9" s="97">
        <f>IF(Option3="No",0,IF($A9&lt;ImplementationYear,0,IF($A9&gt;(ImplementationYear+(Appraisal_Period-1)),0,Health!$F$22*$B9)))</f>
        <v>0</v>
      </c>
      <c r="AO9" s="97">
        <f>IF(Option3="No",0,IF($A9&lt;ImplementationYear,0,IF($A9&gt;(ImplementationYear+(Appraisal_Period-1)),0,SUM('Travel time'!$F$22:$F$23)*$B9)))</f>
        <v>0</v>
      </c>
      <c r="AP9" s="97">
        <f>IF(Option3="No",0,IF($A9&lt;ImplementationYear,0,IF($A9&gt;(ImplementationYear+(Appraisal_Period-1)),0,SUM('Travel time'!$F$20:$F$21)*$B9)))</f>
        <v>0</v>
      </c>
      <c r="AQ9" s="97">
        <f>IF(Option3="No",0,IF($A9&lt;ImplementationYear,0,IF($A9&gt;(ImplementationYear+(Appraisal_Period-1)),0,SUM(Quality!$F$22:$F$23)*$B9)))</f>
        <v>0</v>
      </c>
      <c r="AR9" s="97">
        <f>IF(Option3="No",0,IF($A9&lt;ImplementationYear,0,IF($A9&gt;(ImplementationYear+(Appraisal_Period-1)),0,SUM(Quality!$F$20:$F$21)*$B9)))</f>
        <v>0</v>
      </c>
      <c r="AS9" s="97">
        <f>IF(Option3="No",0,IF($A9&lt;ImplementationYear,0,IF($A9&gt;(ImplementationYear+(Appraisal_Period-1)),0,'Mode change'!$F$36*$B9)))</f>
        <v>0</v>
      </c>
      <c r="AT9" s="97">
        <f>IF(Option3="No",0,IF($A9&lt;ImplementationYear,0,IF($A9&gt;(ImplementationYear+(Appraisal_Period-1)),0,'Mode change'!$F$37*$B9)))</f>
        <v>0</v>
      </c>
      <c r="AU9" s="97">
        <f>IF(Option3="No",0,IF($A9&lt;ImplementationYear,0,IF($A9&gt;(ImplementationYear+(Appraisal_Period-1)),0,'Road safety'!$F$22*$B9)))</f>
        <v>0</v>
      </c>
      <c r="AV9" s="97">
        <f>IF(Option3="No",0,IF($A9&lt;ImplementationYear,0,IF($A9&gt;(ImplementationYear+(Appraisal_Period-1)),0,'Reduction in car usage'!$F$46*$B9)))</f>
        <v>0</v>
      </c>
      <c r="AW9" s="97">
        <f>IF(Option3="No",0,IF($A9&lt;ImplementationYear,0,IF($A9&gt;(ImplementationYear+(Appraisal_Period-1)),0,'Reduction in car usage'!$F$47*$B9)))</f>
        <v>0</v>
      </c>
      <c r="AX9" s="97">
        <f>IF(Option3="No",0,IF($A9&lt;ImplementationYear,0,IF($A9&gt;(ImplementationYear+(Appraisal_Period-1)),0,'Reduction in car usage'!$F$48*$B9)))</f>
        <v>0</v>
      </c>
    </row>
    <row r="10" spans="1:50">
      <c r="A10" s="335">
        <v>2005</v>
      </c>
      <c r="B10" s="62" t="str">
        <f>VLOOKUP($A10,'Time-series parameters'!$E$11:$H$89,3,FALSE)</f>
        <v/>
      </c>
      <c r="C10" s="89"/>
      <c r="D10" s="94">
        <f>IF(Option1="No",0,IF($A10=ImplementationYear,('Project details'!$H$10-'Project details'!$D$10)*VLOOKUP(Year_cost_estimate,'Time-series parameters'!$B$11:$C$89,2,FALSE)*$B10*(1+Contingency),0))</f>
        <v>0</v>
      </c>
      <c r="E10" s="94" t="e">
        <f>IF(Option1="No",0,IF($A10&lt;ImplementationYear,0,IF($A10&gt;(ImplementationYear+(Appraisal_Period-1)),0,('Project details'!$H$11-'Project details'!$D$11)*VLOOKUP(Year_cost_estimate,'Time-series parameters'!$B$11:$C$89,2,0))*$B10))</f>
        <v>#VALUE!</v>
      </c>
      <c r="F10" s="94">
        <f>IF(Option1="No",0,IF($A10=ImplementationYear,('Project details'!$H$12-'Project details'!$D$12)*VLOOKUP(Year_cost_estimate,'Time-series parameters'!$B$11:$C$89,2,FALSE)*$B10,0))</f>
        <v>0</v>
      </c>
      <c r="G10" s="97">
        <f>IF(Option1="No",0,IF($A10&lt;ImplementationYear,0,IF($A10&gt;(ImplementationYear+(Appraisal_Period-1)),0,Health!$D$21*$B10)))</f>
        <v>0</v>
      </c>
      <c r="H10" s="97">
        <f>IF(Option1="No",0,IF($A10&lt;ImplementationYear,0,IF($A10&gt;(ImplementationYear+(Appraisal_Period-1)),0,Health!$D$22*$B10)))</f>
        <v>0</v>
      </c>
      <c r="I10" s="97">
        <f>IF(Option1="No",0,IF($A10&lt;ImplementationYear,0,IF($A10&gt;(ImplementationYear+(Appraisal_Period-1)),0,SUM('Travel time'!$D$22:$D$23)*$B10)))</f>
        <v>0</v>
      </c>
      <c r="J10" s="97">
        <f>IF(Option1="No",0,IF($A10&lt;ImplementationYear,0,IF($A10&gt;(ImplementationYear+(Appraisal_Period-1)),0,SUM('Travel time'!$D$20:$D$21)*$B10)))</f>
        <v>0</v>
      </c>
      <c r="K10" s="97">
        <f>IF(Option1="No",0,IF($A10&lt;ImplementationYear,0,IF($A10&gt;(ImplementationYear+(Appraisal_Period-1)),0,SUM(Quality!$D$22:$D$23)*$B10)))</f>
        <v>0</v>
      </c>
      <c r="L10" s="97">
        <f>IF(Option1="No",0,IF($A10&lt;ImplementationYear,0,IF($A10&gt;(ImplementationYear+(Appraisal_Period-1)),0,SUM(Quality!$D$20:$D$21)*$B10)))</f>
        <v>0</v>
      </c>
      <c r="M10" s="97">
        <f>IF(Option1="No",0,IF($A10&lt;ImplementationYear,0,IF($A10&gt;(ImplementationYear+(Appraisal_Period-1)),0,'Mode change'!$D$36*$B10)))</f>
        <v>0</v>
      </c>
      <c r="N10" s="97">
        <f>IF(Option1="No",0,IF($A10&lt;ImplementationYear,0,IF($A10&gt;(ImplementationYear+(Appraisal_Period-1)),0,'Mode change'!$D$37*$B10)))</f>
        <v>0</v>
      </c>
      <c r="O10" s="97">
        <f>IF(Option1="No",0,IF($A10&lt;ImplementationYear,0,IF($A10&gt;(ImplementationYear+(Appraisal_Period-1)),0,'Road safety'!$D$22*$B10)))</f>
        <v>0</v>
      </c>
      <c r="P10" s="97">
        <f>IF(Option1="No",0,IF($A10&lt;ImplementationYear,0,IF($A10&gt;(ImplementationYear+(Appraisal_Period-1)),0,'Reduction in car usage'!$D$46*$B10)))</f>
        <v>0</v>
      </c>
      <c r="Q10" s="97">
        <f>IF(Option1="No",0,IF($A10&lt;ImplementationYear,0,IF($A10&gt;(ImplementationYear+(Appraisal_Period-1)),0,'Reduction in car usage'!$D$47*$B10)))</f>
        <v>0</v>
      </c>
      <c r="R10" s="97">
        <f>IF(Option1="No",0,IF($A10&lt;ImplementationYear,0,IF($A10&gt;(ImplementationYear+(Appraisal_Period-1)),0,'Reduction in car usage'!$D$48*$B10)))</f>
        <v>0</v>
      </c>
      <c r="S10" s="92"/>
      <c r="T10" s="94">
        <f>IF(Option2="No",0,IF($A10=ImplementationYear,('Project details'!$L$10-'Project details'!$D$10)*VLOOKUP(Year_cost_estimate,'Time-series parameters'!$B$11:$C$89,2,FALSE)*$B10*(1+Contingency),0))</f>
        <v>0</v>
      </c>
      <c r="U10" s="94" t="e">
        <f>IF(Option2="No",0,IF($A10&lt;ImplementationYear,0,IF($A10&gt;(ImplementationYear+(Appraisal_Period-1)),0,('Project details'!$L$11-'Project details'!$D$11)*VLOOKUP(Year_cost_estimate,'Time-series parameters'!$B$11:$C$89,2,0))*$B10))</f>
        <v>#VALUE!</v>
      </c>
      <c r="V10" s="94">
        <f>IF(Option2="No",0,IF($A10=ImplementationYear,('Project details'!$L$12-'Project details'!$D$12)*VLOOKUP(Year_cost_estimate,'Time-series parameters'!$B$11:$C$89,2,FALSE)*$B10,0))</f>
        <v>0</v>
      </c>
      <c r="W10" s="97">
        <f>IF(Option2="No",0,IF($A10&lt;ImplementationYear,0,IF($A10&gt;(ImplementationYear+(Appraisal_Period-1)),0,Health!$E$21*$B10)))</f>
        <v>0</v>
      </c>
      <c r="X10" s="97">
        <f>IF(Option2="No",0,IF($A10&lt;ImplementationYear,0,IF($A10&gt;(ImplementationYear+(Appraisal_Period-1)),0,Health!$E$22*$B10)))</f>
        <v>0</v>
      </c>
      <c r="Y10" s="97">
        <f>IF(Option2="No",0,IF($A10&lt;ImplementationYear,0,IF($A10&gt;(ImplementationYear+(Appraisal_Period-1)),0,SUM('Travel time'!$E$22:$E$23)*$B10)))</f>
        <v>0</v>
      </c>
      <c r="Z10" s="97">
        <f>IF(Option2="No",0,IF($A10&lt;ImplementationYear,0,IF($A10&gt;(ImplementationYear+(Appraisal_Period-1)),0,SUM('Travel time'!$E$20:$E$21)*$B10)))</f>
        <v>0</v>
      </c>
      <c r="AA10" s="97">
        <f>IF(Option2="No",0,IF($A10&lt;ImplementationYear,0,IF($A10&gt;(ImplementationYear+(Appraisal_Period-1)),0,SUM(Quality!$E$22:$E$23)*$B10)))</f>
        <v>0</v>
      </c>
      <c r="AB10" s="97">
        <f>IF(Option2="No",0,IF($A10&lt;ImplementationYear,0,IF($A10&gt;(ImplementationYear+(Appraisal_Period-1)),0,SUM(Quality!$E$20:$E$21)*$B10)))</f>
        <v>0</v>
      </c>
      <c r="AC10" s="97">
        <f>IF(Option2="No",0,IF($A10&lt;ImplementationYear,0,IF($A10&gt;(ImplementationYear+(Appraisal_Period-1)),0,'Mode change'!$E$36*$B10)))</f>
        <v>0</v>
      </c>
      <c r="AD10" s="97">
        <f>IF(Option2="No",0,IF($A10&lt;ImplementationYear,0,IF($A10&gt;(ImplementationYear+(Appraisal_Period-1)),0,'Mode change'!$E$37*$B10)))</f>
        <v>0</v>
      </c>
      <c r="AE10" s="97">
        <f>IF(Option2="No",0,IF($A10&lt;ImplementationYear,0,IF($A10&gt;(ImplementationYear+(Appraisal_Period-1)),0,'Road safety'!$E$22*$B10)))</f>
        <v>0</v>
      </c>
      <c r="AF10" s="97">
        <f>IF(Option2="No",0,IF($A10&lt;ImplementationYear,0,IF($A10&gt;(ImplementationYear+(Appraisal_Period-1)),0,'Reduction in car usage'!$E$46*$B10)))</f>
        <v>0</v>
      </c>
      <c r="AG10" s="97">
        <f>IF(Option2="No",0,IF($A10&lt;ImplementationYear,0,IF($A10&gt;(ImplementationYear+(Appraisal_Period-1)),0,'Reduction in car usage'!$E$47*$B10)))</f>
        <v>0</v>
      </c>
      <c r="AH10" s="97">
        <f>IF(Option2="No",0,IF($A10&lt;ImplementationYear,0,IF($A10&gt;(ImplementationYear+(Appraisal_Period-1)),0,'Reduction in car usage'!$E$48*$B10)))</f>
        <v>0</v>
      </c>
      <c r="AJ10" s="94">
        <f>IF(Option3="No",0,IF($A10=ImplementationYear,('Project details'!$P$10-'Project details'!$D$10)*VLOOKUP(Year_cost_estimate,'Time-series parameters'!$B$11:$C$89,2,FALSE)*$B10*(1+Contingency),0))</f>
        <v>0</v>
      </c>
      <c r="AK10" s="94" t="e">
        <f>IF(Option3="No",0,IF($A10&lt;ImplementationYear,0,IF($A10&gt;(ImplementationYear+(Appraisal_Period-1)),0,('Project details'!$P$11-'Project details'!$D$11)*VLOOKUP(Year_cost_estimate,'Time-series parameters'!$B$11:$C$89,2,0))*$B10))</f>
        <v>#VALUE!</v>
      </c>
      <c r="AL10" s="94">
        <f>IF(Option3="No",0,IF($A10=ImplementationYear,('Project details'!$P$12-'Project details'!$D$12)*VLOOKUP(Year_cost_estimate,'Time-series parameters'!$B$11:$C$89,2,FALSE)*$B10,0))</f>
        <v>0</v>
      </c>
      <c r="AM10" s="97">
        <f>IF(Option3="No",0,IF($A10&lt;ImplementationYear,0,IF($A10&gt;(ImplementationYear+(Appraisal_Period-1)),0,Health!$F$21*$B10)))</f>
        <v>0</v>
      </c>
      <c r="AN10" s="97">
        <f>IF(Option3="No",0,IF($A10&lt;ImplementationYear,0,IF($A10&gt;(ImplementationYear+(Appraisal_Period-1)),0,Health!$F$22*$B10)))</f>
        <v>0</v>
      </c>
      <c r="AO10" s="97">
        <f>IF(Option3="No",0,IF($A10&lt;ImplementationYear,0,IF($A10&gt;(ImplementationYear+(Appraisal_Period-1)),0,SUM('Travel time'!$F$22:$F$23)*$B10)))</f>
        <v>0</v>
      </c>
      <c r="AP10" s="97">
        <f>IF(Option3="No",0,IF($A10&lt;ImplementationYear,0,IF($A10&gt;(ImplementationYear+(Appraisal_Period-1)),0,SUM('Travel time'!$F$20:$F$21)*$B10)))</f>
        <v>0</v>
      </c>
      <c r="AQ10" s="97">
        <f>IF(Option3="No",0,IF($A10&lt;ImplementationYear,0,IF($A10&gt;(ImplementationYear+(Appraisal_Period-1)),0,SUM(Quality!$F$22:$F$23)*$B10)))</f>
        <v>0</v>
      </c>
      <c r="AR10" s="97">
        <f>IF(Option3="No",0,IF($A10&lt;ImplementationYear,0,IF($A10&gt;(ImplementationYear+(Appraisal_Period-1)),0,SUM(Quality!$F$20:$F$21)*$B10)))</f>
        <v>0</v>
      </c>
      <c r="AS10" s="97">
        <f>IF(Option3="No",0,IF($A10&lt;ImplementationYear,0,IF($A10&gt;(ImplementationYear+(Appraisal_Period-1)),0,'Mode change'!$F$36*$B10)))</f>
        <v>0</v>
      </c>
      <c r="AT10" s="97">
        <f>IF(Option3="No",0,IF($A10&lt;ImplementationYear,0,IF($A10&gt;(ImplementationYear+(Appraisal_Period-1)),0,'Mode change'!$F$37*$B10)))</f>
        <v>0</v>
      </c>
      <c r="AU10" s="97">
        <f>IF(Option3="No",0,IF($A10&lt;ImplementationYear,0,IF($A10&gt;(ImplementationYear+(Appraisal_Period-1)),0,'Road safety'!$F$22*$B10)))</f>
        <v>0</v>
      </c>
      <c r="AV10" s="97">
        <f>IF(Option3="No",0,IF($A10&lt;ImplementationYear,0,IF($A10&gt;(ImplementationYear+(Appraisal_Period-1)),0,'Reduction in car usage'!$F$46*$B10)))</f>
        <v>0</v>
      </c>
      <c r="AW10" s="97">
        <f>IF(Option3="No",0,IF($A10&lt;ImplementationYear,0,IF($A10&gt;(ImplementationYear+(Appraisal_Period-1)),0,'Reduction in car usage'!$F$47*$B10)))</f>
        <v>0</v>
      </c>
      <c r="AX10" s="97">
        <f>IF(Option3="No",0,IF($A10&lt;ImplementationYear,0,IF($A10&gt;(ImplementationYear+(Appraisal_Period-1)),0,'Reduction in car usage'!$F$48*$B10)))</f>
        <v>0</v>
      </c>
    </row>
    <row r="11" spans="1:50">
      <c r="A11" s="335">
        <v>2006</v>
      </c>
      <c r="B11" s="62" t="str">
        <f>VLOOKUP($A11,'Time-series parameters'!$E$11:$H$89,3,FALSE)</f>
        <v/>
      </c>
      <c r="C11" s="89"/>
      <c r="D11" s="94">
        <f>IF(Option1="No",0,IF($A11=ImplementationYear,('Project details'!$H$10-'Project details'!$D$10)*VLOOKUP(Year_cost_estimate,'Time-series parameters'!$B$11:$C$89,2,FALSE)*$B11*(1+Contingency),0))</f>
        <v>0</v>
      </c>
      <c r="E11" s="94" t="e">
        <f>IF(Option1="No",0,IF($A11&lt;ImplementationYear,0,IF($A11&gt;(ImplementationYear+(Appraisal_Period-1)),0,('Project details'!$H$11-'Project details'!$D$11)*VLOOKUP(Year_cost_estimate,'Time-series parameters'!$B$11:$C$89,2,0))*$B11))</f>
        <v>#VALUE!</v>
      </c>
      <c r="F11" s="94">
        <f>IF(Option1="No",0,IF($A11=ImplementationYear,('Project details'!$H$12-'Project details'!$D$12)*VLOOKUP(Year_cost_estimate,'Time-series parameters'!$B$11:$C$89,2,FALSE)*$B11,0))</f>
        <v>0</v>
      </c>
      <c r="G11" s="97">
        <f>IF(Option1="No",0,IF($A11&lt;ImplementationYear,0,IF($A11&gt;(ImplementationYear+(Appraisal_Period-1)),0,Health!$D$21*$B11)))</f>
        <v>0</v>
      </c>
      <c r="H11" s="97">
        <f>IF(Option1="No",0,IF($A11&lt;ImplementationYear,0,IF($A11&gt;(ImplementationYear+(Appraisal_Period-1)),0,Health!$D$22*$B11)))</f>
        <v>0</v>
      </c>
      <c r="I11" s="97">
        <f>IF(Option1="No",0,IF($A11&lt;ImplementationYear,0,IF($A11&gt;(ImplementationYear+(Appraisal_Period-1)),0,SUM('Travel time'!$D$22:$D$23)*$B11)))</f>
        <v>0</v>
      </c>
      <c r="J11" s="97">
        <f>IF(Option1="No",0,IF($A11&lt;ImplementationYear,0,IF($A11&gt;(ImplementationYear+(Appraisal_Period-1)),0,SUM('Travel time'!$D$20:$D$21)*$B11)))</f>
        <v>0</v>
      </c>
      <c r="K11" s="97">
        <f>IF(Option1="No",0,IF($A11&lt;ImplementationYear,0,IF($A11&gt;(ImplementationYear+(Appraisal_Period-1)),0,SUM(Quality!$D$22:$D$23)*$B11)))</f>
        <v>0</v>
      </c>
      <c r="L11" s="97">
        <f>IF(Option1="No",0,IF($A11&lt;ImplementationYear,0,IF($A11&gt;(ImplementationYear+(Appraisal_Period-1)),0,SUM(Quality!$D$20:$D$21)*$B11)))</f>
        <v>0</v>
      </c>
      <c r="M11" s="97">
        <f>IF(Option1="No",0,IF($A11&lt;ImplementationYear,0,IF($A11&gt;(ImplementationYear+(Appraisal_Period-1)),0,'Mode change'!$D$36*$B11)))</f>
        <v>0</v>
      </c>
      <c r="N11" s="97">
        <f>IF(Option1="No",0,IF($A11&lt;ImplementationYear,0,IF($A11&gt;(ImplementationYear+(Appraisal_Period-1)),0,'Mode change'!$D$37*$B11)))</f>
        <v>0</v>
      </c>
      <c r="O11" s="97">
        <f>IF(Option1="No",0,IF($A11&lt;ImplementationYear,0,IF($A11&gt;(ImplementationYear+(Appraisal_Period-1)),0,'Road safety'!$D$22*$B11)))</f>
        <v>0</v>
      </c>
      <c r="P11" s="97">
        <f>IF(Option1="No",0,IF($A11&lt;ImplementationYear,0,IF($A11&gt;(ImplementationYear+(Appraisal_Period-1)),0,'Reduction in car usage'!$D$46*$B11)))</f>
        <v>0</v>
      </c>
      <c r="Q11" s="97">
        <f>IF(Option1="No",0,IF($A11&lt;ImplementationYear,0,IF($A11&gt;(ImplementationYear+(Appraisal_Period-1)),0,'Reduction in car usage'!$D$47*$B11)))</f>
        <v>0</v>
      </c>
      <c r="R11" s="97">
        <f>IF(Option1="No",0,IF($A11&lt;ImplementationYear,0,IF($A11&gt;(ImplementationYear+(Appraisal_Period-1)),0,'Reduction in car usage'!$D$48*$B11)))</f>
        <v>0</v>
      </c>
      <c r="S11" s="92"/>
      <c r="T11" s="94">
        <f>IF(Option2="No",0,IF($A11=ImplementationYear,('Project details'!$L$10-'Project details'!$D$10)*VLOOKUP(Year_cost_estimate,'Time-series parameters'!$B$11:$C$89,2,FALSE)*$B11*(1+Contingency),0))</f>
        <v>0</v>
      </c>
      <c r="U11" s="94" t="e">
        <f>IF(Option2="No",0,IF($A11&lt;ImplementationYear,0,IF($A11&gt;(ImplementationYear+(Appraisal_Period-1)),0,('Project details'!$L$11-'Project details'!$D$11)*VLOOKUP(Year_cost_estimate,'Time-series parameters'!$B$11:$C$89,2,0))*$B11))</f>
        <v>#VALUE!</v>
      </c>
      <c r="V11" s="94">
        <f>IF(Option2="No",0,IF($A11=ImplementationYear,('Project details'!$L$12-'Project details'!$D$12)*VLOOKUP(Year_cost_estimate,'Time-series parameters'!$B$11:$C$89,2,FALSE)*$B11,0))</f>
        <v>0</v>
      </c>
      <c r="W11" s="97">
        <f>IF(Option2="No",0,IF($A11&lt;ImplementationYear,0,IF($A11&gt;(ImplementationYear+(Appraisal_Period-1)),0,Health!$E$21*$B11)))</f>
        <v>0</v>
      </c>
      <c r="X11" s="97">
        <f>IF(Option2="No",0,IF($A11&lt;ImplementationYear,0,IF($A11&gt;(ImplementationYear+(Appraisal_Period-1)),0,Health!$E$22*$B11)))</f>
        <v>0</v>
      </c>
      <c r="Y11" s="97">
        <f>IF(Option2="No",0,IF($A11&lt;ImplementationYear,0,IF($A11&gt;(ImplementationYear+(Appraisal_Period-1)),0,SUM('Travel time'!$E$22:$E$23)*$B11)))</f>
        <v>0</v>
      </c>
      <c r="Z11" s="97">
        <f>IF(Option2="No",0,IF($A11&lt;ImplementationYear,0,IF($A11&gt;(ImplementationYear+(Appraisal_Period-1)),0,SUM('Travel time'!$E$20:$E$21)*$B11)))</f>
        <v>0</v>
      </c>
      <c r="AA11" s="97">
        <f>IF(Option2="No",0,IF($A11&lt;ImplementationYear,0,IF($A11&gt;(ImplementationYear+(Appraisal_Period-1)),0,SUM(Quality!$E$22:$E$23)*$B11)))</f>
        <v>0</v>
      </c>
      <c r="AB11" s="97">
        <f>IF(Option2="No",0,IF($A11&lt;ImplementationYear,0,IF($A11&gt;(ImplementationYear+(Appraisal_Period-1)),0,SUM(Quality!$E$20:$E$21)*$B11)))</f>
        <v>0</v>
      </c>
      <c r="AC11" s="97">
        <f>IF(Option2="No",0,IF($A11&lt;ImplementationYear,0,IF($A11&gt;(ImplementationYear+(Appraisal_Period-1)),0,'Mode change'!$E$36*$B11)))</f>
        <v>0</v>
      </c>
      <c r="AD11" s="97">
        <f>IF(Option2="No",0,IF($A11&lt;ImplementationYear,0,IF($A11&gt;(ImplementationYear+(Appraisal_Period-1)),0,'Mode change'!$E$37*$B11)))</f>
        <v>0</v>
      </c>
      <c r="AE11" s="97">
        <f>IF(Option2="No",0,IF($A11&lt;ImplementationYear,0,IF($A11&gt;(ImplementationYear+(Appraisal_Period-1)),0,'Road safety'!$E$22*$B11)))</f>
        <v>0</v>
      </c>
      <c r="AF11" s="97">
        <f>IF(Option2="No",0,IF($A11&lt;ImplementationYear,0,IF($A11&gt;(ImplementationYear+(Appraisal_Period-1)),0,'Reduction in car usage'!$E$46*$B11)))</f>
        <v>0</v>
      </c>
      <c r="AG11" s="97">
        <f>IF(Option2="No",0,IF($A11&lt;ImplementationYear,0,IF($A11&gt;(ImplementationYear+(Appraisal_Period-1)),0,'Reduction in car usage'!$E$47*$B11)))</f>
        <v>0</v>
      </c>
      <c r="AH11" s="97">
        <f>IF(Option2="No",0,IF($A11&lt;ImplementationYear,0,IF($A11&gt;(ImplementationYear+(Appraisal_Period-1)),0,'Reduction in car usage'!$E$48*$B11)))</f>
        <v>0</v>
      </c>
      <c r="AJ11" s="94">
        <f>IF(Option3="No",0,IF($A11=ImplementationYear,('Project details'!$P$10-'Project details'!$D$10)*VLOOKUP(Year_cost_estimate,'Time-series parameters'!$B$11:$C$89,2,FALSE)*$B11*(1+Contingency),0))</f>
        <v>0</v>
      </c>
      <c r="AK11" s="94" t="e">
        <f>IF(Option3="No",0,IF($A11&lt;ImplementationYear,0,IF($A11&gt;(ImplementationYear+(Appraisal_Period-1)),0,('Project details'!$P$11-'Project details'!$D$11)*VLOOKUP(Year_cost_estimate,'Time-series parameters'!$B$11:$C$89,2,0))*$B11))</f>
        <v>#VALUE!</v>
      </c>
      <c r="AL11" s="94">
        <f>IF(Option3="No",0,IF($A11=ImplementationYear,('Project details'!$P$12-'Project details'!$D$12)*VLOOKUP(Year_cost_estimate,'Time-series parameters'!$B$11:$C$89,2,FALSE)*$B11,0))</f>
        <v>0</v>
      </c>
      <c r="AM11" s="97">
        <f>IF(Option3="No",0,IF($A11&lt;ImplementationYear,0,IF($A11&gt;(ImplementationYear+(Appraisal_Period-1)),0,Health!$F$21*$B11)))</f>
        <v>0</v>
      </c>
      <c r="AN11" s="97">
        <f>IF(Option3="No",0,IF($A11&lt;ImplementationYear,0,IF($A11&gt;(ImplementationYear+(Appraisal_Period-1)),0,Health!$F$22*$B11)))</f>
        <v>0</v>
      </c>
      <c r="AO11" s="97">
        <f>IF(Option3="No",0,IF($A11&lt;ImplementationYear,0,IF($A11&gt;(ImplementationYear+(Appraisal_Period-1)),0,SUM('Travel time'!$F$22:$F$23)*$B11)))</f>
        <v>0</v>
      </c>
      <c r="AP11" s="97">
        <f>IF(Option3="No",0,IF($A11&lt;ImplementationYear,0,IF($A11&gt;(ImplementationYear+(Appraisal_Period-1)),0,SUM('Travel time'!$F$20:$F$21)*$B11)))</f>
        <v>0</v>
      </c>
      <c r="AQ11" s="97">
        <f>IF(Option3="No",0,IF($A11&lt;ImplementationYear,0,IF($A11&gt;(ImplementationYear+(Appraisal_Period-1)),0,SUM(Quality!$F$22:$F$23)*$B11)))</f>
        <v>0</v>
      </c>
      <c r="AR11" s="97">
        <f>IF(Option3="No",0,IF($A11&lt;ImplementationYear,0,IF($A11&gt;(ImplementationYear+(Appraisal_Period-1)),0,SUM(Quality!$F$20:$F$21)*$B11)))</f>
        <v>0</v>
      </c>
      <c r="AS11" s="97">
        <f>IF(Option3="No",0,IF($A11&lt;ImplementationYear,0,IF($A11&gt;(ImplementationYear+(Appraisal_Period-1)),0,'Mode change'!$F$36*$B11)))</f>
        <v>0</v>
      </c>
      <c r="AT11" s="97">
        <f>IF(Option3="No",0,IF($A11&lt;ImplementationYear,0,IF($A11&gt;(ImplementationYear+(Appraisal_Period-1)),0,'Mode change'!$F$37*$B11)))</f>
        <v>0</v>
      </c>
      <c r="AU11" s="97">
        <f>IF(Option3="No",0,IF($A11&lt;ImplementationYear,0,IF($A11&gt;(ImplementationYear+(Appraisal_Period-1)),0,'Road safety'!$F$22*$B11)))</f>
        <v>0</v>
      </c>
      <c r="AV11" s="97">
        <f>IF(Option3="No",0,IF($A11&lt;ImplementationYear,0,IF($A11&gt;(ImplementationYear+(Appraisal_Period-1)),0,'Reduction in car usage'!$F$46*$B11)))</f>
        <v>0</v>
      </c>
      <c r="AW11" s="97">
        <f>IF(Option3="No",0,IF($A11&lt;ImplementationYear,0,IF($A11&gt;(ImplementationYear+(Appraisal_Period-1)),0,'Reduction in car usage'!$F$47*$B11)))</f>
        <v>0</v>
      </c>
      <c r="AX11" s="97">
        <f>IF(Option3="No",0,IF($A11&lt;ImplementationYear,0,IF($A11&gt;(ImplementationYear+(Appraisal_Period-1)),0,'Reduction in car usage'!$F$48*$B11)))</f>
        <v>0</v>
      </c>
    </row>
    <row r="12" spans="1:50">
      <c r="A12" s="335">
        <v>2007</v>
      </c>
      <c r="B12" s="62" t="str">
        <f>VLOOKUP($A12,'Time-series parameters'!$E$11:$H$89,3,FALSE)</f>
        <v/>
      </c>
      <c r="C12" s="89"/>
      <c r="D12" s="94">
        <f>IF(Option1="No",0,IF($A12=ImplementationYear,('Project details'!$H$10-'Project details'!$D$10)*VLOOKUP(Year_cost_estimate,'Time-series parameters'!$B$11:$C$89,2,FALSE)*$B12*(1+Contingency),0))</f>
        <v>0</v>
      </c>
      <c r="E12" s="94" t="e">
        <f>IF(Option1="No",0,IF($A12&lt;ImplementationYear,0,IF($A12&gt;(ImplementationYear+(Appraisal_Period-1)),0,('Project details'!$H$11-'Project details'!$D$11)*VLOOKUP(Year_cost_estimate,'Time-series parameters'!$B$11:$C$89,2,0))*$B12))</f>
        <v>#VALUE!</v>
      </c>
      <c r="F12" s="94">
        <f>IF(Option1="No",0,IF($A12=ImplementationYear,('Project details'!$H$12-'Project details'!$D$12)*VLOOKUP(Year_cost_estimate,'Time-series parameters'!$B$11:$C$89,2,FALSE)*$B12,0))</f>
        <v>0</v>
      </c>
      <c r="G12" s="97">
        <f>IF(Option1="No",0,IF($A12&lt;ImplementationYear,0,IF($A12&gt;(ImplementationYear+(Appraisal_Period-1)),0,Health!$D$21*$B12)))</f>
        <v>0</v>
      </c>
      <c r="H12" s="97">
        <f>IF(Option1="No",0,IF($A12&lt;ImplementationYear,0,IF($A12&gt;(ImplementationYear+(Appraisal_Period-1)),0,Health!$D$22*$B12)))</f>
        <v>0</v>
      </c>
      <c r="I12" s="97">
        <f>IF(Option1="No",0,IF($A12&lt;ImplementationYear,0,IF($A12&gt;(ImplementationYear+(Appraisal_Period-1)),0,SUM('Travel time'!$D$22:$D$23)*$B12)))</f>
        <v>0</v>
      </c>
      <c r="J12" s="97">
        <f>IF(Option1="No",0,IF($A12&lt;ImplementationYear,0,IF($A12&gt;(ImplementationYear+(Appraisal_Period-1)),0,SUM('Travel time'!$D$20:$D$21)*$B12)))</f>
        <v>0</v>
      </c>
      <c r="K12" s="97">
        <f>IF(Option1="No",0,IF($A12&lt;ImplementationYear,0,IF($A12&gt;(ImplementationYear+(Appraisal_Period-1)),0,SUM(Quality!$D$22:$D$23)*$B12)))</f>
        <v>0</v>
      </c>
      <c r="L12" s="97">
        <f>IF(Option1="No",0,IF($A12&lt;ImplementationYear,0,IF($A12&gt;(ImplementationYear+(Appraisal_Period-1)),0,SUM(Quality!$D$20:$D$21)*$B12)))</f>
        <v>0</v>
      </c>
      <c r="M12" s="97">
        <f>IF(Option1="No",0,IF($A12&lt;ImplementationYear,0,IF($A12&gt;(ImplementationYear+(Appraisal_Period-1)),0,'Mode change'!$D$36*$B12)))</f>
        <v>0</v>
      </c>
      <c r="N12" s="97">
        <f>IF(Option1="No",0,IF($A12&lt;ImplementationYear,0,IF($A12&gt;(ImplementationYear+(Appraisal_Period-1)),0,'Mode change'!$D$37*$B12)))</f>
        <v>0</v>
      </c>
      <c r="O12" s="97">
        <f>IF(Option1="No",0,IF($A12&lt;ImplementationYear,0,IF($A12&gt;(ImplementationYear+(Appraisal_Period-1)),0,'Road safety'!$D$22*$B12)))</f>
        <v>0</v>
      </c>
      <c r="P12" s="97">
        <f>IF(Option1="No",0,IF($A12&lt;ImplementationYear,0,IF($A12&gt;(ImplementationYear+(Appraisal_Period-1)),0,'Reduction in car usage'!$D$46*$B12)))</f>
        <v>0</v>
      </c>
      <c r="Q12" s="97">
        <f>IF(Option1="No",0,IF($A12&lt;ImplementationYear,0,IF($A12&gt;(ImplementationYear+(Appraisal_Period-1)),0,'Reduction in car usage'!$D$47*$B12)))</f>
        <v>0</v>
      </c>
      <c r="R12" s="97">
        <f>IF(Option1="No",0,IF($A12&lt;ImplementationYear,0,IF($A12&gt;(ImplementationYear+(Appraisal_Period-1)),0,'Reduction in car usage'!$D$48*$B12)))</f>
        <v>0</v>
      </c>
      <c r="S12" s="92"/>
      <c r="T12" s="94">
        <f>IF(Option2="No",0,IF($A12=ImplementationYear,('Project details'!$L$10-'Project details'!$D$10)*VLOOKUP(Year_cost_estimate,'Time-series parameters'!$B$11:$C$89,2,FALSE)*$B12*(1+Contingency),0))</f>
        <v>0</v>
      </c>
      <c r="U12" s="94" t="e">
        <f>IF(Option2="No",0,IF($A12&lt;ImplementationYear,0,IF($A12&gt;(ImplementationYear+(Appraisal_Period-1)),0,('Project details'!$L$11-'Project details'!$D$11)*VLOOKUP(Year_cost_estimate,'Time-series parameters'!$B$11:$C$89,2,0))*$B12))</f>
        <v>#VALUE!</v>
      </c>
      <c r="V12" s="94">
        <f>IF(Option2="No",0,IF($A12=ImplementationYear,('Project details'!$L$12-'Project details'!$D$12)*VLOOKUP(Year_cost_estimate,'Time-series parameters'!$B$11:$C$89,2,FALSE)*$B12,0))</f>
        <v>0</v>
      </c>
      <c r="W12" s="97">
        <f>IF(Option2="No",0,IF($A12&lt;ImplementationYear,0,IF($A12&gt;(ImplementationYear+(Appraisal_Period-1)),0,Health!$E$21*$B12)))</f>
        <v>0</v>
      </c>
      <c r="X12" s="97">
        <f>IF(Option2="No",0,IF($A12&lt;ImplementationYear,0,IF($A12&gt;(ImplementationYear+(Appraisal_Period-1)),0,Health!$E$22*$B12)))</f>
        <v>0</v>
      </c>
      <c r="Y12" s="97">
        <f>IF(Option2="No",0,IF($A12&lt;ImplementationYear,0,IF($A12&gt;(ImplementationYear+(Appraisal_Period-1)),0,SUM('Travel time'!$E$22:$E$23)*$B12)))</f>
        <v>0</v>
      </c>
      <c r="Z12" s="97">
        <f>IF(Option2="No",0,IF($A12&lt;ImplementationYear,0,IF($A12&gt;(ImplementationYear+(Appraisal_Period-1)),0,SUM('Travel time'!$E$20:$E$21)*$B12)))</f>
        <v>0</v>
      </c>
      <c r="AA12" s="97">
        <f>IF(Option2="No",0,IF($A12&lt;ImplementationYear,0,IF($A12&gt;(ImplementationYear+(Appraisal_Period-1)),0,SUM(Quality!$E$22:$E$23)*$B12)))</f>
        <v>0</v>
      </c>
      <c r="AB12" s="97">
        <f>IF(Option2="No",0,IF($A12&lt;ImplementationYear,0,IF($A12&gt;(ImplementationYear+(Appraisal_Period-1)),0,SUM(Quality!$E$20:$E$21)*$B12)))</f>
        <v>0</v>
      </c>
      <c r="AC12" s="97">
        <f>IF(Option2="No",0,IF($A12&lt;ImplementationYear,0,IF($A12&gt;(ImplementationYear+(Appraisal_Period-1)),0,'Mode change'!$E$36*$B12)))</f>
        <v>0</v>
      </c>
      <c r="AD12" s="97">
        <f>IF(Option2="No",0,IF($A12&lt;ImplementationYear,0,IF($A12&gt;(ImplementationYear+(Appraisal_Period-1)),0,'Mode change'!$E$37*$B12)))</f>
        <v>0</v>
      </c>
      <c r="AE12" s="97">
        <f>IF(Option2="No",0,IF($A12&lt;ImplementationYear,0,IF($A12&gt;(ImplementationYear+(Appraisal_Period-1)),0,'Road safety'!$E$22*$B12)))</f>
        <v>0</v>
      </c>
      <c r="AF12" s="97">
        <f>IF(Option2="No",0,IF($A12&lt;ImplementationYear,0,IF($A12&gt;(ImplementationYear+(Appraisal_Period-1)),0,'Reduction in car usage'!$E$46*$B12)))</f>
        <v>0</v>
      </c>
      <c r="AG12" s="97">
        <f>IF(Option2="No",0,IF($A12&lt;ImplementationYear,0,IF($A12&gt;(ImplementationYear+(Appraisal_Period-1)),0,'Reduction in car usage'!$E$47*$B12)))</f>
        <v>0</v>
      </c>
      <c r="AH12" s="97">
        <f>IF(Option2="No",0,IF($A12&lt;ImplementationYear,0,IF($A12&gt;(ImplementationYear+(Appraisal_Period-1)),0,'Reduction in car usage'!$E$48*$B12)))</f>
        <v>0</v>
      </c>
      <c r="AJ12" s="94">
        <f>IF(Option3="No",0,IF($A12=ImplementationYear,('Project details'!$P$10-'Project details'!$D$10)*VLOOKUP(Year_cost_estimate,'Time-series parameters'!$B$11:$C$89,2,FALSE)*$B12*(1+Contingency),0))</f>
        <v>0</v>
      </c>
      <c r="AK12" s="94" t="e">
        <f>IF(Option3="No",0,IF($A12&lt;ImplementationYear,0,IF($A12&gt;(ImplementationYear+(Appraisal_Period-1)),0,('Project details'!$P$11-'Project details'!$D$11)*VLOOKUP(Year_cost_estimate,'Time-series parameters'!$B$11:$C$89,2,0))*$B12))</f>
        <v>#VALUE!</v>
      </c>
      <c r="AL12" s="94">
        <f>IF(Option3="No",0,IF($A12=ImplementationYear,('Project details'!$P$12-'Project details'!$D$12)*VLOOKUP(Year_cost_estimate,'Time-series parameters'!$B$11:$C$89,2,FALSE)*$B12,0))</f>
        <v>0</v>
      </c>
      <c r="AM12" s="97">
        <f>IF(Option3="No",0,IF($A12&lt;ImplementationYear,0,IF($A12&gt;(ImplementationYear+(Appraisal_Period-1)),0,Health!$F$21*$B12)))</f>
        <v>0</v>
      </c>
      <c r="AN12" s="97">
        <f>IF(Option3="No",0,IF($A12&lt;ImplementationYear,0,IF($A12&gt;(ImplementationYear+(Appraisal_Period-1)),0,Health!$F$22*$B12)))</f>
        <v>0</v>
      </c>
      <c r="AO12" s="97">
        <f>IF(Option3="No",0,IF($A12&lt;ImplementationYear,0,IF($A12&gt;(ImplementationYear+(Appraisal_Period-1)),0,SUM('Travel time'!$F$22:$F$23)*$B12)))</f>
        <v>0</v>
      </c>
      <c r="AP12" s="97">
        <f>IF(Option3="No",0,IF($A12&lt;ImplementationYear,0,IF($A12&gt;(ImplementationYear+(Appraisal_Period-1)),0,SUM('Travel time'!$F$20:$F$21)*$B12)))</f>
        <v>0</v>
      </c>
      <c r="AQ12" s="97">
        <f>IF(Option3="No",0,IF($A12&lt;ImplementationYear,0,IF($A12&gt;(ImplementationYear+(Appraisal_Period-1)),0,SUM(Quality!$F$22:$F$23)*$B12)))</f>
        <v>0</v>
      </c>
      <c r="AR12" s="97">
        <f>IF(Option3="No",0,IF($A12&lt;ImplementationYear,0,IF($A12&gt;(ImplementationYear+(Appraisal_Period-1)),0,SUM(Quality!$F$20:$F$21)*$B12)))</f>
        <v>0</v>
      </c>
      <c r="AS12" s="97">
        <f>IF(Option3="No",0,IF($A12&lt;ImplementationYear,0,IF($A12&gt;(ImplementationYear+(Appraisal_Period-1)),0,'Mode change'!$F$36*$B12)))</f>
        <v>0</v>
      </c>
      <c r="AT12" s="97">
        <f>IF(Option3="No",0,IF($A12&lt;ImplementationYear,0,IF($A12&gt;(ImplementationYear+(Appraisal_Period-1)),0,'Mode change'!$F$37*$B12)))</f>
        <v>0</v>
      </c>
      <c r="AU12" s="97">
        <f>IF(Option3="No",0,IF($A12&lt;ImplementationYear,0,IF($A12&gt;(ImplementationYear+(Appraisal_Period-1)),0,'Road safety'!$F$22*$B12)))</f>
        <v>0</v>
      </c>
      <c r="AV12" s="97">
        <f>IF(Option3="No",0,IF($A12&lt;ImplementationYear,0,IF($A12&gt;(ImplementationYear+(Appraisal_Period-1)),0,'Reduction in car usage'!$F$46*$B12)))</f>
        <v>0</v>
      </c>
      <c r="AW12" s="97">
        <f>IF(Option3="No",0,IF($A12&lt;ImplementationYear,0,IF($A12&gt;(ImplementationYear+(Appraisal_Period-1)),0,'Reduction in car usage'!$F$47*$B12)))</f>
        <v>0</v>
      </c>
      <c r="AX12" s="97">
        <f>IF(Option3="No",0,IF($A12&lt;ImplementationYear,0,IF($A12&gt;(ImplementationYear+(Appraisal_Period-1)),0,'Reduction in car usage'!$F$48*$B12)))</f>
        <v>0</v>
      </c>
    </row>
    <row r="13" spans="1:50">
      <c r="A13" s="335">
        <v>2008</v>
      </c>
      <c r="B13" s="62" t="str">
        <f>VLOOKUP($A13,'Time-series parameters'!$E$11:$H$89,3,FALSE)</f>
        <v/>
      </c>
      <c r="C13" s="89"/>
      <c r="D13" s="94">
        <f>IF(Option1="No",0,IF($A13=ImplementationYear,('Project details'!$H$10-'Project details'!$D$10)*VLOOKUP(Year_cost_estimate,'Time-series parameters'!$B$11:$C$89,2,FALSE)*$B13*(1+Contingency),0))</f>
        <v>0</v>
      </c>
      <c r="E13" s="94" t="e">
        <f>IF(Option1="No",0,IF($A13&lt;ImplementationYear,0,IF($A13&gt;(ImplementationYear+(Appraisal_Period-1)),0,('Project details'!$H$11-'Project details'!$D$11)*VLOOKUP(Year_cost_estimate,'Time-series parameters'!$B$11:$C$89,2,0))*$B13))</f>
        <v>#VALUE!</v>
      </c>
      <c r="F13" s="94">
        <f>IF(Option1="No",0,IF($A13=ImplementationYear,('Project details'!$H$12-'Project details'!$D$12)*VLOOKUP(Year_cost_estimate,'Time-series parameters'!$B$11:$C$89,2,FALSE)*$B13,0))</f>
        <v>0</v>
      </c>
      <c r="G13" s="97">
        <f>IF(Option1="No",0,IF($A13&lt;ImplementationYear,0,IF($A13&gt;(ImplementationYear+(Appraisal_Period-1)),0,Health!$D$21*$B13)))</f>
        <v>0</v>
      </c>
      <c r="H13" s="97">
        <f>IF(Option1="No",0,IF($A13&lt;ImplementationYear,0,IF($A13&gt;(ImplementationYear+(Appraisal_Period-1)),0,Health!$D$22*$B13)))</f>
        <v>0</v>
      </c>
      <c r="I13" s="97">
        <f>IF(Option1="No",0,IF($A13&lt;ImplementationYear,0,IF($A13&gt;(ImplementationYear+(Appraisal_Period-1)),0,SUM('Travel time'!$D$22:$D$23)*$B13)))</f>
        <v>0</v>
      </c>
      <c r="J13" s="97">
        <f>IF(Option1="No",0,IF($A13&lt;ImplementationYear,0,IF($A13&gt;(ImplementationYear+(Appraisal_Period-1)),0,SUM('Travel time'!$D$20:$D$21)*$B13)))</f>
        <v>0</v>
      </c>
      <c r="K13" s="97">
        <f>IF(Option1="No",0,IF($A13&lt;ImplementationYear,0,IF($A13&gt;(ImplementationYear+(Appraisal_Period-1)),0,SUM(Quality!$D$22:$D$23)*$B13)))</f>
        <v>0</v>
      </c>
      <c r="L13" s="97">
        <f>IF(Option1="No",0,IF($A13&lt;ImplementationYear,0,IF($A13&gt;(ImplementationYear+(Appraisal_Period-1)),0,SUM(Quality!$D$20:$D$21)*$B13)))</f>
        <v>0</v>
      </c>
      <c r="M13" s="97">
        <f>IF(Option1="No",0,IF($A13&lt;ImplementationYear,0,IF($A13&gt;(ImplementationYear+(Appraisal_Period-1)),0,'Mode change'!$D$36*$B13)))</f>
        <v>0</v>
      </c>
      <c r="N13" s="97">
        <f>IF(Option1="No",0,IF($A13&lt;ImplementationYear,0,IF($A13&gt;(ImplementationYear+(Appraisal_Period-1)),0,'Mode change'!$D$37*$B13)))</f>
        <v>0</v>
      </c>
      <c r="O13" s="97">
        <f>IF(Option1="No",0,IF($A13&lt;ImplementationYear,0,IF($A13&gt;(ImplementationYear+(Appraisal_Period-1)),0,'Road safety'!$D$22*$B13)))</f>
        <v>0</v>
      </c>
      <c r="P13" s="97">
        <f>IF(Option1="No",0,IF($A13&lt;ImplementationYear,0,IF($A13&gt;(ImplementationYear+(Appraisal_Period-1)),0,'Reduction in car usage'!$D$46*$B13)))</f>
        <v>0</v>
      </c>
      <c r="Q13" s="97">
        <f>IF(Option1="No",0,IF($A13&lt;ImplementationYear,0,IF($A13&gt;(ImplementationYear+(Appraisal_Period-1)),0,'Reduction in car usage'!$D$47*$B13)))</f>
        <v>0</v>
      </c>
      <c r="R13" s="97">
        <f>IF(Option1="No",0,IF($A13&lt;ImplementationYear,0,IF($A13&gt;(ImplementationYear+(Appraisal_Period-1)),0,'Reduction in car usage'!$D$48*$B13)))</f>
        <v>0</v>
      </c>
      <c r="S13" s="92"/>
      <c r="T13" s="94">
        <f>IF(Option2="No",0,IF($A13=ImplementationYear,('Project details'!$L$10-'Project details'!$D$10)*VLOOKUP(Year_cost_estimate,'Time-series parameters'!$B$11:$C$89,2,FALSE)*$B13*(1+Contingency),0))</f>
        <v>0</v>
      </c>
      <c r="U13" s="94" t="e">
        <f>IF(Option2="No",0,IF($A13&lt;ImplementationYear,0,IF($A13&gt;(ImplementationYear+(Appraisal_Period-1)),0,('Project details'!$L$11-'Project details'!$D$11)*VLOOKUP(Year_cost_estimate,'Time-series parameters'!$B$11:$C$89,2,0))*$B13))</f>
        <v>#VALUE!</v>
      </c>
      <c r="V13" s="94">
        <f>IF(Option2="No",0,IF($A13=ImplementationYear,('Project details'!$L$12-'Project details'!$D$12)*VLOOKUP(Year_cost_estimate,'Time-series parameters'!$B$11:$C$89,2,FALSE)*$B13,0))</f>
        <v>0</v>
      </c>
      <c r="W13" s="97">
        <f>IF(Option2="No",0,IF($A13&lt;ImplementationYear,0,IF($A13&gt;(ImplementationYear+(Appraisal_Period-1)),0,Health!$E$21*$B13)))</f>
        <v>0</v>
      </c>
      <c r="X13" s="97">
        <f>IF(Option2="No",0,IF($A13&lt;ImplementationYear,0,IF($A13&gt;(ImplementationYear+(Appraisal_Period-1)),0,Health!$E$22*$B13)))</f>
        <v>0</v>
      </c>
      <c r="Y13" s="97">
        <f>IF(Option2="No",0,IF($A13&lt;ImplementationYear,0,IF($A13&gt;(ImplementationYear+(Appraisal_Period-1)),0,SUM('Travel time'!$E$22:$E$23)*$B13)))</f>
        <v>0</v>
      </c>
      <c r="Z13" s="97">
        <f>IF(Option2="No",0,IF($A13&lt;ImplementationYear,0,IF($A13&gt;(ImplementationYear+(Appraisal_Period-1)),0,SUM('Travel time'!$E$20:$E$21)*$B13)))</f>
        <v>0</v>
      </c>
      <c r="AA13" s="97">
        <f>IF(Option2="No",0,IF($A13&lt;ImplementationYear,0,IF($A13&gt;(ImplementationYear+(Appraisal_Period-1)),0,SUM(Quality!$E$22:$E$23)*$B13)))</f>
        <v>0</v>
      </c>
      <c r="AB13" s="97">
        <f>IF(Option2="No",0,IF($A13&lt;ImplementationYear,0,IF($A13&gt;(ImplementationYear+(Appraisal_Period-1)),0,SUM(Quality!$E$20:$E$21)*$B13)))</f>
        <v>0</v>
      </c>
      <c r="AC13" s="97">
        <f>IF(Option2="No",0,IF($A13&lt;ImplementationYear,0,IF($A13&gt;(ImplementationYear+(Appraisal_Period-1)),0,'Mode change'!$E$36*$B13)))</f>
        <v>0</v>
      </c>
      <c r="AD13" s="97">
        <f>IF(Option2="No",0,IF($A13&lt;ImplementationYear,0,IF($A13&gt;(ImplementationYear+(Appraisal_Period-1)),0,'Mode change'!$E$37*$B13)))</f>
        <v>0</v>
      </c>
      <c r="AE13" s="97">
        <f>IF(Option2="No",0,IF($A13&lt;ImplementationYear,0,IF($A13&gt;(ImplementationYear+(Appraisal_Period-1)),0,'Road safety'!$E$22*$B13)))</f>
        <v>0</v>
      </c>
      <c r="AF13" s="97">
        <f>IF(Option2="No",0,IF($A13&lt;ImplementationYear,0,IF($A13&gt;(ImplementationYear+(Appraisal_Period-1)),0,'Reduction in car usage'!$E$46*$B13)))</f>
        <v>0</v>
      </c>
      <c r="AG13" s="97">
        <f>IF(Option2="No",0,IF($A13&lt;ImplementationYear,0,IF($A13&gt;(ImplementationYear+(Appraisal_Period-1)),0,'Reduction in car usage'!$E$47*$B13)))</f>
        <v>0</v>
      </c>
      <c r="AH13" s="97">
        <f>IF(Option2="No",0,IF($A13&lt;ImplementationYear,0,IF($A13&gt;(ImplementationYear+(Appraisal_Period-1)),0,'Reduction in car usage'!$E$48*$B13)))</f>
        <v>0</v>
      </c>
      <c r="AJ13" s="94">
        <f>IF(Option3="No",0,IF($A13=ImplementationYear,('Project details'!$P$10-'Project details'!$D$10)*VLOOKUP(Year_cost_estimate,'Time-series parameters'!$B$11:$C$89,2,FALSE)*$B13*(1+Contingency),0))</f>
        <v>0</v>
      </c>
      <c r="AK13" s="94" t="e">
        <f>IF(Option3="No",0,IF($A13&lt;ImplementationYear,0,IF($A13&gt;(ImplementationYear+(Appraisal_Period-1)),0,('Project details'!$P$11-'Project details'!$D$11)*VLOOKUP(Year_cost_estimate,'Time-series parameters'!$B$11:$C$89,2,0))*$B13))</f>
        <v>#VALUE!</v>
      </c>
      <c r="AL13" s="94">
        <f>IF(Option3="No",0,IF($A13=ImplementationYear,('Project details'!$P$12-'Project details'!$D$12)*VLOOKUP(Year_cost_estimate,'Time-series parameters'!$B$11:$C$89,2,FALSE)*$B13,0))</f>
        <v>0</v>
      </c>
      <c r="AM13" s="97">
        <f>IF(Option3="No",0,IF($A13&lt;ImplementationYear,0,IF($A13&gt;(ImplementationYear+(Appraisal_Period-1)),0,Health!$F$21*$B13)))</f>
        <v>0</v>
      </c>
      <c r="AN13" s="97">
        <f>IF(Option3="No",0,IF($A13&lt;ImplementationYear,0,IF($A13&gt;(ImplementationYear+(Appraisal_Period-1)),0,Health!$F$22*$B13)))</f>
        <v>0</v>
      </c>
      <c r="AO13" s="97">
        <f>IF(Option3="No",0,IF($A13&lt;ImplementationYear,0,IF($A13&gt;(ImplementationYear+(Appraisal_Period-1)),0,SUM('Travel time'!$F$22:$F$23)*$B13)))</f>
        <v>0</v>
      </c>
      <c r="AP13" s="97">
        <f>IF(Option3="No",0,IF($A13&lt;ImplementationYear,0,IF($A13&gt;(ImplementationYear+(Appraisal_Period-1)),0,SUM('Travel time'!$F$20:$F$21)*$B13)))</f>
        <v>0</v>
      </c>
      <c r="AQ13" s="97">
        <f>IF(Option3="No",0,IF($A13&lt;ImplementationYear,0,IF($A13&gt;(ImplementationYear+(Appraisal_Period-1)),0,SUM(Quality!$F$22:$F$23)*$B13)))</f>
        <v>0</v>
      </c>
      <c r="AR13" s="97">
        <f>IF(Option3="No",0,IF($A13&lt;ImplementationYear,0,IF($A13&gt;(ImplementationYear+(Appraisal_Period-1)),0,SUM(Quality!$F$20:$F$21)*$B13)))</f>
        <v>0</v>
      </c>
      <c r="AS13" s="97">
        <f>IF(Option3="No",0,IF($A13&lt;ImplementationYear,0,IF($A13&gt;(ImplementationYear+(Appraisal_Period-1)),0,'Mode change'!$F$36*$B13)))</f>
        <v>0</v>
      </c>
      <c r="AT13" s="97">
        <f>IF(Option3="No",0,IF($A13&lt;ImplementationYear,0,IF($A13&gt;(ImplementationYear+(Appraisal_Period-1)),0,'Mode change'!$F$37*$B13)))</f>
        <v>0</v>
      </c>
      <c r="AU13" s="97">
        <f>IF(Option3="No",0,IF($A13&lt;ImplementationYear,0,IF($A13&gt;(ImplementationYear+(Appraisal_Period-1)),0,'Road safety'!$F$22*$B13)))</f>
        <v>0</v>
      </c>
      <c r="AV13" s="97">
        <f>IF(Option3="No",0,IF($A13&lt;ImplementationYear,0,IF($A13&gt;(ImplementationYear+(Appraisal_Period-1)),0,'Reduction in car usage'!$F$46*$B13)))</f>
        <v>0</v>
      </c>
      <c r="AW13" s="97">
        <f>IF(Option3="No",0,IF($A13&lt;ImplementationYear,0,IF($A13&gt;(ImplementationYear+(Appraisal_Period-1)),0,'Reduction in car usage'!$F$47*$B13)))</f>
        <v>0</v>
      </c>
      <c r="AX13" s="97">
        <f>IF(Option3="No",0,IF($A13&lt;ImplementationYear,0,IF($A13&gt;(ImplementationYear+(Appraisal_Period-1)),0,'Reduction in car usage'!$F$48*$B13)))</f>
        <v>0</v>
      </c>
    </row>
    <row r="14" spans="1:50">
      <c r="A14" s="335">
        <v>2009</v>
      </c>
      <c r="B14" s="62" t="str">
        <f>VLOOKUP($A14,'Time-series parameters'!$E$11:$H$89,3,FALSE)</f>
        <v/>
      </c>
      <c r="C14" s="89"/>
      <c r="D14" s="94">
        <f>IF(Option1="No",0,IF($A14=ImplementationYear,('Project details'!$H$10-'Project details'!$D$10)*VLOOKUP(Year_cost_estimate,'Time-series parameters'!$B$11:$C$89,2,FALSE)*$B14*(1+Contingency),0))</f>
        <v>0</v>
      </c>
      <c r="E14" s="94" t="e">
        <f>IF(Option1="No",0,IF($A14&lt;ImplementationYear,0,IF($A14&gt;(ImplementationYear+(Appraisal_Period-1)),0,('Project details'!$H$11-'Project details'!$D$11)*VLOOKUP(Year_cost_estimate,'Time-series parameters'!$B$11:$C$89,2,0))*$B14))</f>
        <v>#VALUE!</v>
      </c>
      <c r="F14" s="94">
        <f>IF(Option1="No",0,IF($A14=ImplementationYear,('Project details'!$H$12-'Project details'!$D$12)*VLOOKUP(Year_cost_estimate,'Time-series parameters'!$B$11:$C$89,2,FALSE)*$B14,0))</f>
        <v>0</v>
      </c>
      <c r="G14" s="97">
        <f>IF(Option1="No",0,IF($A14&lt;ImplementationYear,0,IF($A14&gt;(ImplementationYear+(Appraisal_Period-1)),0,Health!$D$21*$B14)))</f>
        <v>0</v>
      </c>
      <c r="H14" s="97">
        <f>IF(Option1="No",0,IF($A14&lt;ImplementationYear,0,IF($A14&gt;(ImplementationYear+(Appraisal_Period-1)),0,Health!$D$22*$B14)))</f>
        <v>0</v>
      </c>
      <c r="I14" s="97">
        <f>IF(Option1="No",0,IF($A14&lt;ImplementationYear,0,IF($A14&gt;(ImplementationYear+(Appraisal_Period-1)),0,SUM('Travel time'!$D$22:$D$23)*$B14)))</f>
        <v>0</v>
      </c>
      <c r="J14" s="97">
        <f>IF(Option1="No",0,IF($A14&lt;ImplementationYear,0,IF($A14&gt;(ImplementationYear+(Appraisal_Period-1)),0,SUM('Travel time'!$D$20:$D$21)*$B14)))</f>
        <v>0</v>
      </c>
      <c r="K14" s="97">
        <f>IF(Option1="No",0,IF($A14&lt;ImplementationYear,0,IF($A14&gt;(ImplementationYear+(Appraisal_Period-1)),0,SUM(Quality!$D$22:$D$23)*$B14)))</f>
        <v>0</v>
      </c>
      <c r="L14" s="97">
        <f>IF(Option1="No",0,IF($A14&lt;ImplementationYear,0,IF($A14&gt;(ImplementationYear+(Appraisal_Period-1)),0,SUM(Quality!$D$20:$D$21)*$B14)))</f>
        <v>0</v>
      </c>
      <c r="M14" s="97">
        <f>IF(Option1="No",0,IF($A14&lt;ImplementationYear,0,IF($A14&gt;(ImplementationYear+(Appraisal_Period-1)),0,'Mode change'!$D$36*$B14)))</f>
        <v>0</v>
      </c>
      <c r="N14" s="97">
        <f>IF(Option1="No",0,IF($A14&lt;ImplementationYear,0,IF($A14&gt;(ImplementationYear+(Appraisal_Period-1)),0,'Mode change'!$D$37*$B14)))</f>
        <v>0</v>
      </c>
      <c r="O14" s="97">
        <f>IF(Option1="No",0,IF($A14&lt;ImplementationYear,0,IF($A14&gt;(ImplementationYear+(Appraisal_Period-1)),0,'Road safety'!$D$22*$B14)))</f>
        <v>0</v>
      </c>
      <c r="P14" s="97">
        <f>IF(Option1="No",0,IF($A14&lt;ImplementationYear,0,IF($A14&gt;(ImplementationYear+(Appraisal_Period-1)),0,'Reduction in car usage'!$D$46*$B14)))</f>
        <v>0</v>
      </c>
      <c r="Q14" s="97">
        <f>IF(Option1="No",0,IF($A14&lt;ImplementationYear,0,IF($A14&gt;(ImplementationYear+(Appraisal_Period-1)),0,'Reduction in car usage'!$D$47*$B14)))</f>
        <v>0</v>
      </c>
      <c r="R14" s="97">
        <f>IF(Option1="No",0,IF($A14&lt;ImplementationYear,0,IF($A14&gt;(ImplementationYear+(Appraisal_Period-1)),0,'Reduction in car usage'!$D$48*$B14)))</f>
        <v>0</v>
      </c>
      <c r="S14" s="92"/>
      <c r="T14" s="94">
        <f>IF(Option2="No",0,IF($A14=ImplementationYear,('Project details'!$L$10-'Project details'!$D$10)*VLOOKUP(Year_cost_estimate,'Time-series parameters'!$B$11:$C$89,2,FALSE)*$B14*(1+Contingency),0))</f>
        <v>0</v>
      </c>
      <c r="U14" s="94" t="e">
        <f>IF(Option2="No",0,IF($A14&lt;ImplementationYear,0,IF($A14&gt;(ImplementationYear+(Appraisal_Period-1)),0,('Project details'!$L$11-'Project details'!$D$11)*VLOOKUP(Year_cost_estimate,'Time-series parameters'!$B$11:$C$89,2,0))*$B14))</f>
        <v>#VALUE!</v>
      </c>
      <c r="V14" s="94">
        <f>IF(Option2="No",0,IF($A14=ImplementationYear,('Project details'!$L$12-'Project details'!$D$12)*VLOOKUP(Year_cost_estimate,'Time-series parameters'!$B$11:$C$89,2,FALSE)*$B14,0))</f>
        <v>0</v>
      </c>
      <c r="W14" s="97">
        <f>IF(Option2="No",0,IF($A14&lt;ImplementationYear,0,IF($A14&gt;(ImplementationYear+(Appraisal_Period-1)),0,Health!$E$21*$B14)))</f>
        <v>0</v>
      </c>
      <c r="X14" s="97">
        <f>IF(Option2="No",0,IF($A14&lt;ImplementationYear,0,IF($A14&gt;(ImplementationYear+(Appraisal_Period-1)),0,Health!$E$22*$B14)))</f>
        <v>0</v>
      </c>
      <c r="Y14" s="97">
        <f>IF(Option2="No",0,IF($A14&lt;ImplementationYear,0,IF($A14&gt;(ImplementationYear+(Appraisal_Period-1)),0,SUM('Travel time'!$E$22:$E$23)*$B14)))</f>
        <v>0</v>
      </c>
      <c r="Z14" s="97">
        <f>IF(Option2="No",0,IF($A14&lt;ImplementationYear,0,IF($A14&gt;(ImplementationYear+(Appraisal_Period-1)),0,SUM('Travel time'!$E$20:$E$21)*$B14)))</f>
        <v>0</v>
      </c>
      <c r="AA14" s="97">
        <f>IF(Option2="No",0,IF($A14&lt;ImplementationYear,0,IF($A14&gt;(ImplementationYear+(Appraisal_Period-1)),0,SUM(Quality!$E$22:$E$23)*$B14)))</f>
        <v>0</v>
      </c>
      <c r="AB14" s="97">
        <f>IF(Option2="No",0,IF($A14&lt;ImplementationYear,0,IF($A14&gt;(ImplementationYear+(Appraisal_Period-1)),0,SUM(Quality!$E$20:$E$21)*$B14)))</f>
        <v>0</v>
      </c>
      <c r="AC14" s="97">
        <f>IF(Option2="No",0,IF($A14&lt;ImplementationYear,0,IF($A14&gt;(ImplementationYear+(Appraisal_Period-1)),0,'Mode change'!$E$36*$B14)))</f>
        <v>0</v>
      </c>
      <c r="AD14" s="97">
        <f>IF(Option2="No",0,IF($A14&lt;ImplementationYear,0,IF($A14&gt;(ImplementationYear+(Appraisal_Period-1)),0,'Mode change'!$E$37*$B14)))</f>
        <v>0</v>
      </c>
      <c r="AE14" s="97">
        <f>IF(Option2="No",0,IF($A14&lt;ImplementationYear,0,IF($A14&gt;(ImplementationYear+(Appraisal_Period-1)),0,'Road safety'!$E$22*$B14)))</f>
        <v>0</v>
      </c>
      <c r="AF14" s="97">
        <f>IF(Option2="No",0,IF($A14&lt;ImplementationYear,0,IF($A14&gt;(ImplementationYear+(Appraisal_Period-1)),0,'Reduction in car usage'!$E$46*$B14)))</f>
        <v>0</v>
      </c>
      <c r="AG14" s="97">
        <f>IF(Option2="No",0,IF($A14&lt;ImplementationYear,0,IF($A14&gt;(ImplementationYear+(Appraisal_Period-1)),0,'Reduction in car usage'!$E$47*$B14)))</f>
        <v>0</v>
      </c>
      <c r="AH14" s="97">
        <f>IF(Option2="No",0,IF($A14&lt;ImplementationYear,0,IF($A14&gt;(ImplementationYear+(Appraisal_Period-1)),0,'Reduction in car usage'!$E$48*$B14)))</f>
        <v>0</v>
      </c>
      <c r="AJ14" s="94">
        <f>IF(Option3="No",0,IF($A14=ImplementationYear,('Project details'!$P$10-'Project details'!$D$10)*VLOOKUP(Year_cost_estimate,'Time-series parameters'!$B$11:$C$89,2,FALSE)*$B14*(1+Contingency),0))</f>
        <v>0</v>
      </c>
      <c r="AK14" s="94" t="e">
        <f>IF(Option3="No",0,IF($A14&lt;ImplementationYear,0,IF($A14&gt;(ImplementationYear+(Appraisal_Period-1)),0,('Project details'!$P$11-'Project details'!$D$11)*VLOOKUP(Year_cost_estimate,'Time-series parameters'!$B$11:$C$89,2,0))*$B14))</f>
        <v>#VALUE!</v>
      </c>
      <c r="AL14" s="94">
        <f>IF(Option3="No",0,IF($A14=ImplementationYear,('Project details'!$P$12-'Project details'!$D$12)*VLOOKUP(Year_cost_estimate,'Time-series parameters'!$B$11:$C$89,2,FALSE)*$B14,0))</f>
        <v>0</v>
      </c>
      <c r="AM14" s="97">
        <f>IF(Option3="No",0,IF($A14&lt;ImplementationYear,0,IF($A14&gt;(ImplementationYear+(Appraisal_Period-1)),0,Health!$F$21*$B14)))</f>
        <v>0</v>
      </c>
      <c r="AN14" s="97">
        <f>IF(Option3="No",0,IF($A14&lt;ImplementationYear,0,IF($A14&gt;(ImplementationYear+(Appraisal_Period-1)),0,Health!$F$22*$B14)))</f>
        <v>0</v>
      </c>
      <c r="AO14" s="97">
        <f>IF(Option3="No",0,IF($A14&lt;ImplementationYear,0,IF($A14&gt;(ImplementationYear+(Appraisal_Period-1)),0,SUM('Travel time'!$F$22:$F$23)*$B14)))</f>
        <v>0</v>
      </c>
      <c r="AP14" s="97">
        <f>IF(Option3="No",0,IF($A14&lt;ImplementationYear,0,IF($A14&gt;(ImplementationYear+(Appraisal_Period-1)),0,SUM('Travel time'!$F$20:$F$21)*$B14)))</f>
        <v>0</v>
      </c>
      <c r="AQ14" s="97">
        <f>IF(Option3="No",0,IF($A14&lt;ImplementationYear,0,IF($A14&gt;(ImplementationYear+(Appraisal_Period-1)),0,SUM(Quality!$F$22:$F$23)*$B14)))</f>
        <v>0</v>
      </c>
      <c r="AR14" s="97">
        <f>IF(Option3="No",0,IF($A14&lt;ImplementationYear,0,IF($A14&gt;(ImplementationYear+(Appraisal_Period-1)),0,SUM(Quality!$F$20:$F$21)*$B14)))</f>
        <v>0</v>
      </c>
      <c r="AS14" s="97">
        <f>IF(Option3="No",0,IF($A14&lt;ImplementationYear,0,IF($A14&gt;(ImplementationYear+(Appraisal_Period-1)),0,'Mode change'!$F$36*$B14)))</f>
        <v>0</v>
      </c>
      <c r="AT14" s="97">
        <f>IF(Option3="No",0,IF($A14&lt;ImplementationYear,0,IF($A14&gt;(ImplementationYear+(Appraisal_Period-1)),0,'Mode change'!$F$37*$B14)))</f>
        <v>0</v>
      </c>
      <c r="AU14" s="97">
        <f>IF(Option3="No",0,IF($A14&lt;ImplementationYear,0,IF($A14&gt;(ImplementationYear+(Appraisal_Period-1)),0,'Road safety'!$F$22*$B14)))</f>
        <v>0</v>
      </c>
      <c r="AV14" s="97">
        <f>IF(Option3="No",0,IF($A14&lt;ImplementationYear,0,IF($A14&gt;(ImplementationYear+(Appraisal_Period-1)),0,'Reduction in car usage'!$F$46*$B14)))</f>
        <v>0</v>
      </c>
      <c r="AW14" s="97">
        <f>IF(Option3="No",0,IF($A14&lt;ImplementationYear,0,IF($A14&gt;(ImplementationYear+(Appraisal_Period-1)),0,'Reduction in car usage'!$F$47*$B14)))</f>
        <v>0</v>
      </c>
      <c r="AX14" s="97">
        <f>IF(Option3="No",0,IF($A14&lt;ImplementationYear,0,IF($A14&gt;(ImplementationYear+(Appraisal_Period-1)),0,'Reduction in car usage'!$F$48*$B14)))</f>
        <v>0</v>
      </c>
    </row>
    <row r="15" spans="1:50">
      <c r="A15" s="335">
        <v>2010</v>
      </c>
      <c r="B15" s="62" t="str">
        <f>VLOOKUP($A15,'Time-series parameters'!$E$11:$H$89,3,FALSE)</f>
        <v/>
      </c>
      <c r="C15" s="89"/>
      <c r="D15" s="94">
        <f>IF(Option1="No",0,IF($A15=ImplementationYear,('Project details'!$H$10-'Project details'!$D$10)*VLOOKUP(Year_cost_estimate,'Time-series parameters'!$B$11:$C$89,2,FALSE)*$B15*(1+Contingency),0))</f>
        <v>0</v>
      </c>
      <c r="E15" s="94" t="e">
        <f>IF(Option1="No",0,IF($A15&lt;ImplementationYear,0,IF($A15&gt;(ImplementationYear+(Appraisal_Period-1)),0,('Project details'!$H$11-'Project details'!$D$11)*VLOOKUP(Year_cost_estimate,'Time-series parameters'!$B$11:$C$89,2,0))*$B15))</f>
        <v>#VALUE!</v>
      </c>
      <c r="F15" s="94">
        <f>IF(Option1="No",0,IF($A15=ImplementationYear,('Project details'!$H$12-'Project details'!$D$12)*VLOOKUP(Year_cost_estimate,'Time-series parameters'!$B$11:$C$89,2,FALSE)*$B15,0))</f>
        <v>0</v>
      </c>
      <c r="G15" s="97">
        <f>IF(Option1="No",0,IF($A15&lt;ImplementationYear,0,IF($A15&gt;(ImplementationYear+(Appraisal_Period-1)),0,Health!$D$21*$B15)))</f>
        <v>0</v>
      </c>
      <c r="H15" s="97">
        <f>IF(Option1="No",0,IF($A15&lt;ImplementationYear,0,IF($A15&gt;(ImplementationYear+(Appraisal_Period-1)),0,Health!$D$22*$B15)))</f>
        <v>0</v>
      </c>
      <c r="I15" s="97">
        <f>IF(Option1="No",0,IF($A15&lt;ImplementationYear,0,IF($A15&gt;(ImplementationYear+(Appraisal_Period-1)),0,SUM('Travel time'!$D$22:$D$23)*$B15)))</f>
        <v>0</v>
      </c>
      <c r="J15" s="97">
        <f>IF(Option1="No",0,IF($A15&lt;ImplementationYear,0,IF($A15&gt;(ImplementationYear+(Appraisal_Period-1)),0,SUM('Travel time'!$D$20:$D$21)*$B15)))</f>
        <v>0</v>
      </c>
      <c r="K15" s="97">
        <f>IF(Option1="No",0,IF($A15&lt;ImplementationYear,0,IF($A15&gt;(ImplementationYear+(Appraisal_Period-1)),0,SUM(Quality!$D$22:$D$23)*$B15)))</f>
        <v>0</v>
      </c>
      <c r="L15" s="97">
        <f>IF(Option1="No",0,IF($A15&lt;ImplementationYear,0,IF($A15&gt;(ImplementationYear+(Appraisal_Period-1)),0,SUM(Quality!$D$20:$D$21)*$B15)))</f>
        <v>0</v>
      </c>
      <c r="M15" s="97">
        <f>IF(Option1="No",0,IF($A15&lt;ImplementationYear,0,IF($A15&gt;(ImplementationYear+(Appraisal_Period-1)),0,'Mode change'!$D$36*$B15)))</f>
        <v>0</v>
      </c>
      <c r="N15" s="97">
        <f>IF(Option1="No",0,IF($A15&lt;ImplementationYear,0,IF($A15&gt;(ImplementationYear+(Appraisal_Period-1)),0,'Mode change'!$D$37*$B15)))</f>
        <v>0</v>
      </c>
      <c r="O15" s="97">
        <f>IF(Option1="No",0,IF($A15&lt;ImplementationYear,0,IF($A15&gt;(ImplementationYear+(Appraisal_Period-1)),0,'Road safety'!$D$22*$B15)))</f>
        <v>0</v>
      </c>
      <c r="P15" s="97">
        <f>IF(Option1="No",0,IF($A15&lt;ImplementationYear,0,IF($A15&gt;(ImplementationYear+(Appraisal_Period-1)),0,'Reduction in car usage'!$D$46*$B15)))</f>
        <v>0</v>
      </c>
      <c r="Q15" s="97">
        <f>IF(Option1="No",0,IF($A15&lt;ImplementationYear,0,IF($A15&gt;(ImplementationYear+(Appraisal_Period-1)),0,'Reduction in car usage'!$D$47*$B15)))</f>
        <v>0</v>
      </c>
      <c r="R15" s="97">
        <f>IF(Option1="No",0,IF($A15&lt;ImplementationYear,0,IF($A15&gt;(ImplementationYear+(Appraisal_Period-1)),0,'Reduction in car usage'!$D$48*$B15)))</f>
        <v>0</v>
      </c>
      <c r="S15" s="92"/>
      <c r="T15" s="94">
        <f>IF(Option2="No",0,IF($A15=ImplementationYear,('Project details'!$L$10-'Project details'!$D$10)*VLOOKUP(Year_cost_estimate,'Time-series parameters'!$B$11:$C$89,2,FALSE)*$B15*(1+Contingency),0))</f>
        <v>0</v>
      </c>
      <c r="U15" s="94" t="e">
        <f>IF(Option2="No",0,IF($A15&lt;ImplementationYear,0,IF($A15&gt;(ImplementationYear+(Appraisal_Period-1)),0,('Project details'!$L$11-'Project details'!$D$11)*VLOOKUP(Year_cost_estimate,'Time-series parameters'!$B$11:$C$89,2,0))*$B15))</f>
        <v>#VALUE!</v>
      </c>
      <c r="V15" s="94">
        <f>IF(Option2="No",0,IF($A15=ImplementationYear,('Project details'!$L$12-'Project details'!$D$12)*VLOOKUP(Year_cost_estimate,'Time-series parameters'!$B$11:$C$89,2,FALSE)*$B15,0))</f>
        <v>0</v>
      </c>
      <c r="W15" s="97">
        <f>IF(Option2="No",0,IF($A15&lt;ImplementationYear,0,IF($A15&gt;(ImplementationYear+(Appraisal_Period-1)),0,Health!$E$21*$B15)))</f>
        <v>0</v>
      </c>
      <c r="X15" s="97">
        <f>IF(Option2="No",0,IF($A15&lt;ImplementationYear,0,IF($A15&gt;(ImplementationYear+(Appraisal_Period-1)),0,Health!$E$22*$B15)))</f>
        <v>0</v>
      </c>
      <c r="Y15" s="97">
        <f>IF(Option2="No",0,IF($A15&lt;ImplementationYear,0,IF($A15&gt;(ImplementationYear+(Appraisal_Period-1)),0,SUM('Travel time'!$E$22:$E$23)*$B15)))</f>
        <v>0</v>
      </c>
      <c r="Z15" s="97">
        <f>IF(Option2="No",0,IF($A15&lt;ImplementationYear,0,IF($A15&gt;(ImplementationYear+(Appraisal_Period-1)),0,SUM('Travel time'!$E$20:$E$21)*$B15)))</f>
        <v>0</v>
      </c>
      <c r="AA15" s="97">
        <f>IF(Option2="No",0,IF($A15&lt;ImplementationYear,0,IF($A15&gt;(ImplementationYear+(Appraisal_Period-1)),0,SUM(Quality!$E$22:$E$23)*$B15)))</f>
        <v>0</v>
      </c>
      <c r="AB15" s="97">
        <f>IF(Option2="No",0,IF($A15&lt;ImplementationYear,0,IF($A15&gt;(ImplementationYear+(Appraisal_Period-1)),0,SUM(Quality!$E$20:$E$21)*$B15)))</f>
        <v>0</v>
      </c>
      <c r="AC15" s="97">
        <f>IF(Option2="No",0,IF($A15&lt;ImplementationYear,0,IF($A15&gt;(ImplementationYear+(Appraisal_Period-1)),0,'Mode change'!$E$36*$B15)))</f>
        <v>0</v>
      </c>
      <c r="AD15" s="97">
        <f>IF(Option2="No",0,IF($A15&lt;ImplementationYear,0,IF($A15&gt;(ImplementationYear+(Appraisal_Period-1)),0,'Mode change'!$E$37*$B15)))</f>
        <v>0</v>
      </c>
      <c r="AE15" s="97">
        <f>IF(Option2="No",0,IF($A15&lt;ImplementationYear,0,IF($A15&gt;(ImplementationYear+(Appraisal_Period-1)),0,'Road safety'!$E$22*$B15)))</f>
        <v>0</v>
      </c>
      <c r="AF15" s="97">
        <f>IF(Option2="No",0,IF($A15&lt;ImplementationYear,0,IF($A15&gt;(ImplementationYear+(Appraisal_Period-1)),0,'Reduction in car usage'!$E$46*$B15)))</f>
        <v>0</v>
      </c>
      <c r="AG15" s="97">
        <f>IF(Option2="No",0,IF($A15&lt;ImplementationYear,0,IF($A15&gt;(ImplementationYear+(Appraisal_Period-1)),0,'Reduction in car usage'!$E$47*$B15)))</f>
        <v>0</v>
      </c>
      <c r="AH15" s="97">
        <f>IF(Option2="No",0,IF($A15&lt;ImplementationYear,0,IF($A15&gt;(ImplementationYear+(Appraisal_Period-1)),0,'Reduction in car usage'!$E$48*$B15)))</f>
        <v>0</v>
      </c>
      <c r="AJ15" s="94">
        <f>IF(Option3="No",0,IF($A15=ImplementationYear,('Project details'!$P$10-'Project details'!$D$10)*VLOOKUP(Year_cost_estimate,'Time-series parameters'!$B$11:$C$89,2,FALSE)*$B15*(1+Contingency),0))</f>
        <v>0</v>
      </c>
      <c r="AK15" s="94" t="e">
        <f>IF(Option3="No",0,IF($A15&lt;ImplementationYear,0,IF($A15&gt;(ImplementationYear+(Appraisal_Period-1)),0,('Project details'!$P$11-'Project details'!$D$11)*VLOOKUP(Year_cost_estimate,'Time-series parameters'!$B$11:$C$89,2,0))*$B15))</f>
        <v>#VALUE!</v>
      </c>
      <c r="AL15" s="94">
        <f>IF(Option3="No",0,IF($A15=ImplementationYear,('Project details'!$P$12-'Project details'!$D$12)*VLOOKUP(Year_cost_estimate,'Time-series parameters'!$B$11:$C$89,2,FALSE)*$B15,0))</f>
        <v>0</v>
      </c>
      <c r="AM15" s="97">
        <f>IF(Option3="No",0,IF($A15&lt;ImplementationYear,0,IF($A15&gt;(ImplementationYear+(Appraisal_Period-1)),0,Health!$F$21*$B15)))</f>
        <v>0</v>
      </c>
      <c r="AN15" s="97">
        <f>IF(Option3="No",0,IF($A15&lt;ImplementationYear,0,IF($A15&gt;(ImplementationYear+(Appraisal_Period-1)),0,Health!$F$22*$B15)))</f>
        <v>0</v>
      </c>
      <c r="AO15" s="97">
        <f>IF(Option3="No",0,IF($A15&lt;ImplementationYear,0,IF($A15&gt;(ImplementationYear+(Appraisal_Period-1)),0,SUM('Travel time'!$F$22:$F$23)*$B15)))</f>
        <v>0</v>
      </c>
      <c r="AP15" s="97">
        <f>IF(Option3="No",0,IF($A15&lt;ImplementationYear,0,IF($A15&gt;(ImplementationYear+(Appraisal_Period-1)),0,SUM('Travel time'!$F$20:$F$21)*$B15)))</f>
        <v>0</v>
      </c>
      <c r="AQ15" s="97">
        <f>IF(Option3="No",0,IF($A15&lt;ImplementationYear,0,IF($A15&gt;(ImplementationYear+(Appraisal_Period-1)),0,SUM(Quality!$F$22:$F$23)*$B15)))</f>
        <v>0</v>
      </c>
      <c r="AR15" s="97">
        <f>IF(Option3="No",0,IF($A15&lt;ImplementationYear,0,IF($A15&gt;(ImplementationYear+(Appraisal_Period-1)),0,SUM(Quality!$F$20:$F$21)*$B15)))</f>
        <v>0</v>
      </c>
      <c r="AS15" s="97">
        <f>IF(Option3="No",0,IF($A15&lt;ImplementationYear,0,IF($A15&gt;(ImplementationYear+(Appraisal_Period-1)),0,'Mode change'!$F$36*$B15)))</f>
        <v>0</v>
      </c>
      <c r="AT15" s="97">
        <f>IF(Option3="No",0,IF($A15&lt;ImplementationYear,0,IF($A15&gt;(ImplementationYear+(Appraisal_Period-1)),0,'Mode change'!$F$37*$B15)))</f>
        <v>0</v>
      </c>
      <c r="AU15" s="97">
        <f>IF(Option3="No",0,IF($A15&lt;ImplementationYear,0,IF($A15&gt;(ImplementationYear+(Appraisal_Period-1)),0,'Road safety'!$F$22*$B15)))</f>
        <v>0</v>
      </c>
      <c r="AV15" s="97">
        <f>IF(Option3="No",0,IF($A15&lt;ImplementationYear,0,IF($A15&gt;(ImplementationYear+(Appraisal_Period-1)),0,'Reduction in car usage'!$F$46*$B15)))</f>
        <v>0</v>
      </c>
      <c r="AW15" s="97">
        <f>IF(Option3="No",0,IF($A15&lt;ImplementationYear,0,IF($A15&gt;(ImplementationYear+(Appraisal_Period-1)),0,'Reduction in car usage'!$F$47*$B15)))</f>
        <v>0</v>
      </c>
      <c r="AX15" s="97">
        <f>IF(Option3="No",0,IF($A15&lt;ImplementationYear,0,IF($A15&gt;(ImplementationYear+(Appraisal_Period-1)),0,'Reduction in car usage'!$F$48*$B15)))</f>
        <v>0</v>
      </c>
    </row>
    <row r="16" spans="1:50">
      <c r="A16" s="335">
        <v>2011</v>
      </c>
      <c r="B16" s="62">
        <f>VLOOKUP($A16,'Time-series parameters'!$E$11:$H$89,3,FALSE)</f>
        <v>1</v>
      </c>
      <c r="C16" s="89"/>
      <c r="D16" s="94">
        <f>IF(Option1="No",0,IF($A16=ImplementationYear,('Project details'!$H$10-'Project details'!$D$10)*VLOOKUP(Year_cost_estimate,'Time-series parameters'!$B$11:$C$89,2,FALSE)*$B16*(1+Contingency),0))</f>
        <v>0</v>
      </c>
      <c r="E16" s="94">
        <f>IF(Option1="No",0,IF($A16&lt;ImplementationYear,0,IF($A16&gt;(ImplementationYear+(Appraisal_Period-1)),0,('Project details'!$H$11-'Project details'!$D$11)*VLOOKUP(Year_cost_estimate,'Time-series parameters'!$B$11:$C$89,2,0))*$B16))</f>
        <v>0</v>
      </c>
      <c r="F16" s="94">
        <f>IF(Option1="No",0,IF($A16=ImplementationYear,('Project details'!$H$12-'Project details'!$D$12)*VLOOKUP(Year_cost_estimate,'Time-series parameters'!$B$11:$C$89,2,FALSE)*$B16,0))</f>
        <v>0</v>
      </c>
      <c r="G16" s="97">
        <f>IF(Option1="No",0,IF($A16&lt;ImplementationYear,0,IF($A16&gt;(ImplementationYear+(Appraisal_Period-1)),0,Health!$D$21*$B16)))</f>
        <v>0</v>
      </c>
      <c r="H16" s="97">
        <f>IF(Option1="No",0,IF($A16&lt;ImplementationYear,0,IF($A16&gt;(ImplementationYear+(Appraisal_Period-1)),0,Health!$D$22*$B16)))</f>
        <v>0</v>
      </c>
      <c r="I16" s="97">
        <f>IF(Option1="No",0,IF($A16&lt;ImplementationYear,0,IF($A16&gt;(ImplementationYear+(Appraisal_Period-1)),0,SUM('Travel time'!$D$22:$D$23)*$B16)))</f>
        <v>0</v>
      </c>
      <c r="J16" s="97">
        <f>IF(Option1="No",0,IF($A16&lt;ImplementationYear,0,IF($A16&gt;(ImplementationYear+(Appraisal_Period-1)),0,SUM('Travel time'!$D$20:$D$21)*$B16)))</f>
        <v>0</v>
      </c>
      <c r="K16" s="97">
        <f>IF(Option1="No",0,IF($A16&lt;ImplementationYear,0,IF($A16&gt;(ImplementationYear+(Appraisal_Period-1)),0,SUM(Quality!$D$22:$D$23)*$B16)))</f>
        <v>0</v>
      </c>
      <c r="L16" s="97">
        <f>IF(Option1="No",0,IF($A16&lt;ImplementationYear,0,IF($A16&gt;(ImplementationYear+(Appraisal_Period-1)),0,SUM(Quality!$D$20:$D$21)*$B16)))</f>
        <v>0</v>
      </c>
      <c r="M16" s="97">
        <f>IF(Option1="No",0,IF($A16&lt;ImplementationYear,0,IF($A16&gt;(ImplementationYear+(Appraisal_Period-1)),0,'Mode change'!$D$36*$B16)))</f>
        <v>0</v>
      </c>
      <c r="N16" s="97">
        <f>IF(Option1="No",0,IF($A16&lt;ImplementationYear,0,IF($A16&gt;(ImplementationYear+(Appraisal_Period-1)),0,'Mode change'!$D$37*$B16)))</f>
        <v>0</v>
      </c>
      <c r="O16" s="97">
        <f>IF(Option1="No",0,IF($A16&lt;ImplementationYear,0,IF($A16&gt;(ImplementationYear+(Appraisal_Period-1)),0,'Road safety'!$D$22*$B16)))</f>
        <v>0</v>
      </c>
      <c r="P16" s="97">
        <f>IF(Option1="No",0,IF($A16&lt;ImplementationYear,0,IF($A16&gt;(ImplementationYear+(Appraisal_Period-1)),0,'Reduction in car usage'!$D$46*$B16)))</f>
        <v>0</v>
      </c>
      <c r="Q16" s="97">
        <f>IF(Option1="No",0,IF($A16&lt;ImplementationYear,0,IF($A16&gt;(ImplementationYear+(Appraisal_Period-1)),0,'Reduction in car usage'!$D$47*$B16)))</f>
        <v>0</v>
      </c>
      <c r="R16" s="97">
        <f>IF(Option1="No",0,IF($A16&lt;ImplementationYear,0,IF($A16&gt;(ImplementationYear+(Appraisal_Period-1)),0,'Reduction in car usage'!$D$48*$B16)))</f>
        <v>0</v>
      </c>
      <c r="S16" s="92"/>
      <c r="T16" s="94">
        <f>IF(Option2="No",0,IF($A16=ImplementationYear,('Project details'!$L$10-'Project details'!$D$10)*VLOOKUP(Year_cost_estimate,'Time-series parameters'!$B$11:$C$89,2,FALSE)*$B16*(1+Contingency),0))</f>
        <v>0</v>
      </c>
      <c r="U16" s="94">
        <f>IF(Option2="No",0,IF($A16&lt;ImplementationYear,0,IF($A16&gt;(ImplementationYear+(Appraisal_Period-1)),0,('Project details'!$L$11-'Project details'!$D$11)*VLOOKUP(Year_cost_estimate,'Time-series parameters'!$B$11:$C$89,2,0))*$B16))</f>
        <v>0</v>
      </c>
      <c r="V16" s="94">
        <f>IF(Option2="No",0,IF($A16=ImplementationYear,('Project details'!$L$12-'Project details'!$D$12)*VLOOKUP(Year_cost_estimate,'Time-series parameters'!$B$11:$C$89,2,FALSE)*$B16,0))</f>
        <v>0</v>
      </c>
      <c r="W16" s="97">
        <f>IF(Option2="No",0,IF($A16&lt;ImplementationYear,0,IF($A16&gt;(ImplementationYear+(Appraisal_Period-1)),0,Health!$E$21*$B16)))</f>
        <v>0</v>
      </c>
      <c r="X16" s="97">
        <f>IF(Option2="No",0,IF($A16&lt;ImplementationYear,0,IF($A16&gt;(ImplementationYear+(Appraisal_Period-1)),0,Health!$E$22*$B16)))</f>
        <v>0</v>
      </c>
      <c r="Y16" s="97">
        <f>IF(Option2="No",0,IF($A16&lt;ImplementationYear,0,IF($A16&gt;(ImplementationYear+(Appraisal_Period-1)),0,SUM('Travel time'!$E$22:$E$23)*$B16)))</f>
        <v>0</v>
      </c>
      <c r="Z16" s="97">
        <f>IF(Option2="No",0,IF($A16&lt;ImplementationYear,0,IF($A16&gt;(ImplementationYear+(Appraisal_Period-1)),0,SUM('Travel time'!$E$20:$E$21)*$B16)))</f>
        <v>0</v>
      </c>
      <c r="AA16" s="97">
        <f>IF(Option2="No",0,IF($A16&lt;ImplementationYear,0,IF($A16&gt;(ImplementationYear+(Appraisal_Period-1)),0,SUM(Quality!$E$22:$E$23)*$B16)))</f>
        <v>0</v>
      </c>
      <c r="AB16" s="97">
        <f>IF(Option2="No",0,IF($A16&lt;ImplementationYear,0,IF($A16&gt;(ImplementationYear+(Appraisal_Period-1)),0,SUM(Quality!$E$20:$E$21)*$B16)))</f>
        <v>0</v>
      </c>
      <c r="AC16" s="97">
        <f>IF(Option2="No",0,IF($A16&lt;ImplementationYear,0,IF($A16&gt;(ImplementationYear+(Appraisal_Period-1)),0,'Mode change'!$E$36*$B16)))</f>
        <v>0</v>
      </c>
      <c r="AD16" s="97">
        <f>IF(Option2="No",0,IF($A16&lt;ImplementationYear,0,IF($A16&gt;(ImplementationYear+(Appraisal_Period-1)),0,'Mode change'!$E$37*$B16)))</f>
        <v>0</v>
      </c>
      <c r="AE16" s="97">
        <f>IF(Option2="No",0,IF($A16&lt;ImplementationYear,0,IF($A16&gt;(ImplementationYear+(Appraisal_Period-1)),0,'Road safety'!$E$22*$B16)))</f>
        <v>0</v>
      </c>
      <c r="AF16" s="97">
        <f>IF(Option2="No",0,IF($A16&lt;ImplementationYear,0,IF($A16&gt;(ImplementationYear+(Appraisal_Period-1)),0,'Reduction in car usage'!$E$46*$B16)))</f>
        <v>0</v>
      </c>
      <c r="AG16" s="97">
        <f>IF(Option2="No",0,IF($A16&lt;ImplementationYear,0,IF($A16&gt;(ImplementationYear+(Appraisal_Period-1)),0,'Reduction in car usage'!$E$47*$B16)))</f>
        <v>0</v>
      </c>
      <c r="AH16" s="97">
        <f>IF(Option2="No",0,IF($A16&lt;ImplementationYear,0,IF($A16&gt;(ImplementationYear+(Appraisal_Period-1)),0,'Reduction in car usage'!$E$48*$B16)))</f>
        <v>0</v>
      </c>
      <c r="AJ16" s="94">
        <f>IF(Option3="No",0,IF($A16=ImplementationYear,('Project details'!$P$10-'Project details'!$D$10)*VLOOKUP(Year_cost_estimate,'Time-series parameters'!$B$11:$C$89,2,FALSE)*$B16*(1+Contingency),0))</f>
        <v>0</v>
      </c>
      <c r="AK16" s="94">
        <f>IF(Option3="No",0,IF($A16&lt;ImplementationYear,0,IF($A16&gt;(ImplementationYear+(Appraisal_Period-1)),0,('Project details'!$P$11-'Project details'!$D$11)*VLOOKUP(Year_cost_estimate,'Time-series parameters'!$B$11:$C$89,2,0))*$B16))</f>
        <v>0</v>
      </c>
      <c r="AL16" s="94">
        <f>IF(Option3="No",0,IF($A16=ImplementationYear,('Project details'!$P$12-'Project details'!$D$12)*VLOOKUP(Year_cost_estimate,'Time-series parameters'!$B$11:$C$89,2,FALSE)*$B16,0))</f>
        <v>0</v>
      </c>
      <c r="AM16" s="97">
        <f>IF(Option3="No",0,IF($A16&lt;ImplementationYear,0,IF($A16&gt;(ImplementationYear+(Appraisal_Period-1)),0,Health!$F$21*$B16)))</f>
        <v>0</v>
      </c>
      <c r="AN16" s="97">
        <f>IF(Option3="No",0,IF($A16&lt;ImplementationYear,0,IF($A16&gt;(ImplementationYear+(Appraisal_Period-1)),0,Health!$F$22*$B16)))</f>
        <v>0</v>
      </c>
      <c r="AO16" s="97">
        <f>IF(Option3="No",0,IF($A16&lt;ImplementationYear,0,IF($A16&gt;(ImplementationYear+(Appraisal_Period-1)),0,SUM('Travel time'!$F$22:$F$23)*$B16)))</f>
        <v>0</v>
      </c>
      <c r="AP16" s="97">
        <f>IF(Option3="No",0,IF($A16&lt;ImplementationYear,0,IF($A16&gt;(ImplementationYear+(Appraisal_Period-1)),0,SUM('Travel time'!$F$20:$F$21)*$B16)))</f>
        <v>0</v>
      </c>
      <c r="AQ16" s="97">
        <f>IF(Option3="No",0,IF($A16&lt;ImplementationYear,0,IF($A16&gt;(ImplementationYear+(Appraisal_Period-1)),0,SUM(Quality!$F$22:$F$23)*$B16)))</f>
        <v>0</v>
      </c>
      <c r="AR16" s="97">
        <f>IF(Option3="No",0,IF($A16&lt;ImplementationYear,0,IF($A16&gt;(ImplementationYear+(Appraisal_Period-1)),0,SUM(Quality!$F$20:$F$21)*$B16)))</f>
        <v>0</v>
      </c>
      <c r="AS16" s="97">
        <f>IF(Option3="No",0,IF($A16&lt;ImplementationYear,0,IF($A16&gt;(ImplementationYear+(Appraisal_Period-1)),0,'Mode change'!$F$36*$B16)))</f>
        <v>0</v>
      </c>
      <c r="AT16" s="97">
        <f>IF(Option3="No",0,IF($A16&lt;ImplementationYear,0,IF($A16&gt;(ImplementationYear+(Appraisal_Period-1)),0,'Mode change'!$F$37*$B16)))</f>
        <v>0</v>
      </c>
      <c r="AU16" s="97">
        <f>IF(Option3="No",0,IF($A16&lt;ImplementationYear,0,IF($A16&gt;(ImplementationYear+(Appraisal_Period-1)),0,'Road safety'!$F$22*$B16)))</f>
        <v>0</v>
      </c>
      <c r="AV16" s="97">
        <f>IF(Option3="No",0,IF($A16&lt;ImplementationYear,0,IF($A16&gt;(ImplementationYear+(Appraisal_Period-1)),0,'Reduction in car usage'!$F$46*$B16)))</f>
        <v>0</v>
      </c>
      <c r="AW16" s="97">
        <f>IF(Option3="No",0,IF($A16&lt;ImplementationYear,0,IF($A16&gt;(ImplementationYear+(Appraisal_Period-1)),0,'Reduction in car usage'!$F$47*$B16)))</f>
        <v>0</v>
      </c>
      <c r="AX16" s="97">
        <f>IF(Option3="No",0,IF($A16&lt;ImplementationYear,0,IF($A16&gt;(ImplementationYear+(Appraisal_Period-1)),0,'Reduction in car usage'!$F$48*$B16)))</f>
        <v>0</v>
      </c>
    </row>
    <row r="17" spans="1:50">
      <c r="A17" s="335">
        <v>2012</v>
      </c>
      <c r="B17" s="62">
        <f>VLOOKUP($A17,'Time-series parameters'!$E$11:$H$89,3,FALSE)</f>
        <v>0.94</v>
      </c>
      <c r="C17" s="89"/>
      <c r="D17" s="94">
        <f>IF(Option1="No",0,IF($A17=ImplementationYear,('Project details'!$H$10-'Project details'!$D$10)*VLOOKUP(Year_cost_estimate,'Time-series parameters'!$B$11:$C$89,2,FALSE)*$B17*(1+Contingency),0))</f>
        <v>0</v>
      </c>
      <c r="E17" s="94">
        <f>IF(Option1="No",0,IF($A17&lt;ImplementationYear,0,IF($A17&gt;(ImplementationYear+(Appraisal_Period-1)),0,('Project details'!$H$11-'Project details'!$D$11)*VLOOKUP(Year_cost_estimate,'Time-series parameters'!$B$11:$C$89,2,0))*$B17))</f>
        <v>0</v>
      </c>
      <c r="F17" s="94">
        <f>IF(Option1="No",0,IF($A17=ImplementationYear,('Project details'!$H$12-'Project details'!$D$12)*VLOOKUP(Year_cost_estimate,'Time-series parameters'!$B$11:$C$89,2,FALSE)*$B17,0))</f>
        <v>0</v>
      </c>
      <c r="G17" s="97">
        <f>IF(Option1="No",0,IF($A17&lt;ImplementationYear,0,IF($A17&gt;(ImplementationYear+(Appraisal_Period-1)),0,Health!$D$21*$B17)))</f>
        <v>0</v>
      </c>
      <c r="H17" s="97">
        <f>IF(Option1="No",0,IF($A17&lt;ImplementationYear,0,IF($A17&gt;(ImplementationYear+(Appraisal_Period-1)),0,Health!$D$22*$B17)))</f>
        <v>0</v>
      </c>
      <c r="I17" s="97">
        <f>IF(Option1="No",0,IF($A17&lt;ImplementationYear,0,IF($A17&gt;(ImplementationYear+(Appraisal_Period-1)),0,SUM('Travel time'!$D$22:$D$23)*$B17)))</f>
        <v>0</v>
      </c>
      <c r="J17" s="97">
        <f>IF(Option1="No",0,IF($A17&lt;ImplementationYear,0,IF($A17&gt;(ImplementationYear+(Appraisal_Period-1)),0,SUM('Travel time'!$D$20:$D$21)*$B17)))</f>
        <v>0</v>
      </c>
      <c r="K17" s="97">
        <f>IF(Option1="No",0,IF($A17&lt;ImplementationYear,0,IF($A17&gt;(ImplementationYear+(Appraisal_Period-1)),0,SUM(Quality!$D$22:$D$23)*$B17)))</f>
        <v>0</v>
      </c>
      <c r="L17" s="97">
        <f>IF(Option1="No",0,IF($A17&lt;ImplementationYear,0,IF($A17&gt;(ImplementationYear+(Appraisal_Period-1)),0,SUM(Quality!$D$20:$D$21)*$B17)))</f>
        <v>0</v>
      </c>
      <c r="M17" s="97">
        <f>IF(Option1="No",0,IF($A17&lt;ImplementationYear,0,IF($A17&gt;(ImplementationYear+(Appraisal_Period-1)),0,'Mode change'!$D$36*$B17)))</f>
        <v>0</v>
      </c>
      <c r="N17" s="97">
        <f>IF(Option1="No",0,IF($A17&lt;ImplementationYear,0,IF($A17&gt;(ImplementationYear+(Appraisal_Period-1)),0,'Mode change'!$D$37*$B17)))</f>
        <v>0</v>
      </c>
      <c r="O17" s="97">
        <f>IF(Option1="No",0,IF($A17&lt;ImplementationYear,0,IF($A17&gt;(ImplementationYear+(Appraisal_Period-1)),0,'Road safety'!$D$22*$B17)))</f>
        <v>0</v>
      </c>
      <c r="P17" s="97">
        <f>IF(Option1="No",0,IF($A17&lt;ImplementationYear,0,IF($A17&gt;(ImplementationYear+(Appraisal_Period-1)),0,'Reduction in car usage'!$D$46*$B17)))</f>
        <v>0</v>
      </c>
      <c r="Q17" s="97">
        <f>IF(Option1="No",0,IF($A17&lt;ImplementationYear,0,IF($A17&gt;(ImplementationYear+(Appraisal_Period-1)),0,'Reduction in car usage'!$D$47*$B17)))</f>
        <v>0</v>
      </c>
      <c r="R17" s="97">
        <f>IF(Option1="No",0,IF($A17&lt;ImplementationYear,0,IF($A17&gt;(ImplementationYear+(Appraisal_Period-1)),0,'Reduction in car usage'!$D$48*$B17)))</f>
        <v>0</v>
      </c>
      <c r="S17" s="92"/>
      <c r="T17" s="94">
        <f>IF(Option2="No",0,IF($A17=ImplementationYear,('Project details'!$L$10-'Project details'!$D$10)*VLOOKUP(Year_cost_estimate,'Time-series parameters'!$B$11:$C$89,2,FALSE)*$B17*(1+Contingency),0))</f>
        <v>0</v>
      </c>
      <c r="U17" s="94">
        <f>IF(Option2="No",0,IF($A17&lt;ImplementationYear,0,IF($A17&gt;(ImplementationYear+(Appraisal_Period-1)),0,('Project details'!$L$11-'Project details'!$D$11)*VLOOKUP(Year_cost_estimate,'Time-series parameters'!$B$11:$C$89,2,0))*$B17))</f>
        <v>0</v>
      </c>
      <c r="V17" s="94">
        <f>IF(Option2="No",0,IF($A17=ImplementationYear,('Project details'!$L$12-'Project details'!$D$12)*VLOOKUP(Year_cost_estimate,'Time-series parameters'!$B$11:$C$89,2,FALSE)*$B17,0))</f>
        <v>0</v>
      </c>
      <c r="W17" s="97">
        <f>IF(Option2="No",0,IF($A17&lt;ImplementationYear,0,IF($A17&gt;(ImplementationYear+(Appraisal_Period-1)),0,Health!$E$21*$B17)))</f>
        <v>0</v>
      </c>
      <c r="X17" s="97">
        <f>IF(Option2="No",0,IF($A17&lt;ImplementationYear,0,IF($A17&gt;(ImplementationYear+(Appraisal_Period-1)),0,Health!$E$22*$B17)))</f>
        <v>0</v>
      </c>
      <c r="Y17" s="97">
        <f>IF(Option2="No",0,IF($A17&lt;ImplementationYear,0,IF($A17&gt;(ImplementationYear+(Appraisal_Period-1)),0,SUM('Travel time'!$E$22:$E$23)*$B17)))</f>
        <v>0</v>
      </c>
      <c r="Z17" s="97">
        <f>IF(Option2="No",0,IF($A17&lt;ImplementationYear,0,IF($A17&gt;(ImplementationYear+(Appraisal_Period-1)),0,SUM('Travel time'!$E$20:$E$21)*$B17)))</f>
        <v>0</v>
      </c>
      <c r="AA17" s="97">
        <f>IF(Option2="No",0,IF($A17&lt;ImplementationYear,0,IF($A17&gt;(ImplementationYear+(Appraisal_Period-1)),0,SUM(Quality!$E$22:$E$23)*$B17)))</f>
        <v>0</v>
      </c>
      <c r="AB17" s="97">
        <f>IF(Option2="No",0,IF($A17&lt;ImplementationYear,0,IF($A17&gt;(ImplementationYear+(Appraisal_Period-1)),0,SUM(Quality!$E$20:$E$21)*$B17)))</f>
        <v>0</v>
      </c>
      <c r="AC17" s="97">
        <f>IF(Option2="No",0,IF($A17&lt;ImplementationYear,0,IF($A17&gt;(ImplementationYear+(Appraisal_Period-1)),0,'Mode change'!$E$36*$B17)))</f>
        <v>0</v>
      </c>
      <c r="AD17" s="97">
        <f>IF(Option2="No",0,IF($A17&lt;ImplementationYear,0,IF($A17&gt;(ImplementationYear+(Appraisal_Period-1)),0,'Mode change'!$E$37*$B17)))</f>
        <v>0</v>
      </c>
      <c r="AE17" s="97">
        <f>IF(Option2="No",0,IF($A17&lt;ImplementationYear,0,IF($A17&gt;(ImplementationYear+(Appraisal_Period-1)),0,'Road safety'!$E$22*$B17)))</f>
        <v>0</v>
      </c>
      <c r="AF17" s="97">
        <f>IF(Option2="No",0,IF($A17&lt;ImplementationYear,0,IF($A17&gt;(ImplementationYear+(Appraisal_Period-1)),0,'Reduction in car usage'!$E$46*$B17)))</f>
        <v>0</v>
      </c>
      <c r="AG17" s="97">
        <f>IF(Option2="No",0,IF($A17&lt;ImplementationYear,0,IF($A17&gt;(ImplementationYear+(Appraisal_Period-1)),0,'Reduction in car usage'!$E$47*$B17)))</f>
        <v>0</v>
      </c>
      <c r="AH17" s="97">
        <f>IF(Option2="No",0,IF($A17&lt;ImplementationYear,0,IF($A17&gt;(ImplementationYear+(Appraisal_Period-1)),0,'Reduction in car usage'!$E$48*$B17)))</f>
        <v>0</v>
      </c>
      <c r="AJ17" s="94">
        <f>IF(Option3="No",0,IF($A17=ImplementationYear,('Project details'!$P$10-'Project details'!$D$10)*VLOOKUP(Year_cost_estimate,'Time-series parameters'!$B$11:$C$89,2,FALSE)*$B17*(1+Contingency),0))</f>
        <v>0</v>
      </c>
      <c r="AK17" s="94">
        <f>IF(Option3="No",0,IF($A17&lt;ImplementationYear,0,IF($A17&gt;(ImplementationYear+(Appraisal_Period-1)),0,('Project details'!$P$11-'Project details'!$D$11)*VLOOKUP(Year_cost_estimate,'Time-series parameters'!$B$11:$C$89,2,0))*$B17))</f>
        <v>0</v>
      </c>
      <c r="AL17" s="94">
        <f>IF(Option3="No",0,IF($A17=ImplementationYear,('Project details'!$P$12-'Project details'!$D$12)*VLOOKUP(Year_cost_estimate,'Time-series parameters'!$B$11:$C$89,2,FALSE)*$B17,0))</f>
        <v>0</v>
      </c>
      <c r="AM17" s="97">
        <f>IF(Option3="No",0,IF($A17&lt;ImplementationYear,0,IF($A17&gt;(ImplementationYear+(Appraisal_Period-1)),0,Health!$F$21*$B17)))</f>
        <v>0</v>
      </c>
      <c r="AN17" s="97">
        <f>IF(Option3="No",0,IF($A17&lt;ImplementationYear,0,IF($A17&gt;(ImplementationYear+(Appraisal_Period-1)),0,Health!$F$22*$B17)))</f>
        <v>0</v>
      </c>
      <c r="AO17" s="97">
        <f>IF(Option3="No",0,IF($A17&lt;ImplementationYear,0,IF($A17&gt;(ImplementationYear+(Appraisal_Period-1)),0,SUM('Travel time'!$F$22:$F$23)*$B17)))</f>
        <v>0</v>
      </c>
      <c r="AP17" s="97">
        <f>IF(Option3="No",0,IF($A17&lt;ImplementationYear,0,IF($A17&gt;(ImplementationYear+(Appraisal_Period-1)),0,SUM('Travel time'!$F$20:$F$21)*$B17)))</f>
        <v>0</v>
      </c>
      <c r="AQ17" s="97">
        <f>IF(Option3="No",0,IF($A17&lt;ImplementationYear,0,IF($A17&gt;(ImplementationYear+(Appraisal_Period-1)),0,SUM(Quality!$F$22:$F$23)*$B17)))</f>
        <v>0</v>
      </c>
      <c r="AR17" s="97">
        <f>IF(Option3="No",0,IF($A17&lt;ImplementationYear,0,IF($A17&gt;(ImplementationYear+(Appraisal_Period-1)),0,SUM(Quality!$F$20:$F$21)*$B17)))</f>
        <v>0</v>
      </c>
      <c r="AS17" s="97">
        <f>IF(Option3="No",0,IF($A17&lt;ImplementationYear,0,IF($A17&gt;(ImplementationYear+(Appraisal_Period-1)),0,'Mode change'!$F$36*$B17)))</f>
        <v>0</v>
      </c>
      <c r="AT17" s="97">
        <f>IF(Option3="No",0,IF($A17&lt;ImplementationYear,0,IF($A17&gt;(ImplementationYear+(Appraisal_Period-1)),0,'Mode change'!$F$37*$B17)))</f>
        <v>0</v>
      </c>
      <c r="AU17" s="97">
        <f>IF(Option3="No",0,IF($A17&lt;ImplementationYear,0,IF($A17&gt;(ImplementationYear+(Appraisal_Period-1)),0,'Road safety'!$F$22*$B17)))</f>
        <v>0</v>
      </c>
      <c r="AV17" s="97">
        <f>IF(Option3="No",0,IF($A17&lt;ImplementationYear,0,IF($A17&gt;(ImplementationYear+(Appraisal_Period-1)),0,'Reduction in car usage'!$F$46*$B17)))</f>
        <v>0</v>
      </c>
      <c r="AW17" s="97">
        <f>IF(Option3="No",0,IF($A17&lt;ImplementationYear,0,IF($A17&gt;(ImplementationYear+(Appraisal_Period-1)),0,'Reduction in car usage'!$F$47*$B17)))</f>
        <v>0</v>
      </c>
      <c r="AX17" s="97">
        <f>IF(Option3="No",0,IF($A17&lt;ImplementationYear,0,IF($A17&gt;(ImplementationYear+(Appraisal_Period-1)),0,'Reduction in car usage'!$F$48*$B17)))</f>
        <v>0</v>
      </c>
    </row>
    <row r="18" spans="1:50">
      <c r="A18" s="335">
        <v>2013</v>
      </c>
      <c r="B18" s="62">
        <f>VLOOKUP($A18,'Time-series parameters'!$E$11:$H$89,3,FALSE)</f>
        <v>0.88359999999999994</v>
      </c>
      <c r="C18" s="89"/>
      <c r="D18" s="94">
        <f>IF(Option1="No",0,IF($A18=ImplementationYear,('Project details'!$H$10-'Project details'!$D$10)*VLOOKUP(Year_cost_estimate,'Time-series parameters'!$B$11:$C$89,2,FALSE)*$B18*(1+Contingency),0))</f>
        <v>0</v>
      </c>
      <c r="E18" s="94">
        <f>IF(Option1="No",0,IF($A18&lt;ImplementationYear,0,IF($A18&gt;(ImplementationYear+(Appraisal_Period-1)),0,('Project details'!$H$11-'Project details'!$D$11)*VLOOKUP(Year_cost_estimate,'Time-series parameters'!$B$11:$C$89,2,0))*$B18))</f>
        <v>0</v>
      </c>
      <c r="F18" s="94">
        <f>IF(Option1="No",0,IF($A18=ImplementationYear,('Project details'!$H$12-'Project details'!$D$12)*VLOOKUP(Year_cost_estimate,'Time-series parameters'!$B$11:$C$89,2,FALSE)*$B18,0))</f>
        <v>0</v>
      </c>
      <c r="G18" s="97">
        <f>IF(Option1="No",0,IF($A18&lt;ImplementationYear,0,IF($A18&gt;(ImplementationYear+(Appraisal_Period-1)),0,Health!$D$21*$B18)))</f>
        <v>0</v>
      </c>
      <c r="H18" s="97">
        <f>IF(Option1="No",0,IF($A18&lt;ImplementationYear,0,IF($A18&gt;(ImplementationYear+(Appraisal_Period-1)),0,Health!$D$22*$B18)))</f>
        <v>0</v>
      </c>
      <c r="I18" s="97">
        <f>IF(Option1="No",0,IF($A18&lt;ImplementationYear,0,IF($A18&gt;(ImplementationYear+(Appraisal_Period-1)),0,SUM('Travel time'!$D$22:$D$23)*$B18)))</f>
        <v>0</v>
      </c>
      <c r="J18" s="97">
        <f>IF(Option1="No",0,IF($A18&lt;ImplementationYear,0,IF($A18&gt;(ImplementationYear+(Appraisal_Period-1)),0,SUM('Travel time'!$D$20:$D$21)*$B18)))</f>
        <v>0</v>
      </c>
      <c r="K18" s="97">
        <f>IF(Option1="No",0,IF($A18&lt;ImplementationYear,0,IF($A18&gt;(ImplementationYear+(Appraisal_Period-1)),0,SUM(Quality!$D$22:$D$23)*$B18)))</f>
        <v>0</v>
      </c>
      <c r="L18" s="97">
        <f>IF(Option1="No",0,IF($A18&lt;ImplementationYear,0,IF($A18&gt;(ImplementationYear+(Appraisal_Period-1)),0,SUM(Quality!$D$20:$D$21)*$B18)))</f>
        <v>0</v>
      </c>
      <c r="M18" s="97">
        <f>IF(Option1="No",0,IF($A18&lt;ImplementationYear,0,IF($A18&gt;(ImplementationYear+(Appraisal_Period-1)),0,'Mode change'!$D$36*$B18)))</f>
        <v>0</v>
      </c>
      <c r="N18" s="97">
        <f>IF(Option1="No",0,IF($A18&lt;ImplementationYear,0,IF($A18&gt;(ImplementationYear+(Appraisal_Period-1)),0,'Mode change'!$D$37*$B18)))</f>
        <v>0</v>
      </c>
      <c r="O18" s="97">
        <f>IF(Option1="No",0,IF($A18&lt;ImplementationYear,0,IF($A18&gt;(ImplementationYear+(Appraisal_Period-1)),0,'Road safety'!$D$22*$B18)))</f>
        <v>0</v>
      </c>
      <c r="P18" s="97">
        <f>IF(Option1="No",0,IF($A18&lt;ImplementationYear,0,IF($A18&gt;(ImplementationYear+(Appraisal_Period-1)),0,'Reduction in car usage'!$D$46*$B18)))</f>
        <v>0</v>
      </c>
      <c r="Q18" s="97">
        <f>IF(Option1="No",0,IF($A18&lt;ImplementationYear,0,IF($A18&gt;(ImplementationYear+(Appraisal_Period-1)),0,'Reduction in car usage'!$D$47*$B18)))</f>
        <v>0</v>
      </c>
      <c r="R18" s="97">
        <f>IF(Option1="No",0,IF($A18&lt;ImplementationYear,0,IF($A18&gt;(ImplementationYear+(Appraisal_Period-1)),0,'Reduction in car usage'!$D$48*$B18)))</f>
        <v>0</v>
      </c>
      <c r="S18" s="92"/>
      <c r="T18" s="94">
        <f>IF(Option2="No",0,IF($A18=ImplementationYear,('Project details'!$L$10-'Project details'!$D$10)*VLOOKUP(Year_cost_estimate,'Time-series parameters'!$B$11:$C$89,2,FALSE)*$B18*(1+Contingency),0))</f>
        <v>0</v>
      </c>
      <c r="U18" s="94">
        <f>IF(Option2="No",0,IF($A18&lt;ImplementationYear,0,IF($A18&gt;(ImplementationYear+(Appraisal_Period-1)),0,('Project details'!$L$11-'Project details'!$D$11)*VLOOKUP(Year_cost_estimate,'Time-series parameters'!$B$11:$C$89,2,0))*$B18))</f>
        <v>0</v>
      </c>
      <c r="V18" s="94">
        <f>IF(Option2="No",0,IF($A18=ImplementationYear,('Project details'!$L$12-'Project details'!$D$12)*VLOOKUP(Year_cost_estimate,'Time-series parameters'!$B$11:$C$89,2,FALSE)*$B18,0))</f>
        <v>0</v>
      </c>
      <c r="W18" s="97">
        <f>IF(Option2="No",0,IF($A18&lt;ImplementationYear,0,IF($A18&gt;(ImplementationYear+(Appraisal_Period-1)),0,Health!$E$21*$B18)))</f>
        <v>0</v>
      </c>
      <c r="X18" s="97">
        <f>IF(Option2="No",0,IF($A18&lt;ImplementationYear,0,IF($A18&gt;(ImplementationYear+(Appraisal_Period-1)),0,Health!$E$22*$B18)))</f>
        <v>0</v>
      </c>
      <c r="Y18" s="97">
        <f>IF(Option2="No",0,IF($A18&lt;ImplementationYear,0,IF($A18&gt;(ImplementationYear+(Appraisal_Period-1)),0,SUM('Travel time'!$E$22:$E$23)*$B18)))</f>
        <v>0</v>
      </c>
      <c r="Z18" s="97">
        <f>IF(Option2="No",0,IF($A18&lt;ImplementationYear,0,IF($A18&gt;(ImplementationYear+(Appraisal_Period-1)),0,SUM('Travel time'!$E$20:$E$21)*$B18)))</f>
        <v>0</v>
      </c>
      <c r="AA18" s="97">
        <f>IF(Option2="No",0,IF($A18&lt;ImplementationYear,0,IF($A18&gt;(ImplementationYear+(Appraisal_Period-1)),0,SUM(Quality!$E$22:$E$23)*$B18)))</f>
        <v>0</v>
      </c>
      <c r="AB18" s="97">
        <f>IF(Option2="No",0,IF($A18&lt;ImplementationYear,0,IF($A18&gt;(ImplementationYear+(Appraisal_Period-1)),0,SUM(Quality!$E$20:$E$21)*$B18)))</f>
        <v>0</v>
      </c>
      <c r="AC18" s="97">
        <f>IF(Option2="No",0,IF($A18&lt;ImplementationYear,0,IF($A18&gt;(ImplementationYear+(Appraisal_Period-1)),0,'Mode change'!$E$36*$B18)))</f>
        <v>0</v>
      </c>
      <c r="AD18" s="97">
        <f>IF(Option2="No",0,IF($A18&lt;ImplementationYear,0,IF($A18&gt;(ImplementationYear+(Appraisal_Period-1)),0,'Mode change'!$E$37*$B18)))</f>
        <v>0</v>
      </c>
      <c r="AE18" s="97">
        <f>IF(Option2="No",0,IF($A18&lt;ImplementationYear,0,IF($A18&gt;(ImplementationYear+(Appraisal_Period-1)),0,'Road safety'!$E$22*$B18)))</f>
        <v>0</v>
      </c>
      <c r="AF18" s="97">
        <f>IF(Option2="No",0,IF($A18&lt;ImplementationYear,0,IF($A18&gt;(ImplementationYear+(Appraisal_Period-1)),0,'Reduction in car usage'!$E$46*$B18)))</f>
        <v>0</v>
      </c>
      <c r="AG18" s="97">
        <f>IF(Option2="No",0,IF($A18&lt;ImplementationYear,0,IF($A18&gt;(ImplementationYear+(Appraisal_Period-1)),0,'Reduction in car usage'!$E$47*$B18)))</f>
        <v>0</v>
      </c>
      <c r="AH18" s="97">
        <f>IF(Option2="No",0,IF($A18&lt;ImplementationYear,0,IF($A18&gt;(ImplementationYear+(Appraisal_Period-1)),0,'Reduction in car usage'!$E$48*$B18)))</f>
        <v>0</v>
      </c>
      <c r="AJ18" s="94">
        <f>IF(Option3="No",0,IF($A18=ImplementationYear,('Project details'!$P$10-'Project details'!$D$10)*VLOOKUP(Year_cost_estimate,'Time-series parameters'!$B$11:$C$89,2,FALSE)*$B18*(1+Contingency),0))</f>
        <v>0</v>
      </c>
      <c r="AK18" s="94">
        <f>IF(Option3="No",0,IF($A18&lt;ImplementationYear,0,IF($A18&gt;(ImplementationYear+(Appraisal_Period-1)),0,('Project details'!$P$11-'Project details'!$D$11)*VLOOKUP(Year_cost_estimate,'Time-series parameters'!$B$11:$C$89,2,0))*$B18))</f>
        <v>0</v>
      </c>
      <c r="AL18" s="94">
        <f>IF(Option3="No",0,IF($A18=ImplementationYear,('Project details'!$P$12-'Project details'!$D$12)*VLOOKUP(Year_cost_estimate,'Time-series parameters'!$B$11:$C$89,2,FALSE)*$B18,0))</f>
        <v>0</v>
      </c>
      <c r="AM18" s="97">
        <f>IF(Option3="No",0,IF($A18&lt;ImplementationYear,0,IF($A18&gt;(ImplementationYear+(Appraisal_Period-1)),0,Health!$F$21*$B18)))</f>
        <v>0</v>
      </c>
      <c r="AN18" s="97">
        <f>IF(Option3="No",0,IF($A18&lt;ImplementationYear,0,IF($A18&gt;(ImplementationYear+(Appraisal_Period-1)),0,Health!$F$22*$B18)))</f>
        <v>0</v>
      </c>
      <c r="AO18" s="97">
        <f>IF(Option3="No",0,IF($A18&lt;ImplementationYear,0,IF($A18&gt;(ImplementationYear+(Appraisal_Period-1)),0,SUM('Travel time'!$F$22:$F$23)*$B18)))</f>
        <v>0</v>
      </c>
      <c r="AP18" s="97">
        <f>IF(Option3="No",0,IF($A18&lt;ImplementationYear,0,IF($A18&gt;(ImplementationYear+(Appraisal_Period-1)),0,SUM('Travel time'!$F$20:$F$21)*$B18)))</f>
        <v>0</v>
      </c>
      <c r="AQ18" s="97">
        <f>IF(Option3="No",0,IF($A18&lt;ImplementationYear,0,IF($A18&gt;(ImplementationYear+(Appraisal_Period-1)),0,SUM(Quality!$F$22:$F$23)*$B18)))</f>
        <v>0</v>
      </c>
      <c r="AR18" s="97">
        <f>IF(Option3="No",0,IF($A18&lt;ImplementationYear,0,IF($A18&gt;(ImplementationYear+(Appraisal_Period-1)),0,SUM(Quality!$F$20:$F$21)*$B18)))</f>
        <v>0</v>
      </c>
      <c r="AS18" s="97">
        <f>IF(Option3="No",0,IF($A18&lt;ImplementationYear,0,IF($A18&gt;(ImplementationYear+(Appraisal_Period-1)),0,'Mode change'!$F$36*$B18)))</f>
        <v>0</v>
      </c>
      <c r="AT18" s="97">
        <f>IF(Option3="No",0,IF($A18&lt;ImplementationYear,0,IF($A18&gt;(ImplementationYear+(Appraisal_Period-1)),0,'Mode change'!$F$37*$B18)))</f>
        <v>0</v>
      </c>
      <c r="AU18" s="97">
        <f>IF(Option3="No",0,IF($A18&lt;ImplementationYear,0,IF($A18&gt;(ImplementationYear+(Appraisal_Period-1)),0,'Road safety'!$F$22*$B18)))</f>
        <v>0</v>
      </c>
      <c r="AV18" s="97">
        <f>IF(Option3="No",0,IF($A18&lt;ImplementationYear,0,IF($A18&gt;(ImplementationYear+(Appraisal_Period-1)),0,'Reduction in car usage'!$F$46*$B18)))</f>
        <v>0</v>
      </c>
      <c r="AW18" s="97">
        <f>IF(Option3="No",0,IF($A18&lt;ImplementationYear,0,IF($A18&gt;(ImplementationYear+(Appraisal_Period-1)),0,'Reduction in car usage'!$F$47*$B18)))</f>
        <v>0</v>
      </c>
      <c r="AX18" s="97">
        <f>IF(Option3="No",0,IF($A18&lt;ImplementationYear,0,IF($A18&gt;(ImplementationYear+(Appraisal_Period-1)),0,'Reduction in car usage'!$F$48*$B18)))</f>
        <v>0</v>
      </c>
    </row>
    <row r="19" spans="1:50">
      <c r="A19" s="335">
        <v>2014</v>
      </c>
      <c r="B19" s="62">
        <f>VLOOKUP($A19,'Time-series parameters'!$E$11:$H$89,3,FALSE)</f>
        <v>0.83058399999999999</v>
      </c>
      <c r="C19" s="89"/>
      <c r="D19" s="94">
        <f>IF(Option1="No",0,IF($A19=ImplementationYear,('Project details'!$H$10-'Project details'!$D$10)*VLOOKUP(Year_cost_estimate,'Time-series parameters'!$B$11:$C$89,2,FALSE)*$B19*(1+Contingency),0))</f>
        <v>0</v>
      </c>
      <c r="E19" s="94">
        <f>IF(Option1="No",0,IF($A19&lt;ImplementationYear,0,IF($A19&gt;(ImplementationYear+(Appraisal_Period-1)),0,('Project details'!$H$11-'Project details'!$D$11)*VLOOKUP(Year_cost_estimate,'Time-series parameters'!$B$11:$C$89,2,0))*$B19))</f>
        <v>0</v>
      </c>
      <c r="F19" s="94">
        <f>IF(Option1="No",0,IF($A19=ImplementationYear,('Project details'!$H$12-'Project details'!$D$12)*VLOOKUP(Year_cost_estimate,'Time-series parameters'!$B$11:$C$89,2,FALSE)*$B19,0))</f>
        <v>0</v>
      </c>
      <c r="G19" s="97">
        <f>IF(Option1="No",0,IF($A19&lt;ImplementationYear,0,IF($A19&gt;(ImplementationYear+(Appraisal_Period-1)),0,Health!$D$21*$B19)))</f>
        <v>0</v>
      </c>
      <c r="H19" s="97">
        <f>IF(Option1="No",0,IF($A19&lt;ImplementationYear,0,IF($A19&gt;(ImplementationYear+(Appraisal_Period-1)),0,Health!$D$22*$B19)))</f>
        <v>0</v>
      </c>
      <c r="I19" s="97">
        <f>IF(Option1="No",0,IF($A19&lt;ImplementationYear,0,IF($A19&gt;(ImplementationYear+(Appraisal_Period-1)),0,SUM('Travel time'!$D$22:$D$23)*$B19)))</f>
        <v>0</v>
      </c>
      <c r="J19" s="97">
        <f>IF(Option1="No",0,IF($A19&lt;ImplementationYear,0,IF($A19&gt;(ImplementationYear+(Appraisal_Period-1)),0,SUM('Travel time'!$D$20:$D$21)*$B19)))</f>
        <v>0</v>
      </c>
      <c r="K19" s="97">
        <f>IF(Option1="No",0,IF($A19&lt;ImplementationYear,0,IF($A19&gt;(ImplementationYear+(Appraisal_Period-1)),0,SUM(Quality!$D$22:$D$23)*$B19)))</f>
        <v>0</v>
      </c>
      <c r="L19" s="97">
        <f>IF(Option1="No",0,IF($A19&lt;ImplementationYear,0,IF($A19&gt;(ImplementationYear+(Appraisal_Period-1)),0,SUM(Quality!$D$20:$D$21)*$B19)))</f>
        <v>0</v>
      </c>
      <c r="M19" s="97">
        <f>IF(Option1="No",0,IF($A19&lt;ImplementationYear,0,IF($A19&gt;(ImplementationYear+(Appraisal_Period-1)),0,'Mode change'!$D$36*$B19)))</f>
        <v>0</v>
      </c>
      <c r="N19" s="97">
        <f>IF(Option1="No",0,IF($A19&lt;ImplementationYear,0,IF($A19&gt;(ImplementationYear+(Appraisal_Period-1)),0,'Mode change'!$D$37*$B19)))</f>
        <v>0</v>
      </c>
      <c r="O19" s="97">
        <f>IF(Option1="No",0,IF($A19&lt;ImplementationYear,0,IF($A19&gt;(ImplementationYear+(Appraisal_Period-1)),0,'Road safety'!$D$22*$B19)))</f>
        <v>0</v>
      </c>
      <c r="P19" s="97">
        <f>IF(Option1="No",0,IF($A19&lt;ImplementationYear,0,IF($A19&gt;(ImplementationYear+(Appraisal_Period-1)),0,'Reduction in car usage'!$D$46*$B19)))</f>
        <v>0</v>
      </c>
      <c r="Q19" s="97">
        <f>IF(Option1="No",0,IF($A19&lt;ImplementationYear,0,IF($A19&gt;(ImplementationYear+(Appraisal_Period-1)),0,'Reduction in car usage'!$D$47*$B19)))</f>
        <v>0</v>
      </c>
      <c r="R19" s="97">
        <f>IF(Option1="No",0,IF($A19&lt;ImplementationYear,0,IF($A19&gt;(ImplementationYear+(Appraisal_Period-1)),0,'Reduction in car usage'!$D$48*$B19)))</f>
        <v>0</v>
      </c>
      <c r="S19" s="92"/>
      <c r="T19" s="94">
        <f>IF(Option2="No",0,IF($A19=ImplementationYear,('Project details'!$L$10-'Project details'!$D$10)*VLOOKUP(Year_cost_estimate,'Time-series parameters'!$B$11:$C$89,2,FALSE)*$B19*(1+Contingency),0))</f>
        <v>0</v>
      </c>
      <c r="U19" s="94">
        <f>IF(Option2="No",0,IF($A19&lt;ImplementationYear,0,IF($A19&gt;(ImplementationYear+(Appraisal_Period-1)),0,('Project details'!$L$11-'Project details'!$D$11)*VLOOKUP(Year_cost_estimate,'Time-series parameters'!$B$11:$C$89,2,0))*$B19))</f>
        <v>0</v>
      </c>
      <c r="V19" s="94">
        <f>IF(Option2="No",0,IF($A19=ImplementationYear,('Project details'!$L$12-'Project details'!$D$12)*VLOOKUP(Year_cost_estimate,'Time-series parameters'!$B$11:$C$89,2,FALSE)*$B19,0))</f>
        <v>0</v>
      </c>
      <c r="W19" s="97">
        <f>IF(Option2="No",0,IF($A19&lt;ImplementationYear,0,IF($A19&gt;(ImplementationYear+(Appraisal_Period-1)),0,Health!$E$21*$B19)))</f>
        <v>0</v>
      </c>
      <c r="X19" s="97">
        <f>IF(Option2="No",0,IF($A19&lt;ImplementationYear,0,IF($A19&gt;(ImplementationYear+(Appraisal_Period-1)),0,Health!$E$22*$B19)))</f>
        <v>0</v>
      </c>
      <c r="Y19" s="97">
        <f>IF(Option2="No",0,IF($A19&lt;ImplementationYear,0,IF($A19&gt;(ImplementationYear+(Appraisal_Period-1)),0,SUM('Travel time'!$E$22:$E$23)*$B19)))</f>
        <v>0</v>
      </c>
      <c r="Z19" s="97">
        <f>IF(Option2="No",0,IF($A19&lt;ImplementationYear,0,IF($A19&gt;(ImplementationYear+(Appraisal_Period-1)),0,SUM('Travel time'!$E$20:$E$21)*$B19)))</f>
        <v>0</v>
      </c>
      <c r="AA19" s="97">
        <f>IF(Option2="No",0,IF($A19&lt;ImplementationYear,0,IF($A19&gt;(ImplementationYear+(Appraisal_Period-1)),0,SUM(Quality!$E$22:$E$23)*$B19)))</f>
        <v>0</v>
      </c>
      <c r="AB19" s="97">
        <f>IF(Option2="No",0,IF($A19&lt;ImplementationYear,0,IF($A19&gt;(ImplementationYear+(Appraisal_Period-1)),0,SUM(Quality!$E$20:$E$21)*$B19)))</f>
        <v>0</v>
      </c>
      <c r="AC19" s="97">
        <f>IF(Option2="No",0,IF($A19&lt;ImplementationYear,0,IF($A19&gt;(ImplementationYear+(Appraisal_Period-1)),0,'Mode change'!$E$36*$B19)))</f>
        <v>0</v>
      </c>
      <c r="AD19" s="97">
        <f>IF(Option2="No",0,IF($A19&lt;ImplementationYear,0,IF($A19&gt;(ImplementationYear+(Appraisal_Period-1)),0,'Mode change'!$E$37*$B19)))</f>
        <v>0</v>
      </c>
      <c r="AE19" s="97">
        <f>IF(Option2="No",0,IF($A19&lt;ImplementationYear,0,IF($A19&gt;(ImplementationYear+(Appraisal_Period-1)),0,'Road safety'!$E$22*$B19)))</f>
        <v>0</v>
      </c>
      <c r="AF19" s="97">
        <f>IF(Option2="No",0,IF($A19&lt;ImplementationYear,0,IF($A19&gt;(ImplementationYear+(Appraisal_Period-1)),0,'Reduction in car usage'!$E$46*$B19)))</f>
        <v>0</v>
      </c>
      <c r="AG19" s="97">
        <f>IF(Option2="No",0,IF($A19&lt;ImplementationYear,0,IF($A19&gt;(ImplementationYear+(Appraisal_Period-1)),0,'Reduction in car usage'!$E$47*$B19)))</f>
        <v>0</v>
      </c>
      <c r="AH19" s="97">
        <f>IF(Option2="No",0,IF($A19&lt;ImplementationYear,0,IF($A19&gt;(ImplementationYear+(Appraisal_Period-1)),0,'Reduction in car usage'!$E$48*$B19)))</f>
        <v>0</v>
      </c>
      <c r="AJ19" s="94">
        <f>IF(Option3="No",0,IF($A19=ImplementationYear,('Project details'!$P$10-'Project details'!$D$10)*VLOOKUP(Year_cost_estimate,'Time-series parameters'!$B$11:$C$89,2,FALSE)*$B19*(1+Contingency),0))</f>
        <v>0</v>
      </c>
      <c r="AK19" s="94">
        <f>IF(Option3="No",0,IF($A19&lt;ImplementationYear,0,IF($A19&gt;(ImplementationYear+(Appraisal_Period-1)),0,('Project details'!$P$11-'Project details'!$D$11)*VLOOKUP(Year_cost_estimate,'Time-series parameters'!$B$11:$C$89,2,0))*$B19))</f>
        <v>0</v>
      </c>
      <c r="AL19" s="94">
        <f>IF(Option3="No",0,IF($A19=ImplementationYear,('Project details'!$P$12-'Project details'!$D$12)*VLOOKUP(Year_cost_estimate,'Time-series parameters'!$B$11:$C$89,2,FALSE)*$B19,0))</f>
        <v>0</v>
      </c>
      <c r="AM19" s="97">
        <f>IF(Option3="No",0,IF($A19&lt;ImplementationYear,0,IF($A19&gt;(ImplementationYear+(Appraisal_Period-1)),0,Health!$F$21*$B19)))</f>
        <v>0</v>
      </c>
      <c r="AN19" s="97">
        <f>IF(Option3="No",0,IF($A19&lt;ImplementationYear,0,IF($A19&gt;(ImplementationYear+(Appraisal_Period-1)),0,Health!$F$22*$B19)))</f>
        <v>0</v>
      </c>
      <c r="AO19" s="97">
        <f>IF(Option3="No",0,IF($A19&lt;ImplementationYear,0,IF($A19&gt;(ImplementationYear+(Appraisal_Period-1)),0,SUM('Travel time'!$F$22:$F$23)*$B19)))</f>
        <v>0</v>
      </c>
      <c r="AP19" s="97">
        <f>IF(Option3="No",0,IF($A19&lt;ImplementationYear,0,IF($A19&gt;(ImplementationYear+(Appraisal_Period-1)),0,SUM('Travel time'!$F$20:$F$21)*$B19)))</f>
        <v>0</v>
      </c>
      <c r="AQ19" s="97">
        <f>IF(Option3="No",0,IF($A19&lt;ImplementationYear,0,IF($A19&gt;(ImplementationYear+(Appraisal_Period-1)),0,SUM(Quality!$F$22:$F$23)*$B19)))</f>
        <v>0</v>
      </c>
      <c r="AR19" s="97">
        <f>IF(Option3="No",0,IF($A19&lt;ImplementationYear,0,IF($A19&gt;(ImplementationYear+(Appraisal_Period-1)),0,SUM(Quality!$F$20:$F$21)*$B19)))</f>
        <v>0</v>
      </c>
      <c r="AS19" s="97">
        <f>IF(Option3="No",0,IF($A19&lt;ImplementationYear,0,IF($A19&gt;(ImplementationYear+(Appraisal_Period-1)),0,'Mode change'!$F$36*$B19)))</f>
        <v>0</v>
      </c>
      <c r="AT19" s="97">
        <f>IF(Option3="No",0,IF($A19&lt;ImplementationYear,0,IF($A19&gt;(ImplementationYear+(Appraisal_Period-1)),0,'Mode change'!$F$37*$B19)))</f>
        <v>0</v>
      </c>
      <c r="AU19" s="97">
        <f>IF(Option3="No",0,IF($A19&lt;ImplementationYear,0,IF($A19&gt;(ImplementationYear+(Appraisal_Period-1)),0,'Road safety'!$F$22*$B19)))</f>
        <v>0</v>
      </c>
      <c r="AV19" s="97">
        <f>IF(Option3="No",0,IF($A19&lt;ImplementationYear,0,IF($A19&gt;(ImplementationYear+(Appraisal_Period-1)),0,'Reduction in car usage'!$F$46*$B19)))</f>
        <v>0</v>
      </c>
      <c r="AW19" s="97">
        <f>IF(Option3="No",0,IF($A19&lt;ImplementationYear,0,IF($A19&gt;(ImplementationYear+(Appraisal_Period-1)),0,'Reduction in car usage'!$F$47*$B19)))</f>
        <v>0</v>
      </c>
      <c r="AX19" s="97">
        <f>IF(Option3="No",0,IF($A19&lt;ImplementationYear,0,IF($A19&gt;(ImplementationYear+(Appraisal_Period-1)),0,'Reduction in car usage'!$F$48*$B19)))</f>
        <v>0</v>
      </c>
    </row>
    <row r="20" spans="1:50">
      <c r="A20" s="335">
        <v>2015</v>
      </c>
      <c r="B20" s="62">
        <f>VLOOKUP($A20,'Time-series parameters'!$E$11:$H$89,3,FALSE)</f>
        <v>0.78074895999999994</v>
      </c>
      <c r="C20" s="89"/>
      <c r="D20" s="94">
        <f>IF(Option1="No",0,IF($A20=ImplementationYear,('Project details'!$H$10-'Project details'!$D$10)*VLOOKUP(Year_cost_estimate,'Time-series parameters'!$B$11:$C$89,2,FALSE)*$B20*(1+Contingency),0))</f>
        <v>0</v>
      </c>
      <c r="E20" s="94">
        <f>IF(Option1="No",0,IF($A20&lt;ImplementationYear,0,IF($A20&gt;(ImplementationYear+(Appraisal_Period-1)),0,('Project details'!$H$11-'Project details'!$D$11)*VLOOKUP(Year_cost_estimate,'Time-series parameters'!$B$11:$C$89,2,0))*$B20))</f>
        <v>0</v>
      </c>
      <c r="F20" s="94">
        <f>IF(Option1="No",0,IF($A20=ImplementationYear,('Project details'!$H$12-'Project details'!$D$12)*VLOOKUP(Year_cost_estimate,'Time-series parameters'!$B$11:$C$89,2,FALSE)*$B20,0))</f>
        <v>0</v>
      </c>
      <c r="G20" s="97">
        <f>IF(Option1="No",0,IF($A20&lt;ImplementationYear,0,IF($A20&gt;(ImplementationYear+(Appraisal_Period-1)),0,Health!$D$21*$B20)))</f>
        <v>0</v>
      </c>
      <c r="H20" s="97">
        <f>IF(Option1="No",0,IF($A20&lt;ImplementationYear,0,IF($A20&gt;(ImplementationYear+(Appraisal_Period-1)),0,Health!$D$22*$B20)))</f>
        <v>0</v>
      </c>
      <c r="I20" s="97">
        <f>IF(Option1="No",0,IF($A20&lt;ImplementationYear,0,IF($A20&gt;(ImplementationYear+(Appraisal_Period-1)),0,SUM('Travel time'!$D$22:$D$23)*$B20)))</f>
        <v>0</v>
      </c>
      <c r="J20" s="97">
        <f>IF(Option1="No",0,IF($A20&lt;ImplementationYear,0,IF($A20&gt;(ImplementationYear+(Appraisal_Period-1)),0,SUM('Travel time'!$D$20:$D$21)*$B20)))</f>
        <v>0</v>
      </c>
      <c r="K20" s="97">
        <f>IF(Option1="No",0,IF($A20&lt;ImplementationYear,0,IF($A20&gt;(ImplementationYear+(Appraisal_Period-1)),0,SUM(Quality!$D$22:$D$23)*$B20)))</f>
        <v>0</v>
      </c>
      <c r="L20" s="97">
        <f>IF(Option1="No",0,IF($A20&lt;ImplementationYear,0,IF($A20&gt;(ImplementationYear+(Appraisal_Period-1)),0,SUM(Quality!$D$20:$D$21)*$B20)))</f>
        <v>0</v>
      </c>
      <c r="M20" s="97">
        <f>IF(Option1="No",0,IF($A20&lt;ImplementationYear,0,IF($A20&gt;(ImplementationYear+(Appraisal_Period-1)),0,'Mode change'!$D$36*$B20)))</f>
        <v>0</v>
      </c>
      <c r="N20" s="97">
        <f>IF(Option1="No",0,IF($A20&lt;ImplementationYear,0,IF($A20&gt;(ImplementationYear+(Appraisal_Period-1)),0,'Mode change'!$D$37*$B20)))</f>
        <v>0</v>
      </c>
      <c r="O20" s="97">
        <f>IF(Option1="No",0,IF($A20&lt;ImplementationYear,0,IF($A20&gt;(ImplementationYear+(Appraisal_Period-1)),0,'Road safety'!$D$22*$B20)))</f>
        <v>0</v>
      </c>
      <c r="P20" s="97">
        <f>IF(Option1="No",0,IF($A20&lt;ImplementationYear,0,IF($A20&gt;(ImplementationYear+(Appraisal_Period-1)),0,'Reduction in car usage'!$D$46*$B20)))</f>
        <v>0</v>
      </c>
      <c r="Q20" s="97">
        <f>IF(Option1="No",0,IF($A20&lt;ImplementationYear,0,IF($A20&gt;(ImplementationYear+(Appraisal_Period-1)),0,'Reduction in car usage'!$D$47*$B20)))</f>
        <v>0</v>
      </c>
      <c r="R20" s="97">
        <f>IF(Option1="No",0,IF($A20&lt;ImplementationYear,0,IF($A20&gt;(ImplementationYear+(Appraisal_Period-1)),0,'Reduction in car usage'!$D$48*$B20)))</f>
        <v>0</v>
      </c>
      <c r="S20" s="92"/>
      <c r="T20" s="94">
        <f>IF(Option2="No",0,IF($A20=ImplementationYear,('Project details'!$L$10-'Project details'!$D$10)*VLOOKUP(Year_cost_estimate,'Time-series parameters'!$B$11:$C$89,2,FALSE)*$B20*(1+Contingency),0))</f>
        <v>0</v>
      </c>
      <c r="U20" s="94">
        <f>IF(Option2="No",0,IF($A20&lt;ImplementationYear,0,IF($A20&gt;(ImplementationYear+(Appraisal_Period-1)),0,('Project details'!$L$11-'Project details'!$D$11)*VLOOKUP(Year_cost_estimate,'Time-series parameters'!$B$11:$C$89,2,0))*$B20))</f>
        <v>0</v>
      </c>
      <c r="V20" s="94">
        <f>IF(Option2="No",0,IF($A20=ImplementationYear,('Project details'!$L$12-'Project details'!$D$12)*VLOOKUP(Year_cost_estimate,'Time-series parameters'!$B$11:$C$89,2,FALSE)*$B20,0))</f>
        <v>0</v>
      </c>
      <c r="W20" s="97">
        <f>IF(Option2="No",0,IF($A20&lt;ImplementationYear,0,IF($A20&gt;(ImplementationYear+(Appraisal_Period-1)),0,Health!$E$21*$B20)))</f>
        <v>0</v>
      </c>
      <c r="X20" s="97">
        <f>IF(Option2="No",0,IF($A20&lt;ImplementationYear,0,IF($A20&gt;(ImplementationYear+(Appraisal_Period-1)),0,Health!$E$22*$B20)))</f>
        <v>0</v>
      </c>
      <c r="Y20" s="97">
        <f>IF(Option2="No",0,IF($A20&lt;ImplementationYear,0,IF($A20&gt;(ImplementationYear+(Appraisal_Period-1)),0,SUM('Travel time'!$E$22:$E$23)*$B20)))</f>
        <v>0</v>
      </c>
      <c r="Z20" s="97">
        <f>IF(Option2="No",0,IF($A20&lt;ImplementationYear,0,IF($A20&gt;(ImplementationYear+(Appraisal_Period-1)),0,SUM('Travel time'!$E$20:$E$21)*$B20)))</f>
        <v>0</v>
      </c>
      <c r="AA20" s="97">
        <f>IF(Option2="No",0,IF($A20&lt;ImplementationYear,0,IF($A20&gt;(ImplementationYear+(Appraisal_Period-1)),0,SUM(Quality!$E$22:$E$23)*$B20)))</f>
        <v>0</v>
      </c>
      <c r="AB20" s="97">
        <f>IF(Option2="No",0,IF($A20&lt;ImplementationYear,0,IF($A20&gt;(ImplementationYear+(Appraisal_Period-1)),0,SUM(Quality!$E$20:$E$21)*$B20)))</f>
        <v>0</v>
      </c>
      <c r="AC20" s="97">
        <f>IF(Option2="No",0,IF($A20&lt;ImplementationYear,0,IF($A20&gt;(ImplementationYear+(Appraisal_Period-1)),0,'Mode change'!$E$36*$B20)))</f>
        <v>0</v>
      </c>
      <c r="AD20" s="97">
        <f>IF(Option2="No",0,IF($A20&lt;ImplementationYear,0,IF($A20&gt;(ImplementationYear+(Appraisal_Period-1)),0,'Mode change'!$E$37*$B20)))</f>
        <v>0</v>
      </c>
      <c r="AE20" s="97">
        <f>IF(Option2="No",0,IF($A20&lt;ImplementationYear,0,IF($A20&gt;(ImplementationYear+(Appraisal_Period-1)),0,'Road safety'!$E$22*$B20)))</f>
        <v>0</v>
      </c>
      <c r="AF20" s="97">
        <f>IF(Option2="No",0,IF($A20&lt;ImplementationYear,0,IF($A20&gt;(ImplementationYear+(Appraisal_Period-1)),0,'Reduction in car usage'!$E$46*$B20)))</f>
        <v>0</v>
      </c>
      <c r="AG20" s="97">
        <f>IF(Option2="No",0,IF($A20&lt;ImplementationYear,0,IF($A20&gt;(ImplementationYear+(Appraisal_Period-1)),0,'Reduction in car usage'!$E$47*$B20)))</f>
        <v>0</v>
      </c>
      <c r="AH20" s="97">
        <f>IF(Option2="No",0,IF($A20&lt;ImplementationYear,0,IF($A20&gt;(ImplementationYear+(Appraisal_Period-1)),0,'Reduction in car usage'!$E$48*$B20)))</f>
        <v>0</v>
      </c>
      <c r="AJ20" s="94">
        <f>IF(Option3="No",0,IF($A20=ImplementationYear,('Project details'!$P$10-'Project details'!$D$10)*VLOOKUP(Year_cost_estimate,'Time-series parameters'!$B$11:$C$89,2,FALSE)*$B20*(1+Contingency),0))</f>
        <v>0</v>
      </c>
      <c r="AK20" s="94">
        <f>IF(Option3="No",0,IF($A20&lt;ImplementationYear,0,IF($A20&gt;(ImplementationYear+(Appraisal_Period-1)),0,('Project details'!$P$11-'Project details'!$D$11)*VLOOKUP(Year_cost_estimate,'Time-series parameters'!$B$11:$C$89,2,0))*$B20))</f>
        <v>0</v>
      </c>
      <c r="AL20" s="94">
        <f>IF(Option3="No",0,IF($A20=ImplementationYear,('Project details'!$P$12-'Project details'!$D$12)*VLOOKUP(Year_cost_estimate,'Time-series parameters'!$B$11:$C$89,2,FALSE)*$B20,0))</f>
        <v>0</v>
      </c>
      <c r="AM20" s="97">
        <f>IF(Option3="No",0,IF($A20&lt;ImplementationYear,0,IF($A20&gt;(ImplementationYear+(Appraisal_Period-1)),0,Health!$F$21*$B20)))</f>
        <v>0</v>
      </c>
      <c r="AN20" s="97">
        <f>IF(Option3="No",0,IF($A20&lt;ImplementationYear,0,IF($A20&gt;(ImplementationYear+(Appraisal_Period-1)),0,Health!$F$22*$B20)))</f>
        <v>0</v>
      </c>
      <c r="AO20" s="97">
        <f>IF(Option3="No",0,IF($A20&lt;ImplementationYear,0,IF($A20&gt;(ImplementationYear+(Appraisal_Period-1)),0,SUM('Travel time'!$F$22:$F$23)*$B20)))</f>
        <v>0</v>
      </c>
      <c r="AP20" s="97">
        <f>IF(Option3="No",0,IF($A20&lt;ImplementationYear,0,IF($A20&gt;(ImplementationYear+(Appraisal_Period-1)),0,SUM('Travel time'!$F$20:$F$21)*$B20)))</f>
        <v>0</v>
      </c>
      <c r="AQ20" s="97">
        <f>IF(Option3="No",0,IF($A20&lt;ImplementationYear,0,IF($A20&gt;(ImplementationYear+(Appraisal_Period-1)),0,SUM(Quality!$F$22:$F$23)*$B20)))</f>
        <v>0</v>
      </c>
      <c r="AR20" s="97">
        <f>IF(Option3="No",0,IF($A20&lt;ImplementationYear,0,IF($A20&gt;(ImplementationYear+(Appraisal_Period-1)),0,SUM(Quality!$F$20:$F$21)*$B20)))</f>
        <v>0</v>
      </c>
      <c r="AS20" s="97">
        <f>IF(Option3="No",0,IF($A20&lt;ImplementationYear,0,IF($A20&gt;(ImplementationYear+(Appraisal_Period-1)),0,'Mode change'!$F$36*$B20)))</f>
        <v>0</v>
      </c>
      <c r="AT20" s="97">
        <f>IF(Option3="No",0,IF($A20&lt;ImplementationYear,0,IF($A20&gt;(ImplementationYear+(Appraisal_Period-1)),0,'Mode change'!$F$37*$B20)))</f>
        <v>0</v>
      </c>
      <c r="AU20" s="97">
        <f>IF(Option3="No",0,IF($A20&lt;ImplementationYear,0,IF($A20&gt;(ImplementationYear+(Appraisal_Period-1)),0,'Road safety'!$F$22*$B20)))</f>
        <v>0</v>
      </c>
      <c r="AV20" s="97">
        <f>IF(Option3="No",0,IF($A20&lt;ImplementationYear,0,IF($A20&gt;(ImplementationYear+(Appraisal_Period-1)),0,'Reduction in car usage'!$F$46*$B20)))</f>
        <v>0</v>
      </c>
      <c r="AW20" s="97">
        <f>IF(Option3="No",0,IF($A20&lt;ImplementationYear,0,IF($A20&gt;(ImplementationYear+(Appraisal_Period-1)),0,'Reduction in car usage'!$F$47*$B20)))</f>
        <v>0</v>
      </c>
      <c r="AX20" s="97">
        <f>IF(Option3="No",0,IF($A20&lt;ImplementationYear,0,IF($A20&gt;(ImplementationYear+(Appraisal_Period-1)),0,'Reduction in car usage'!$F$48*$B20)))</f>
        <v>0</v>
      </c>
    </row>
    <row r="21" spans="1:50">
      <c r="A21" s="335">
        <v>2016</v>
      </c>
      <c r="B21" s="62">
        <f>VLOOKUP($A21,'Time-series parameters'!$E$11:$H$89,3,FALSE)</f>
        <v>0.73390402239999997</v>
      </c>
      <c r="C21" s="89"/>
      <c r="D21" s="94">
        <f>IF(Option1="No",0,IF($A21=ImplementationYear,('Project details'!$H$10-'Project details'!$D$10)*VLOOKUP(Year_cost_estimate,'Time-series parameters'!$B$11:$C$89,2,FALSE)*$B21*(1+Contingency),0))</f>
        <v>0</v>
      </c>
      <c r="E21" s="94">
        <f>IF(Option1="No",0,IF($A21&lt;ImplementationYear,0,IF($A21&gt;(ImplementationYear+(Appraisal_Period-1)),0,('Project details'!$H$11-'Project details'!$D$11)*VLOOKUP(Year_cost_estimate,'Time-series parameters'!$B$11:$C$89,2,0))*$B21))</f>
        <v>0</v>
      </c>
      <c r="F21" s="94">
        <f>IF(Option1="No",0,IF($A21=ImplementationYear,('Project details'!$H$12-'Project details'!$D$12)*VLOOKUP(Year_cost_estimate,'Time-series parameters'!$B$11:$C$89,2,FALSE)*$B21,0))</f>
        <v>0</v>
      </c>
      <c r="G21" s="97">
        <f>IF(Option1="No",0,IF($A21&lt;ImplementationYear,0,IF($A21&gt;(ImplementationYear+(Appraisal_Period-1)),0,Health!$D$21*$B21)))</f>
        <v>0</v>
      </c>
      <c r="H21" s="97">
        <f>IF(Option1="No",0,IF($A21&lt;ImplementationYear,0,IF($A21&gt;(ImplementationYear+(Appraisal_Period-1)),0,Health!$D$22*$B21)))</f>
        <v>0</v>
      </c>
      <c r="I21" s="97">
        <f>IF(Option1="No",0,IF($A21&lt;ImplementationYear,0,IF($A21&gt;(ImplementationYear+(Appraisal_Period-1)),0,SUM('Travel time'!$D$22:$D$23)*$B21)))</f>
        <v>0</v>
      </c>
      <c r="J21" s="97">
        <f>IF(Option1="No",0,IF($A21&lt;ImplementationYear,0,IF($A21&gt;(ImplementationYear+(Appraisal_Period-1)),0,SUM('Travel time'!$D$20:$D$21)*$B21)))</f>
        <v>0</v>
      </c>
      <c r="K21" s="97">
        <f>IF(Option1="No",0,IF($A21&lt;ImplementationYear,0,IF($A21&gt;(ImplementationYear+(Appraisal_Period-1)),0,SUM(Quality!$D$22:$D$23)*$B21)))</f>
        <v>0</v>
      </c>
      <c r="L21" s="97">
        <f>IF(Option1="No",0,IF($A21&lt;ImplementationYear,0,IF($A21&gt;(ImplementationYear+(Appraisal_Period-1)),0,SUM(Quality!$D$20:$D$21)*$B21)))</f>
        <v>0</v>
      </c>
      <c r="M21" s="97">
        <f>IF(Option1="No",0,IF($A21&lt;ImplementationYear,0,IF($A21&gt;(ImplementationYear+(Appraisal_Period-1)),0,'Mode change'!$D$36*$B21)))</f>
        <v>0</v>
      </c>
      <c r="N21" s="97">
        <f>IF(Option1="No",0,IF($A21&lt;ImplementationYear,0,IF($A21&gt;(ImplementationYear+(Appraisal_Period-1)),0,'Mode change'!$D$37*$B21)))</f>
        <v>0</v>
      </c>
      <c r="O21" s="97">
        <f>IF(Option1="No",0,IF($A21&lt;ImplementationYear,0,IF($A21&gt;(ImplementationYear+(Appraisal_Period-1)),0,'Road safety'!$D$22*$B21)))</f>
        <v>0</v>
      </c>
      <c r="P21" s="97">
        <f>IF(Option1="No",0,IF($A21&lt;ImplementationYear,0,IF($A21&gt;(ImplementationYear+(Appraisal_Period-1)),0,'Reduction in car usage'!$D$46*$B21)))</f>
        <v>0</v>
      </c>
      <c r="Q21" s="97">
        <f>IF(Option1="No",0,IF($A21&lt;ImplementationYear,0,IF($A21&gt;(ImplementationYear+(Appraisal_Period-1)),0,'Reduction in car usage'!$D$47*$B21)))</f>
        <v>0</v>
      </c>
      <c r="R21" s="97">
        <f>IF(Option1="No",0,IF($A21&lt;ImplementationYear,0,IF($A21&gt;(ImplementationYear+(Appraisal_Period-1)),0,'Reduction in car usage'!$D$48*$B21)))</f>
        <v>0</v>
      </c>
      <c r="S21" s="92"/>
      <c r="T21" s="94">
        <f>IF(Option2="No",0,IF($A21=ImplementationYear,('Project details'!$L$10-'Project details'!$D$10)*VLOOKUP(Year_cost_estimate,'Time-series parameters'!$B$11:$C$89,2,FALSE)*$B21*(1+Contingency),0))</f>
        <v>0</v>
      </c>
      <c r="U21" s="94">
        <f>IF(Option2="No",0,IF($A21&lt;ImplementationYear,0,IF($A21&gt;(ImplementationYear+(Appraisal_Period-1)),0,('Project details'!$L$11-'Project details'!$D$11)*VLOOKUP(Year_cost_estimate,'Time-series parameters'!$B$11:$C$89,2,0))*$B21))</f>
        <v>0</v>
      </c>
      <c r="V21" s="94">
        <f>IF(Option2="No",0,IF($A21=ImplementationYear,('Project details'!$L$12-'Project details'!$D$12)*VLOOKUP(Year_cost_estimate,'Time-series parameters'!$B$11:$C$89,2,FALSE)*$B21,0))</f>
        <v>0</v>
      </c>
      <c r="W21" s="97">
        <f>IF(Option2="No",0,IF($A21&lt;ImplementationYear,0,IF($A21&gt;(ImplementationYear+(Appraisal_Period-1)),0,Health!$E$21*$B21)))</f>
        <v>0</v>
      </c>
      <c r="X21" s="97">
        <f>IF(Option2="No",0,IF($A21&lt;ImplementationYear,0,IF($A21&gt;(ImplementationYear+(Appraisal_Period-1)),0,Health!$E$22*$B21)))</f>
        <v>0</v>
      </c>
      <c r="Y21" s="97">
        <f>IF(Option2="No",0,IF($A21&lt;ImplementationYear,0,IF($A21&gt;(ImplementationYear+(Appraisal_Period-1)),0,SUM('Travel time'!$E$22:$E$23)*$B21)))</f>
        <v>0</v>
      </c>
      <c r="Z21" s="97">
        <f>IF(Option2="No",0,IF($A21&lt;ImplementationYear,0,IF($A21&gt;(ImplementationYear+(Appraisal_Period-1)),0,SUM('Travel time'!$E$20:$E$21)*$B21)))</f>
        <v>0</v>
      </c>
      <c r="AA21" s="97">
        <f>IF(Option2="No",0,IF($A21&lt;ImplementationYear,0,IF($A21&gt;(ImplementationYear+(Appraisal_Period-1)),0,SUM(Quality!$E$22:$E$23)*$B21)))</f>
        <v>0</v>
      </c>
      <c r="AB21" s="97">
        <f>IF(Option2="No",0,IF($A21&lt;ImplementationYear,0,IF($A21&gt;(ImplementationYear+(Appraisal_Period-1)),0,SUM(Quality!$E$20:$E$21)*$B21)))</f>
        <v>0</v>
      </c>
      <c r="AC21" s="97">
        <f>IF(Option2="No",0,IF($A21&lt;ImplementationYear,0,IF($A21&gt;(ImplementationYear+(Appraisal_Period-1)),0,'Mode change'!$E$36*$B21)))</f>
        <v>0</v>
      </c>
      <c r="AD21" s="97">
        <f>IF(Option2="No",0,IF($A21&lt;ImplementationYear,0,IF($A21&gt;(ImplementationYear+(Appraisal_Period-1)),0,'Mode change'!$E$37*$B21)))</f>
        <v>0</v>
      </c>
      <c r="AE21" s="97">
        <f>IF(Option2="No",0,IF($A21&lt;ImplementationYear,0,IF($A21&gt;(ImplementationYear+(Appraisal_Period-1)),0,'Road safety'!$E$22*$B21)))</f>
        <v>0</v>
      </c>
      <c r="AF21" s="97">
        <f>IF(Option2="No",0,IF($A21&lt;ImplementationYear,0,IF($A21&gt;(ImplementationYear+(Appraisal_Period-1)),0,'Reduction in car usage'!$E$46*$B21)))</f>
        <v>0</v>
      </c>
      <c r="AG21" s="97">
        <f>IF(Option2="No",0,IF($A21&lt;ImplementationYear,0,IF($A21&gt;(ImplementationYear+(Appraisal_Period-1)),0,'Reduction in car usage'!$E$47*$B21)))</f>
        <v>0</v>
      </c>
      <c r="AH21" s="97">
        <f>IF(Option2="No",0,IF($A21&lt;ImplementationYear,0,IF($A21&gt;(ImplementationYear+(Appraisal_Period-1)),0,'Reduction in car usage'!$E$48*$B21)))</f>
        <v>0</v>
      </c>
      <c r="AJ21" s="94">
        <f>IF(Option3="No",0,IF($A21=ImplementationYear,('Project details'!$P$10-'Project details'!$D$10)*VLOOKUP(Year_cost_estimate,'Time-series parameters'!$B$11:$C$89,2,FALSE)*$B21*(1+Contingency),0))</f>
        <v>0</v>
      </c>
      <c r="AK21" s="94">
        <f>IF(Option3="No",0,IF($A21&lt;ImplementationYear,0,IF($A21&gt;(ImplementationYear+(Appraisal_Period-1)),0,('Project details'!$P$11-'Project details'!$D$11)*VLOOKUP(Year_cost_estimate,'Time-series parameters'!$B$11:$C$89,2,0))*$B21))</f>
        <v>0</v>
      </c>
      <c r="AL21" s="94">
        <f>IF(Option3="No",0,IF($A21=ImplementationYear,('Project details'!$P$12-'Project details'!$D$12)*VLOOKUP(Year_cost_estimate,'Time-series parameters'!$B$11:$C$89,2,FALSE)*$B21,0))</f>
        <v>0</v>
      </c>
      <c r="AM21" s="97">
        <f>IF(Option3="No",0,IF($A21&lt;ImplementationYear,0,IF($A21&gt;(ImplementationYear+(Appraisal_Period-1)),0,Health!$F$21*$B21)))</f>
        <v>0</v>
      </c>
      <c r="AN21" s="97">
        <f>IF(Option3="No",0,IF($A21&lt;ImplementationYear,0,IF($A21&gt;(ImplementationYear+(Appraisal_Period-1)),0,Health!$F$22*$B21)))</f>
        <v>0</v>
      </c>
      <c r="AO21" s="97">
        <f>IF(Option3="No",0,IF($A21&lt;ImplementationYear,0,IF($A21&gt;(ImplementationYear+(Appraisal_Period-1)),0,SUM('Travel time'!$F$22:$F$23)*$B21)))</f>
        <v>0</v>
      </c>
      <c r="AP21" s="97">
        <f>IF(Option3="No",0,IF($A21&lt;ImplementationYear,0,IF($A21&gt;(ImplementationYear+(Appraisal_Period-1)),0,SUM('Travel time'!$F$20:$F$21)*$B21)))</f>
        <v>0</v>
      </c>
      <c r="AQ21" s="97">
        <f>IF(Option3="No",0,IF($A21&lt;ImplementationYear,0,IF($A21&gt;(ImplementationYear+(Appraisal_Period-1)),0,SUM(Quality!$F$22:$F$23)*$B21)))</f>
        <v>0</v>
      </c>
      <c r="AR21" s="97">
        <f>IF(Option3="No",0,IF($A21&lt;ImplementationYear,0,IF($A21&gt;(ImplementationYear+(Appraisal_Period-1)),0,SUM(Quality!$F$20:$F$21)*$B21)))</f>
        <v>0</v>
      </c>
      <c r="AS21" s="97">
        <f>IF(Option3="No",0,IF($A21&lt;ImplementationYear,0,IF($A21&gt;(ImplementationYear+(Appraisal_Period-1)),0,'Mode change'!$F$36*$B21)))</f>
        <v>0</v>
      </c>
      <c r="AT21" s="97">
        <f>IF(Option3="No",0,IF($A21&lt;ImplementationYear,0,IF($A21&gt;(ImplementationYear+(Appraisal_Period-1)),0,'Mode change'!$F$37*$B21)))</f>
        <v>0</v>
      </c>
      <c r="AU21" s="97">
        <f>IF(Option3="No",0,IF($A21&lt;ImplementationYear,0,IF($A21&gt;(ImplementationYear+(Appraisal_Period-1)),0,'Road safety'!$F$22*$B21)))</f>
        <v>0</v>
      </c>
      <c r="AV21" s="97">
        <f>IF(Option3="No",0,IF($A21&lt;ImplementationYear,0,IF($A21&gt;(ImplementationYear+(Appraisal_Period-1)),0,'Reduction in car usage'!$F$46*$B21)))</f>
        <v>0</v>
      </c>
      <c r="AW21" s="97">
        <f>IF(Option3="No",0,IF($A21&lt;ImplementationYear,0,IF($A21&gt;(ImplementationYear+(Appraisal_Period-1)),0,'Reduction in car usage'!$F$47*$B21)))</f>
        <v>0</v>
      </c>
      <c r="AX21" s="97">
        <f>IF(Option3="No",0,IF($A21&lt;ImplementationYear,0,IF($A21&gt;(ImplementationYear+(Appraisal_Period-1)),0,'Reduction in car usage'!$F$48*$B21)))</f>
        <v>0</v>
      </c>
    </row>
    <row r="22" spans="1:50">
      <c r="A22" s="335">
        <v>2017</v>
      </c>
      <c r="B22" s="62">
        <f>VLOOKUP($A22,'Time-series parameters'!$E$11:$H$89,3,FALSE)</f>
        <v>0.68986978105599994</v>
      </c>
      <c r="C22" s="89"/>
      <c r="D22" s="94">
        <f>IF(Option1="No",0,IF($A22=ImplementationYear,('Project details'!$H$10-'Project details'!$D$10)*VLOOKUP(Year_cost_estimate,'Time-series parameters'!$B$11:$C$89,2,FALSE)*$B22*(1+Contingency),0))</f>
        <v>0</v>
      </c>
      <c r="E22" s="94">
        <f>IF(Option1="No",0,IF($A22&lt;ImplementationYear,0,IF($A22&gt;(ImplementationYear+(Appraisal_Period-1)),0,('Project details'!$H$11-'Project details'!$D$11)*VLOOKUP(Year_cost_estimate,'Time-series parameters'!$B$11:$C$89,2,0))*$B22))</f>
        <v>0</v>
      </c>
      <c r="F22" s="94">
        <f>IF(Option1="No",0,IF($A22=ImplementationYear,('Project details'!$H$12-'Project details'!$D$12)*VLOOKUP(Year_cost_estimate,'Time-series parameters'!$B$11:$C$89,2,FALSE)*$B22,0))</f>
        <v>0</v>
      </c>
      <c r="G22" s="97">
        <f>IF(Option1="No",0,IF($A22&lt;ImplementationYear,0,IF($A22&gt;(ImplementationYear+(Appraisal_Period-1)),0,Health!$D$21*$B22)))</f>
        <v>0</v>
      </c>
      <c r="H22" s="97">
        <f>IF(Option1="No",0,IF($A22&lt;ImplementationYear,0,IF($A22&gt;(ImplementationYear+(Appraisal_Period-1)),0,Health!$D$22*$B22)))</f>
        <v>0</v>
      </c>
      <c r="I22" s="97">
        <f>IF(Option1="No",0,IF($A22&lt;ImplementationYear,0,IF($A22&gt;(ImplementationYear+(Appraisal_Period-1)),0,SUM('Travel time'!$D$22:$D$23)*$B22)))</f>
        <v>0</v>
      </c>
      <c r="J22" s="97">
        <f>IF(Option1="No",0,IF($A22&lt;ImplementationYear,0,IF($A22&gt;(ImplementationYear+(Appraisal_Period-1)),0,SUM('Travel time'!$D$20:$D$21)*$B22)))</f>
        <v>0</v>
      </c>
      <c r="K22" s="97">
        <f>IF(Option1="No",0,IF($A22&lt;ImplementationYear,0,IF($A22&gt;(ImplementationYear+(Appraisal_Period-1)),0,SUM(Quality!$D$22:$D$23)*$B22)))</f>
        <v>0</v>
      </c>
      <c r="L22" s="97">
        <f>IF(Option1="No",0,IF($A22&lt;ImplementationYear,0,IF($A22&gt;(ImplementationYear+(Appraisal_Period-1)),0,SUM(Quality!$D$20:$D$21)*$B22)))</f>
        <v>0</v>
      </c>
      <c r="M22" s="97">
        <f>IF(Option1="No",0,IF($A22&lt;ImplementationYear,0,IF($A22&gt;(ImplementationYear+(Appraisal_Period-1)),0,'Mode change'!$D$36*$B22)))</f>
        <v>0</v>
      </c>
      <c r="N22" s="97">
        <f>IF(Option1="No",0,IF($A22&lt;ImplementationYear,0,IF($A22&gt;(ImplementationYear+(Appraisal_Period-1)),0,'Mode change'!$D$37*$B22)))</f>
        <v>0</v>
      </c>
      <c r="O22" s="97">
        <f>IF(Option1="No",0,IF($A22&lt;ImplementationYear,0,IF($A22&gt;(ImplementationYear+(Appraisal_Period-1)),0,'Road safety'!$D$22*$B22)))</f>
        <v>0</v>
      </c>
      <c r="P22" s="97">
        <f>IF(Option1="No",0,IF($A22&lt;ImplementationYear,0,IF($A22&gt;(ImplementationYear+(Appraisal_Period-1)),0,'Reduction in car usage'!$D$46*$B22)))</f>
        <v>0</v>
      </c>
      <c r="Q22" s="97">
        <f>IF(Option1="No",0,IF($A22&lt;ImplementationYear,0,IF($A22&gt;(ImplementationYear+(Appraisal_Period-1)),0,'Reduction in car usage'!$D$47*$B22)))</f>
        <v>0</v>
      </c>
      <c r="R22" s="97">
        <f>IF(Option1="No",0,IF($A22&lt;ImplementationYear,0,IF($A22&gt;(ImplementationYear+(Appraisal_Period-1)),0,'Reduction in car usage'!$D$48*$B22)))</f>
        <v>0</v>
      </c>
      <c r="S22" s="92"/>
      <c r="T22" s="94">
        <f>IF(Option2="No",0,IF($A22=ImplementationYear,('Project details'!$L$10-'Project details'!$D$10)*VLOOKUP(Year_cost_estimate,'Time-series parameters'!$B$11:$C$89,2,FALSE)*$B22*(1+Contingency),0))</f>
        <v>0</v>
      </c>
      <c r="U22" s="94">
        <f>IF(Option2="No",0,IF($A22&lt;ImplementationYear,0,IF($A22&gt;(ImplementationYear+(Appraisal_Period-1)),0,('Project details'!$L$11-'Project details'!$D$11)*VLOOKUP(Year_cost_estimate,'Time-series parameters'!$B$11:$C$89,2,0))*$B22))</f>
        <v>0</v>
      </c>
      <c r="V22" s="94">
        <f>IF(Option2="No",0,IF($A22=ImplementationYear,('Project details'!$L$12-'Project details'!$D$12)*VLOOKUP(Year_cost_estimate,'Time-series parameters'!$B$11:$C$89,2,FALSE)*$B22,0))</f>
        <v>0</v>
      </c>
      <c r="W22" s="97">
        <f>IF(Option2="No",0,IF($A22&lt;ImplementationYear,0,IF($A22&gt;(ImplementationYear+(Appraisal_Period-1)),0,Health!$E$21*$B22)))</f>
        <v>0</v>
      </c>
      <c r="X22" s="97">
        <f>IF(Option2="No",0,IF($A22&lt;ImplementationYear,0,IF($A22&gt;(ImplementationYear+(Appraisal_Period-1)),0,Health!$E$22*$B22)))</f>
        <v>0</v>
      </c>
      <c r="Y22" s="97">
        <f>IF(Option2="No",0,IF($A22&lt;ImplementationYear,0,IF($A22&gt;(ImplementationYear+(Appraisal_Period-1)),0,SUM('Travel time'!$E$22:$E$23)*$B22)))</f>
        <v>0</v>
      </c>
      <c r="Z22" s="97">
        <f>IF(Option2="No",0,IF($A22&lt;ImplementationYear,0,IF($A22&gt;(ImplementationYear+(Appraisal_Period-1)),0,SUM('Travel time'!$E$20:$E$21)*$B22)))</f>
        <v>0</v>
      </c>
      <c r="AA22" s="97">
        <f>IF(Option2="No",0,IF($A22&lt;ImplementationYear,0,IF($A22&gt;(ImplementationYear+(Appraisal_Period-1)),0,SUM(Quality!$E$22:$E$23)*$B22)))</f>
        <v>0</v>
      </c>
      <c r="AB22" s="97">
        <f>IF(Option2="No",0,IF($A22&lt;ImplementationYear,0,IF($A22&gt;(ImplementationYear+(Appraisal_Period-1)),0,SUM(Quality!$E$20:$E$21)*$B22)))</f>
        <v>0</v>
      </c>
      <c r="AC22" s="97">
        <f>IF(Option2="No",0,IF($A22&lt;ImplementationYear,0,IF($A22&gt;(ImplementationYear+(Appraisal_Period-1)),0,'Mode change'!$E$36*$B22)))</f>
        <v>0</v>
      </c>
      <c r="AD22" s="97">
        <f>IF(Option2="No",0,IF($A22&lt;ImplementationYear,0,IF($A22&gt;(ImplementationYear+(Appraisal_Period-1)),0,'Mode change'!$E$37*$B22)))</f>
        <v>0</v>
      </c>
      <c r="AE22" s="97">
        <f>IF(Option2="No",0,IF($A22&lt;ImplementationYear,0,IF($A22&gt;(ImplementationYear+(Appraisal_Period-1)),0,'Road safety'!$E$22*$B22)))</f>
        <v>0</v>
      </c>
      <c r="AF22" s="97">
        <f>IF(Option2="No",0,IF($A22&lt;ImplementationYear,0,IF($A22&gt;(ImplementationYear+(Appraisal_Period-1)),0,'Reduction in car usage'!$E$46*$B22)))</f>
        <v>0</v>
      </c>
      <c r="AG22" s="97">
        <f>IF(Option2="No",0,IF($A22&lt;ImplementationYear,0,IF($A22&gt;(ImplementationYear+(Appraisal_Period-1)),0,'Reduction in car usage'!$E$47*$B22)))</f>
        <v>0</v>
      </c>
      <c r="AH22" s="97">
        <f>IF(Option2="No",0,IF($A22&lt;ImplementationYear,0,IF($A22&gt;(ImplementationYear+(Appraisal_Period-1)),0,'Reduction in car usage'!$E$48*$B22)))</f>
        <v>0</v>
      </c>
      <c r="AJ22" s="94">
        <f>IF(Option3="No",0,IF($A22=ImplementationYear,('Project details'!$P$10-'Project details'!$D$10)*VLOOKUP(Year_cost_estimate,'Time-series parameters'!$B$11:$C$89,2,FALSE)*$B22*(1+Contingency),0))</f>
        <v>0</v>
      </c>
      <c r="AK22" s="94">
        <f>IF(Option3="No",0,IF($A22&lt;ImplementationYear,0,IF($A22&gt;(ImplementationYear+(Appraisal_Period-1)),0,('Project details'!$P$11-'Project details'!$D$11)*VLOOKUP(Year_cost_estimate,'Time-series parameters'!$B$11:$C$89,2,0))*$B22))</f>
        <v>0</v>
      </c>
      <c r="AL22" s="94">
        <f>IF(Option3="No",0,IF($A22=ImplementationYear,('Project details'!$P$12-'Project details'!$D$12)*VLOOKUP(Year_cost_estimate,'Time-series parameters'!$B$11:$C$89,2,FALSE)*$B22,0))</f>
        <v>0</v>
      </c>
      <c r="AM22" s="97">
        <f>IF(Option3="No",0,IF($A22&lt;ImplementationYear,0,IF($A22&gt;(ImplementationYear+(Appraisal_Period-1)),0,Health!$F$21*$B22)))</f>
        <v>0</v>
      </c>
      <c r="AN22" s="97">
        <f>IF(Option3="No",0,IF($A22&lt;ImplementationYear,0,IF($A22&gt;(ImplementationYear+(Appraisal_Period-1)),0,Health!$F$22*$B22)))</f>
        <v>0</v>
      </c>
      <c r="AO22" s="97">
        <f>IF(Option3="No",0,IF($A22&lt;ImplementationYear,0,IF($A22&gt;(ImplementationYear+(Appraisal_Period-1)),0,SUM('Travel time'!$F$22:$F$23)*$B22)))</f>
        <v>0</v>
      </c>
      <c r="AP22" s="97">
        <f>IF(Option3="No",0,IF($A22&lt;ImplementationYear,0,IF($A22&gt;(ImplementationYear+(Appraisal_Period-1)),0,SUM('Travel time'!$F$20:$F$21)*$B22)))</f>
        <v>0</v>
      </c>
      <c r="AQ22" s="97">
        <f>IF(Option3="No",0,IF($A22&lt;ImplementationYear,0,IF($A22&gt;(ImplementationYear+(Appraisal_Period-1)),0,SUM(Quality!$F$22:$F$23)*$B22)))</f>
        <v>0</v>
      </c>
      <c r="AR22" s="97">
        <f>IF(Option3="No",0,IF($A22&lt;ImplementationYear,0,IF($A22&gt;(ImplementationYear+(Appraisal_Period-1)),0,SUM(Quality!$F$20:$F$21)*$B22)))</f>
        <v>0</v>
      </c>
      <c r="AS22" s="97">
        <f>IF(Option3="No",0,IF($A22&lt;ImplementationYear,0,IF($A22&gt;(ImplementationYear+(Appraisal_Period-1)),0,'Mode change'!$F$36*$B22)))</f>
        <v>0</v>
      </c>
      <c r="AT22" s="97">
        <f>IF(Option3="No",0,IF($A22&lt;ImplementationYear,0,IF($A22&gt;(ImplementationYear+(Appraisal_Period-1)),0,'Mode change'!$F$37*$B22)))</f>
        <v>0</v>
      </c>
      <c r="AU22" s="97">
        <f>IF(Option3="No",0,IF($A22&lt;ImplementationYear,0,IF($A22&gt;(ImplementationYear+(Appraisal_Period-1)),0,'Road safety'!$F$22*$B22)))</f>
        <v>0</v>
      </c>
      <c r="AV22" s="97">
        <f>IF(Option3="No",0,IF($A22&lt;ImplementationYear,0,IF($A22&gt;(ImplementationYear+(Appraisal_Period-1)),0,'Reduction in car usage'!$F$46*$B22)))</f>
        <v>0</v>
      </c>
      <c r="AW22" s="97">
        <f>IF(Option3="No",0,IF($A22&lt;ImplementationYear,0,IF($A22&gt;(ImplementationYear+(Appraisal_Period-1)),0,'Reduction in car usage'!$F$47*$B22)))</f>
        <v>0</v>
      </c>
      <c r="AX22" s="97">
        <f>IF(Option3="No",0,IF($A22&lt;ImplementationYear,0,IF($A22&gt;(ImplementationYear+(Appraisal_Period-1)),0,'Reduction in car usage'!$F$48*$B22)))</f>
        <v>0</v>
      </c>
    </row>
    <row r="23" spans="1:50">
      <c r="A23" s="335">
        <v>2018</v>
      </c>
      <c r="B23" s="62">
        <f>VLOOKUP($A23,'Time-series parameters'!$E$11:$H$89,3,FALSE)</f>
        <v>0.64847759419263995</v>
      </c>
      <c r="C23" s="89"/>
      <c r="D23" s="94">
        <f>IF(Option1="No",0,IF($A23=ImplementationYear,('Project details'!$H$10-'Project details'!$D$10)*VLOOKUP(Year_cost_estimate,'Time-series parameters'!$B$11:$C$89,2,FALSE)*$B23*(1+Contingency),0))</f>
        <v>0</v>
      </c>
      <c r="E23" s="94">
        <f>IF(Option1="No",0,IF($A23&lt;ImplementationYear,0,IF($A23&gt;(ImplementationYear+(Appraisal_Period-1)),0,('Project details'!$H$11-'Project details'!$D$11)*VLOOKUP(Year_cost_estimate,'Time-series parameters'!$B$11:$C$89,2,0))*$B23))</f>
        <v>0</v>
      </c>
      <c r="F23" s="94">
        <f>IF(Option1="No",0,IF($A23=ImplementationYear,('Project details'!$H$12-'Project details'!$D$12)*VLOOKUP(Year_cost_estimate,'Time-series parameters'!$B$11:$C$89,2,FALSE)*$B23,0))</f>
        <v>0</v>
      </c>
      <c r="G23" s="97">
        <f>IF(Option1="No",0,IF($A23&lt;ImplementationYear,0,IF($A23&gt;(ImplementationYear+(Appraisal_Period-1)),0,Health!$D$21*$B23)))</f>
        <v>0</v>
      </c>
      <c r="H23" s="97">
        <f>IF(Option1="No",0,IF($A23&lt;ImplementationYear,0,IF($A23&gt;(ImplementationYear+(Appraisal_Period-1)),0,Health!$D$22*$B23)))</f>
        <v>0</v>
      </c>
      <c r="I23" s="97">
        <f>IF(Option1="No",0,IF($A23&lt;ImplementationYear,0,IF($A23&gt;(ImplementationYear+(Appraisal_Period-1)),0,SUM('Travel time'!$D$22:$D$23)*$B23)))</f>
        <v>0</v>
      </c>
      <c r="J23" s="97">
        <f>IF(Option1="No",0,IF($A23&lt;ImplementationYear,0,IF($A23&gt;(ImplementationYear+(Appraisal_Period-1)),0,SUM('Travel time'!$D$20:$D$21)*$B23)))</f>
        <v>0</v>
      </c>
      <c r="K23" s="97">
        <f>IF(Option1="No",0,IF($A23&lt;ImplementationYear,0,IF($A23&gt;(ImplementationYear+(Appraisal_Period-1)),0,SUM(Quality!$D$22:$D$23)*$B23)))</f>
        <v>0</v>
      </c>
      <c r="L23" s="97">
        <f>IF(Option1="No",0,IF($A23&lt;ImplementationYear,0,IF($A23&gt;(ImplementationYear+(Appraisal_Period-1)),0,SUM(Quality!$D$20:$D$21)*$B23)))</f>
        <v>0</v>
      </c>
      <c r="M23" s="97">
        <f>IF(Option1="No",0,IF($A23&lt;ImplementationYear,0,IF($A23&gt;(ImplementationYear+(Appraisal_Period-1)),0,'Mode change'!$D$36*$B23)))</f>
        <v>0</v>
      </c>
      <c r="N23" s="97">
        <f>IF(Option1="No",0,IF($A23&lt;ImplementationYear,0,IF($A23&gt;(ImplementationYear+(Appraisal_Period-1)),0,'Mode change'!$D$37*$B23)))</f>
        <v>0</v>
      </c>
      <c r="O23" s="97">
        <f>IF(Option1="No",0,IF($A23&lt;ImplementationYear,0,IF($A23&gt;(ImplementationYear+(Appraisal_Period-1)),0,'Road safety'!$D$22*$B23)))</f>
        <v>0</v>
      </c>
      <c r="P23" s="97">
        <f>IF(Option1="No",0,IF($A23&lt;ImplementationYear,0,IF($A23&gt;(ImplementationYear+(Appraisal_Period-1)),0,'Reduction in car usage'!$D$46*$B23)))</f>
        <v>0</v>
      </c>
      <c r="Q23" s="97">
        <f>IF(Option1="No",0,IF($A23&lt;ImplementationYear,0,IF($A23&gt;(ImplementationYear+(Appraisal_Period-1)),0,'Reduction in car usage'!$D$47*$B23)))</f>
        <v>0</v>
      </c>
      <c r="R23" s="97">
        <f>IF(Option1="No",0,IF($A23&lt;ImplementationYear,0,IF($A23&gt;(ImplementationYear+(Appraisal_Period-1)),0,'Reduction in car usage'!$D$48*$B23)))</f>
        <v>0</v>
      </c>
      <c r="S23" s="92"/>
      <c r="T23" s="94">
        <f>IF(Option2="No",0,IF($A23=ImplementationYear,('Project details'!$L$10-'Project details'!$D$10)*VLOOKUP(Year_cost_estimate,'Time-series parameters'!$B$11:$C$89,2,FALSE)*$B23*(1+Contingency),0))</f>
        <v>0</v>
      </c>
      <c r="U23" s="94">
        <f>IF(Option2="No",0,IF($A23&lt;ImplementationYear,0,IF($A23&gt;(ImplementationYear+(Appraisal_Period-1)),0,('Project details'!$L$11-'Project details'!$D$11)*VLOOKUP(Year_cost_estimate,'Time-series parameters'!$B$11:$C$89,2,0))*$B23))</f>
        <v>0</v>
      </c>
      <c r="V23" s="94">
        <f>IF(Option2="No",0,IF($A23=ImplementationYear,('Project details'!$L$12-'Project details'!$D$12)*VLOOKUP(Year_cost_estimate,'Time-series parameters'!$B$11:$C$89,2,FALSE)*$B23,0))</f>
        <v>0</v>
      </c>
      <c r="W23" s="97">
        <f>IF(Option2="No",0,IF($A23&lt;ImplementationYear,0,IF($A23&gt;(ImplementationYear+(Appraisal_Period-1)),0,Health!$E$21*$B23)))</f>
        <v>0</v>
      </c>
      <c r="X23" s="97">
        <f>IF(Option2="No",0,IF($A23&lt;ImplementationYear,0,IF($A23&gt;(ImplementationYear+(Appraisal_Period-1)),0,Health!$E$22*$B23)))</f>
        <v>0</v>
      </c>
      <c r="Y23" s="97">
        <f>IF(Option2="No",0,IF($A23&lt;ImplementationYear,0,IF($A23&gt;(ImplementationYear+(Appraisal_Period-1)),0,SUM('Travel time'!$E$22:$E$23)*$B23)))</f>
        <v>0</v>
      </c>
      <c r="Z23" s="97">
        <f>IF(Option2="No",0,IF($A23&lt;ImplementationYear,0,IF($A23&gt;(ImplementationYear+(Appraisal_Period-1)),0,SUM('Travel time'!$E$20:$E$21)*$B23)))</f>
        <v>0</v>
      </c>
      <c r="AA23" s="97">
        <f>IF(Option2="No",0,IF($A23&lt;ImplementationYear,0,IF($A23&gt;(ImplementationYear+(Appraisal_Period-1)),0,SUM(Quality!$E$22:$E$23)*$B23)))</f>
        <v>0</v>
      </c>
      <c r="AB23" s="97">
        <f>IF(Option2="No",0,IF($A23&lt;ImplementationYear,0,IF($A23&gt;(ImplementationYear+(Appraisal_Period-1)),0,SUM(Quality!$E$20:$E$21)*$B23)))</f>
        <v>0</v>
      </c>
      <c r="AC23" s="97">
        <f>IF(Option2="No",0,IF($A23&lt;ImplementationYear,0,IF($A23&gt;(ImplementationYear+(Appraisal_Period-1)),0,'Mode change'!$E$36*$B23)))</f>
        <v>0</v>
      </c>
      <c r="AD23" s="97">
        <f>IF(Option2="No",0,IF($A23&lt;ImplementationYear,0,IF($A23&gt;(ImplementationYear+(Appraisal_Period-1)),0,'Mode change'!$E$37*$B23)))</f>
        <v>0</v>
      </c>
      <c r="AE23" s="97">
        <f>IF(Option2="No",0,IF($A23&lt;ImplementationYear,0,IF($A23&gt;(ImplementationYear+(Appraisal_Period-1)),0,'Road safety'!$E$22*$B23)))</f>
        <v>0</v>
      </c>
      <c r="AF23" s="97">
        <f>IF(Option2="No",0,IF($A23&lt;ImplementationYear,0,IF($A23&gt;(ImplementationYear+(Appraisal_Period-1)),0,'Reduction in car usage'!$E$46*$B23)))</f>
        <v>0</v>
      </c>
      <c r="AG23" s="97">
        <f>IF(Option2="No",0,IF($A23&lt;ImplementationYear,0,IF($A23&gt;(ImplementationYear+(Appraisal_Period-1)),0,'Reduction in car usage'!$E$47*$B23)))</f>
        <v>0</v>
      </c>
      <c r="AH23" s="97">
        <f>IF(Option2="No",0,IF($A23&lt;ImplementationYear,0,IF($A23&gt;(ImplementationYear+(Appraisal_Period-1)),0,'Reduction in car usage'!$E$48*$B23)))</f>
        <v>0</v>
      </c>
      <c r="AJ23" s="94">
        <f>IF(Option3="No",0,IF($A23=ImplementationYear,('Project details'!$P$10-'Project details'!$D$10)*VLOOKUP(Year_cost_estimate,'Time-series parameters'!$B$11:$C$89,2,FALSE)*$B23*(1+Contingency),0))</f>
        <v>0</v>
      </c>
      <c r="AK23" s="94">
        <f>IF(Option3="No",0,IF($A23&lt;ImplementationYear,0,IF($A23&gt;(ImplementationYear+(Appraisal_Period-1)),0,('Project details'!$P$11-'Project details'!$D$11)*VLOOKUP(Year_cost_estimate,'Time-series parameters'!$B$11:$C$89,2,0))*$B23))</f>
        <v>0</v>
      </c>
      <c r="AL23" s="94">
        <f>IF(Option3="No",0,IF($A23=ImplementationYear,('Project details'!$P$12-'Project details'!$D$12)*VLOOKUP(Year_cost_estimate,'Time-series parameters'!$B$11:$C$89,2,FALSE)*$B23,0))</f>
        <v>0</v>
      </c>
      <c r="AM23" s="97">
        <f>IF(Option3="No",0,IF($A23&lt;ImplementationYear,0,IF($A23&gt;(ImplementationYear+(Appraisal_Period-1)),0,Health!$F$21*$B23)))</f>
        <v>0</v>
      </c>
      <c r="AN23" s="97">
        <f>IF(Option3="No",0,IF($A23&lt;ImplementationYear,0,IF($A23&gt;(ImplementationYear+(Appraisal_Period-1)),0,Health!$F$22*$B23)))</f>
        <v>0</v>
      </c>
      <c r="AO23" s="97">
        <f>IF(Option3="No",0,IF($A23&lt;ImplementationYear,0,IF($A23&gt;(ImplementationYear+(Appraisal_Period-1)),0,SUM('Travel time'!$F$22:$F$23)*$B23)))</f>
        <v>0</v>
      </c>
      <c r="AP23" s="97">
        <f>IF(Option3="No",0,IF($A23&lt;ImplementationYear,0,IF($A23&gt;(ImplementationYear+(Appraisal_Period-1)),0,SUM('Travel time'!$F$20:$F$21)*$B23)))</f>
        <v>0</v>
      </c>
      <c r="AQ23" s="97">
        <f>IF(Option3="No",0,IF($A23&lt;ImplementationYear,0,IF($A23&gt;(ImplementationYear+(Appraisal_Period-1)),0,SUM(Quality!$F$22:$F$23)*$B23)))</f>
        <v>0</v>
      </c>
      <c r="AR23" s="97">
        <f>IF(Option3="No",0,IF($A23&lt;ImplementationYear,0,IF($A23&gt;(ImplementationYear+(Appraisal_Period-1)),0,SUM(Quality!$F$20:$F$21)*$B23)))</f>
        <v>0</v>
      </c>
      <c r="AS23" s="97">
        <f>IF(Option3="No",0,IF($A23&lt;ImplementationYear,0,IF($A23&gt;(ImplementationYear+(Appraisal_Period-1)),0,'Mode change'!$F$36*$B23)))</f>
        <v>0</v>
      </c>
      <c r="AT23" s="97">
        <f>IF(Option3="No",0,IF($A23&lt;ImplementationYear,0,IF($A23&gt;(ImplementationYear+(Appraisal_Period-1)),0,'Mode change'!$F$37*$B23)))</f>
        <v>0</v>
      </c>
      <c r="AU23" s="97">
        <f>IF(Option3="No",0,IF($A23&lt;ImplementationYear,0,IF($A23&gt;(ImplementationYear+(Appraisal_Period-1)),0,'Road safety'!$F$22*$B23)))</f>
        <v>0</v>
      </c>
      <c r="AV23" s="97">
        <f>IF(Option3="No",0,IF($A23&lt;ImplementationYear,0,IF($A23&gt;(ImplementationYear+(Appraisal_Period-1)),0,'Reduction in car usage'!$F$46*$B23)))</f>
        <v>0</v>
      </c>
      <c r="AW23" s="97">
        <f>IF(Option3="No",0,IF($A23&lt;ImplementationYear,0,IF($A23&gt;(ImplementationYear+(Appraisal_Period-1)),0,'Reduction in car usage'!$F$47*$B23)))</f>
        <v>0</v>
      </c>
      <c r="AX23" s="97">
        <f>IF(Option3="No",0,IF($A23&lt;ImplementationYear,0,IF($A23&gt;(ImplementationYear+(Appraisal_Period-1)),0,'Reduction in car usage'!$F$48*$B23)))</f>
        <v>0</v>
      </c>
    </row>
    <row r="24" spans="1:50">
      <c r="A24" s="335">
        <v>2019</v>
      </c>
      <c r="B24" s="62">
        <f>VLOOKUP($A24,'Time-series parameters'!$E$11:$H$89,3,FALSE)</f>
        <v>0.60956893854108152</v>
      </c>
      <c r="C24" s="89"/>
      <c r="D24" s="94">
        <f>IF(Option1="No",0,IF($A24=ImplementationYear,('Project details'!$H$10-'Project details'!$D$10)*VLOOKUP(Year_cost_estimate,'Time-series parameters'!$B$11:$C$89,2,FALSE)*$B24*(1+Contingency),0))</f>
        <v>0</v>
      </c>
      <c r="E24" s="94">
        <f>IF(Option1="No",0,IF($A24&lt;ImplementationYear,0,IF($A24&gt;(ImplementationYear+(Appraisal_Period-1)),0,('Project details'!$H$11-'Project details'!$D$11)*VLOOKUP(Year_cost_estimate,'Time-series parameters'!$B$11:$C$89,2,0))*$B24))</f>
        <v>0</v>
      </c>
      <c r="F24" s="94">
        <f>IF(Option1="No",0,IF($A24=ImplementationYear,('Project details'!$H$12-'Project details'!$D$12)*VLOOKUP(Year_cost_estimate,'Time-series parameters'!$B$11:$C$89,2,FALSE)*$B24,0))</f>
        <v>0</v>
      </c>
      <c r="G24" s="97">
        <f>IF(Option1="No",0,IF($A24&lt;ImplementationYear,0,IF($A24&gt;(ImplementationYear+(Appraisal_Period-1)),0,Health!$D$21*$B24)))</f>
        <v>0</v>
      </c>
      <c r="H24" s="97">
        <f>IF(Option1="No",0,IF($A24&lt;ImplementationYear,0,IF($A24&gt;(ImplementationYear+(Appraisal_Period-1)),0,Health!$D$22*$B24)))</f>
        <v>0</v>
      </c>
      <c r="I24" s="97">
        <f>IF(Option1="No",0,IF($A24&lt;ImplementationYear,0,IF($A24&gt;(ImplementationYear+(Appraisal_Period-1)),0,SUM('Travel time'!$D$22:$D$23)*$B24)))</f>
        <v>0</v>
      </c>
      <c r="J24" s="97">
        <f>IF(Option1="No",0,IF($A24&lt;ImplementationYear,0,IF($A24&gt;(ImplementationYear+(Appraisal_Period-1)),0,SUM('Travel time'!$D$20:$D$21)*$B24)))</f>
        <v>0</v>
      </c>
      <c r="K24" s="97">
        <f>IF(Option1="No",0,IF($A24&lt;ImplementationYear,0,IF($A24&gt;(ImplementationYear+(Appraisal_Period-1)),0,SUM(Quality!$D$22:$D$23)*$B24)))</f>
        <v>0</v>
      </c>
      <c r="L24" s="97">
        <f>IF(Option1="No",0,IF($A24&lt;ImplementationYear,0,IF($A24&gt;(ImplementationYear+(Appraisal_Period-1)),0,SUM(Quality!$D$20:$D$21)*$B24)))</f>
        <v>0</v>
      </c>
      <c r="M24" s="97">
        <f>IF(Option1="No",0,IF($A24&lt;ImplementationYear,0,IF($A24&gt;(ImplementationYear+(Appraisal_Period-1)),0,'Mode change'!$D$36*$B24)))</f>
        <v>0</v>
      </c>
      <c r="N24" s="97">
        <f>IF(Option1="No",0,IF($A24&lt;ImplementationYear,0,IF($A24&gt;(ImplementationYear+(Appraisal_Period-1)),0,'Mode change'!$D$37*$B24)))</f>
        <v>0</v>
      </c>
      <c r="O24" s="97">
        <f>IF(Option1="No",0,IF($A24&lt;ImplementationYear,0,IF($A24&gt;(ImplementationYear+(Appraisal_Period-1)),0,'Road safety'!$D$22*$B24)))</f>
        <v>0</v>
      </c>
      <c r="P24" s="97">
        <f>IF(Option1="No",0,IF($A24&lt;ImplementationYear,0,IF($A24&gt;(ImplementationYear+(Appraisal_Period-1)),0,'Reduction in car usage'!$D$46*$B24)))</f>
        <v>0</v>
      </c>
      <c r="Q24" s="97">
        <f>IF(Option1="No",0,IF($A24&lt;ImplementationYear,0,IF($A24&gt;(ImplementationYear+(Appraisal_Period-1)),0,'Reduction in car usage'!$D$47*$B24)))</f>
        <v>0</v>
      </c>
      <c r="R24" s="97">
        <f>IF(Option1="No",0,IF($A24&lt;ImplementationYear,0,IF($A24&gt;(ImplementationYear+(Appraisal_Period-1)),0,'Reduction in car usage'!$D$48*$B24)))</f>
        <v>0</v>
      </c>
      <c r="S24" s="92"/>
      <c r="T24" s="94">
        <f>IF(Option2="No",0,IF($A24=ImplementationYear,('Project details'!$L$10-'Project details'!$D$10)*VLOOKUP(Year_cost_estimate,'Time-series parameters'!$B$11:$C$89,2,FALSE)*$B24*(1+Contingency),0))</f>
        <v>0</v>
      </c>
      <c r="U24" s="94">
        <f>IF(Option2="No",0,IF($A24&lt;ImplementationYear,0,IF($A24&gt;(ImplementationYear+(Appraisal_Period-1)),0,('Project details'!$L$11-'Project details'!$D$11)*VLOOKUP(Year_cost_estimate,'Time-series parameters'!$B$11:$C$89,2,0))*$B24))</f>
        <v>0</v>
      </c>
      <c r="V24" s="94">
        <f>IF(Option2="No",0,IF($A24=ImplementationYear,('Project details'!$L$12-'Project details'!$D$12)*VLOOKUP(Year_cost_estimate,'Time-series parameters'!$B$11:$C$89,2,FALSE)*$B24,0))</f>
        <v>0</v>
      </c>
      <c r="W24" s="97">
        <f>IF(Option2="No",0,IF($A24&lt;ImplementationYear,0,IF($A24&gt;(ImplementationYear+(Appraisal_Period-1)),0,Health!$E$21*$B24)))</f>
        <v>0</v>
      </c>
      <c r="X24" s="97">
        <f>IF(Option2="No",0,IF($A24&lt;ImplementationYear,0,IF($A24&gt;(ImplementationYear+(Appraisal_Period-1)),0,Health!$E$22*$B24)))</f>
        <v>0</v>
      </c>
      <c r="Y24" s="97">
        <f>IF(Option2="No",0,IF($A24&lt;ImplementationYear,0,IF($A24&gt;(ImplementationYear+(Appraisal_Period-1)),0,SUM('Travel time'!$E$22:$E$23)*$B24)))</f>
        <v>0</v>
      </c>
      <c r="Z24" s="97">
        <f>IF(Option2="No",0,IF($A24&lt;ImplementationYear,0,IF($A24&gt;(ImplementationYear+(Appraisal_Period-1)),0,SUM('Travel time'!$E$20:$E$21)*$B24)))</f>
        <v>0</v>
      </c>
      <c r="AA24" s="97">
        <f>IF(Option2="No",0,IF($A24&lt;ImplementationYear,0,IF($A24&gt;(ImplementationYear+(Appraisal_Period-1)),0,SUM(Quality!$E$22:$E$23)*$B24)))</f>
        <v>0</v>
      </c>
      <c r="AB24" s="97">
        <f>IF(Option2="No",0,IF($A24&lt;ImplementationYear,0,IF($A24&gt;(ImplementationYear+(Appraisal_Period-1)),0,SUM(Quality!$E$20:$E$21)*$B24)))</f>
        <v>0</v>
      </c>
      <c r="AC24" s="97">
        <f>IF(Option2="No",0,IF($A24&lt;ImplementationYear,0,IF($A24&gt;(ImplementationYear+(Appraisal_Period-1)),0,'Mode change'!$E$36*$B24)))</f>
        <v>0</v>
      </c>
      <c r="AD24" s="97">
        <f>IF(Option2="No",0,IF($A24&lt;ImplementationYear,0,IF($A24&gt;(ImplementationYear+(Appraisal_Period-1)),0,'Mode change'!$E$37*$B24)))</f>
        <v>0</v>
      </c>
      <c r="AE24" s="97">
        <f>IF(Option2="No",0,IF($A24&lt;ImplementationYear,0,IF($A24&gt;(ImplementationYear+(Appraisal_Period-1)),0,'Road safety'!$E$22*$B24)))</f>
        <v>0</v>
      </c>
      <c r="AF24" s="97">
        <f>IF(Option2="No",0,IF($A24&lt;ImplementationYear,0,IF($A24&gt;(ImplementationYear+(Appraisal_Period-1)),0,'Reduction in car usage'!$E$46*$B24)))</f>
        <v>0</v>
      </c>
      <c r="AG24" s="97">
        <f>IF(Option2="No",0,IF($A24&lt;ImplementationYear,0,IF($A24&gt;(ImplementationYear+(Appraisal_Period-1)),0,'Reduction in car usage'!$E$47*$B24)))</f>
        <v>0</v>
      </c>
      <c r="AH24" s="97">
        <f>IF(Option2="No",0,IF($A24&lt;ImplementationYear,0,IF($A24&gt;(ImplementationYear+(Appraisal_Period-1)),0,'Reduction in car usage'!$E$48*$B24)))</f>
        <v>0</v>
      </c>
      <c r="AJ24" s="94">
        <f>IF(Option3="No",0,IF($A24=ImplementationYear,('Project details'!$P$10-'Project details'!$D$10)*VLOOKUP(Year_cost_estimate,'Time-series parameters'!$B$11:$C$89,2,FALSE)*$B24*(1+Contingency),0))</f>
        <v>0</v>
      </c>
      <c r="AK24" s="94">
        <f>IF(Option3="No",0,IF($A24&lt;ImplementationYear,0,IF($A24&gt;(ImplementationYear+(Appraisal_Period-1)),0,('Project details'!$P$11-'Project details'!$D$11)*VLOOKUP(Year_cost_estimate,'Time-series parameters'!$B$11:$C$89,2,0))*$B24))</f>
        <v>0</v>
      </c>
      <c r="AL24" s="94">
        <f>IF(Option3="No",0,IF($A24=ImplementationYear,('Project details'!$P$12-'Project details'!$D$12)*VLOOKUP(Year_cost_estimate,'Time-series parameters'!$B$11:$C$89,2,FALSE)*$B24,0))</f>
        <v>0</v>
      </c>
      <c r="AM24" s="97">
        <f>IF(Option3="No",0,IF($A24&lt;ImplementationYear,0,IF($A24&gt;(ImplementationYear+(Appraisal_Period-1)),0,Health!$F$21*$B24)))</f>
        <v>0</v>
      </c>
      <c r="AN24" s="97">
        <f>IF(Option3="No",0,IF($A24&lt;ImplementationYear,0,IF($A24&gt;(ImplementationYear+(Appraisal_Period-1)),0,Health!$F$22*$B24)))</f>
        <v>0</v>
      </c>
      <c r="AO24" s="97">
        <f>IF(Option3="No",0,IF($A24&lt;ImplementationYear,0,IF($A24&gt;(ImplementationYear+(Appraisal_Period-1)),0,SUM('Travel time'!$F$22:$F$23)*$B24)))</f>
        <v>0</v>
      </c>
      <c r="AP24" s="97">
        <f>IF(Option3="No",0,IF($A24&lt;ImplementationYear,0,IF($A24&gt;(ImplementationYear+(Appraisal_Period-1)),0,SUM('Travel time'!$F$20:$F$21)*$B24)))</f>
        <v>0</v>
      </c>
      <c r="AQ24" s="97">
        <f>IF(Option3="No",0,IF($A24&lt;ImplementationYear,0,IF($A24&gt;(ImplementationYear+(Appraisal_Period-1)),0,SUM(Quality!$F$22:$F$23)*$B24)))</f>
        <v>0</v>
      </c>
      <c r="AR24" s="97">
        <f>IF(Option3="No",0,IF($A24&lt;ImplementationYear,0,IF($A24&gt;(ImplementationYear+(Appraisal_Period-1)),0,SUM(Quality!$F$20:$F$21)*$B24)))</f>
        <v>0</v>
      </c>
      <c r="AS24" s="97">
        <f>IF(Option3="No",0,IF($A24&lt;ImplementationYear,0,IF($A24&gt;(ImplementationYear+(Appraisal_Period-1)),0,'Mode change'!$F$36*$B24)))</f>
        <v>0</v>
      </c>
      <c r="AT24" s="97">
        <f>IF(Option3="No",0,IF($A24&lt;ImplementationYear,0,IF($A24&gt;(ImplementationYear+(Appraisal_Period-1)),0,'Mode change'!$F$37*$B24)))</f>
        <v>0</v>
      </c>
      <c r="AU24" s="97">
        <f>IF(Option3="No",0,IF($A24&lt;ImplementationYear,0,IF($A24&gt;(ImplementationYear+(Appraisal_Period-1)),0,'Road safety'!$F$22*$B24)))</f>
        <v>0</v>
      </c>
      <c r="AV24" s="97">
        <f>IF(Option3="No",0,IF($A24&lt;ImplementationYear,0,IF($A24&gt;(ImplementationYear+(Appraisal_Period-1)),0,'Reduction in car usage'!$F$46*$B24)))</f>
        <v>0</v>
      </c>
      <c r="AW24" s="97">
        <f>IF(Option3="No",0,IF($A24&lt;ImplementationYear,0,IF($A24&gt;(ImplementationYear+(Appraisal_Period-1)),0,'Reduction in car usage'!$F$47*$B24)))</f>
        <v>0</v>
      </c>
      <c r="AX24" s="97">
        <f>IF(Option3="No",0,IF($A24&lt;ImplementationYear,0,IF($A24&gt;(ImplementationYear+(Appraisal_Period-1)),0,'Reduction in car usage'!$F$48*$B24)))</f>
        <v>0</v>
      </c>
    </row>
    <row r="25" spans="1:50">
      <c r="A25" s="335">
        <v>2020</v>
      </c>
      <c r="B25" s="62">
        <f>VLOOKUP($A25,'Time-series parameters'!$E$11:$H$89,3,FALSE)</f>
        <v>0.57299480222861665</v>
      </c>
      <c r="C25" s="89"/>
      <c r="D25" s="94">
        <f>IF(Option1="No",0,IF($A25=ImplementationYear,('Project details'!$H$10-'Project details'!$D$10)*VLOOKUP(Year_cost_estimate,'Time-series parameters'!$B$11:$C$89,2,FALSE)*$B25*(1+Contingency),0))</f>
        <v>0</v>
      </c>
      <c r="E25" s="94">
        <f>IF(Option1="No",0,IF($A25&lt;ImplementationYear,0,IF($A25&gt;(ImplementationYear+(Appraisal_Period-1)),0,('Project details'!$H$11-'Project details'!$D$11)*VLOOKUP(Year_cost_estimate,'Time-series parameters'!$B$11:$C$89,2,0))*$B25))</f>
        <v>0</v>
      </c>
      <c r="F25" s="94">
        <f>IF(Option1="No",0,IF($A25=ImplementationYear,('Project details'!$H$12-'Project details'!$D$12)*VLOOKUP(Year_cost_estimate,'Time-series parameters'!$B$11:$C$89,2,FALSE)*$B25,0))</f>
        <v>0</v>
      </c>
      <c r="G25" s="97">
        <f>IF(Option1="No",0,IF($A25&lt;ImplementationYear,0,IF($A25&gt;(ImplementationYear+(Appraisal_Period-1)),0,Health!$D$21*$B25)))</f>
        <v>0</v>
      </c>
      <c r="H25" s="97">
        <f>IF(Option1="No",0,IF($A25&lt;ImplementationYear,0,IF($A25&gt;(ImplementationYear+(Appraisal_Period-1)),0,Health!$D$22*$B25)))</f>
        <v>0</v>
      </c>
      <c r="I25" s="97">
        <f>IF(Option1="No",0,IF($A25&lt;ImplementationYear,0,IF($A25&gt;(ImplementationYear+(Appraisal_Period-1)),0,SUM('Travel time'!$D$22:$D$23)*$B25)))</f>
        <v>0</v>
      </c>
      <c r="J25" s="97">
        <f>IF(Option1="No",0,IF($A25&lt;ImplementationYear,0,IF($A25&gt;(ImplementationYear+(Appraisal_Period-1)),0,SUM('Travel time'!$D$20:$D$21)*$B25)))</f>
        <v>0</v>
      </c>
      <c r="K25" s="97">
        <f>IF(Option1="No",0,IF($A25&lt;ImplementationYear,0,IF($A25&gt;(ImplementationYear+(Appraisal_Period-1)),0,SUM(Quality!$D$22:$D$23)*$B25)))</f>
        <v>0</v>
      </c>
      <c r="L25" s="97">
        <f>IF(Option1="No",0,IF($A25&lt;ImplementationYear,0,IF($A25&gt;(ImplementationYear+(Appraisal_Period-1)),0,SUM(Quality!$D$20:$D$21)*$B25)))</f>
        <v>0</v>
      </c>
      <c r="M25" s="97">
        <f>IF(Option1="No",0,IF($A25&lt;ImplementationYear,0,IF($A25&gt;(ImplementationYear+(Appraisal_Period-1)),0,'Mode change'!$D$36*$B25)))</f>
        <v>0</v>
      </c>
      <c r="N25" s="97">
        <f>IF(Option1="No",0,IF($A25&lt;ImplementationYear,0,IF($A25&gt;(ImplementationYear+(Appraisal_Period-1)),0,'Mode change'!$D$37*$B25)))</f>
        <v>0</v>
      </c>
      <c r="O25" s="97">
        <f>IF(Option1="No",0,IF($A25&lt;ImplementationYear,0,IF($A25&gt;(ImplementationYear+(Appraisal_Period-1)),0,'Road safety'!$D$22*$B25)))</f>
        <v>0</v>
      </c>
      <c r="P25" s="97">
        <f>IF(Option1="No",0,IF($A25&lt;ImplementationYear,0,IF($A25&gt;(ImplementationYear+(Appraisal_Period-1)),0,'Reduction in car usage'!$D$46*$B25)))</f>
        <v>0</v>
      </c>
      <c r="Q25" s="97">
        <f>IF(Option1="No",0,IF($A25&lt;ImplementationYear,0,IF($A25&gt;(ImplementationYear+(Appraisal_Period-1)),0,'Reduction in car usage'!$D$47*$B25)))</f>
        <v>0</v>
      </c>
      <c r="R25" s="97">
        <f>IF(Option1="No",0,IF($A25&lt;ImplementationYear,0,IF($A25&gt;(ImplementationYear+(Appraisal_Period-1)),0,'Reduction in car usage'!$D$48*$B25)))</f>
        <v>0</v>
      </c>
      <c r="S25" s="92"/>
      <c r="T25" s="94">
        <f>IF(Option2="No",0,IF($A25=ImplementationYear,('Project details'!$L$10-'Project details'!$D$10)*VLOOKUP(Year_cost_estimate,'Time-series parameters'!$B$11:$C$89,2,FALSE)*$B25*(1+Contingency),0))</f>
        <v>0</v>
      </c>
      <c r="U25" s="94">
        <f>IF(Option2="No",0,IF($A25&lt;ImplementationYear,0,IF($A25&gt;(ImplementationYear+(Appraisal_Period-1)),0,('Project details'!$L$11-'Project details'!$D$11)*VLOOKUP(Year_cost_estimate,'Time-series parameters'!$B$11:$C$89,2,0))*$B25))</f>
        <v>0</v>
      </c>
      <c r="V25" s="94">
        <f>IF(Option2="No",0,IF($A25=ImplementationYear,('Project details'!$L$12-'Project details'!$D$12)*VLOOKUP(Year_cost_estimate,'Time-series parameters'!$B$11:$C$89,2,FALSE)*$B25,0))</f>
        <v>0</v>
      </c>
      <c r="W25" s="97">
        <f>IF(Option2="No",0,IF($A25&lt;ImplementationYear,0,IF($A25&gt;(ImplementationYear+(Appraisal_Period-1)),0,Health!$E$21*$B25)))</f>
        <v>0</v>
      </c>
      <c r="X25" s="97">
        <f>IF(Option2="No",0,IF($A25&lt;ImplementationYear,0,IF($A25&gt;(ImplementationYear+(Appraisal_Period-1)),0,Health!$E$22*$B25)))</f>
        <v>0</v>
      </c>
      <c r="Y25" s="97">
        <f>IF(Option2="No",0,IF($A25&lt;ImplementationYear,0,IF($A25&gt;(ImplementationYear+(Appraisal_Period-1)),0,SUM('Travel time'!$E$22:$E$23)*$B25)))</f>
        <v>0</v>
      </c>
      <c r="Z25" s="97">
        <f>IF(Option2="No",0,IF($A25&lt;ImplementationYear,0,IF($A25&gt;(ImplementationYear+(Appraisal_Period-1)),0,SUM('Travel time'!$E$20:$E$21)*$B25)))</f>
        <v>0</v>
      </c>
      <c r="AA25" s="97">
        <f>IF(Option2="No",0,IF($A25&lt;ImplementationYear,0,IF($A25&gt;(ImplementationYear+(Appraisal_Period-1)),0,SUM(Quality!$E$22:$E$23)*$B25)))</f>
        <v>0</v>
      </c>
      <c r="AB25" s="97">
        <f>IF(Option2="No",0,IF($A25&lt;ImplementationYear,0,IF($A25&gt;(ImplementationYear+(Appraisal_Period-1)),0,SUM(Quality!$E$20:$E$21)*$B25)))</f>
        <v>0</v>
      </c>
      <c r="AC25" s="97">
        <f>IF(Option2="No",0,IF($A25&lt;ImplementationYear,0,IF($A25&gt;(ImplementationYear+(Appraisal_Period-1)),0,'Mode change'!$E$36*$B25)))</f>
        <v>0</v>
      </c>
      <c r="AD25" s="97">
        <f>IF(Option2="No",0,IF($A25&lt;ImplementationYear,0,IF($A25&gt;(ImplementationYear+(Appraisal_Period-1)),0,'Mode change'!$E$37*$B25)))</f>
        <v>0</v>
      </c>
      <c r="AE25" s="97">
        <f>IF(Option2="No",0,IF($A25&lt;ImplementationYear,0,IF($A25&gt;(ImplementationYear+(Appraisal_Period-1)),0,'Road safety'!$E$22*$B25)))</f>
        <v>0</v>
      </c>
      <c r="AF25" s="97">
        <f>IF(Option2="No",0,IF($A25&lt;ImplementationYear,0,IF($A25&gt;(ImplementationYear+(Appraisal_Period-1)),0,'Reduction in car usage'!$E$46*$B25)))</f>
        <v>0</v>
      </c>
      <c r="AG25" s="97">
        <f>IF(Option2="No",0,IF($A25&lt;ImplementationYear,0,IF($A25&gt;(ImplementationYear+(Appraisal_Period-1)),0,'Reduction in car usage'!$E$47*$B25)))</f>
        <v>0</v>
      </c>
      <c r="AH25" s="97">
        <f>IF(Option2="No",0,IF($A25&lt;ImplementationYear,0,IF($A25&gt;(ImplementationYear+(Appraisal_Period-1)),0,'Reduction in car usage'!$E$48*$B25)))</f>
        <v>0</v>
      </c>
      <c r="AJ25" s="94">
        <f>IF(Option3="No",0,IF($A25=ImplementationYear,('Project details'!$P$10-'Project details'!$D$10)*VLOOKUP(Year_cost_estimate,'Time-series parameters'!$B$11:$C$89,2,FALSE)*$B25*(1+Contingency),0))</f>
        <v>0</v>
      </c>
      <c r="AK25" s="94">
        <f>IF(Option3="No",0,IF($A25&lt;ImplementationYear,0,IF($A25&gt;(ImplementationYear+(Appraisal_Period-1)),0,('Project details'!$P$11-'Project details'!$D$11)*VLOOKUP(Year_cost_estimate,'Time-series parameters'!$B$11:$C$89,2,0))*$B25))</f>
        <v>0</v>
      </c>
      <c r="AL25" s="94">
        <f>IF(Option3="No",0,IF($A25=ImplementationYear,('Project details'!$P$12-'Project details'!$D$12)*VLOOKUP(Year_cost_estimate,'Time-series parameters'!$B$11:$C$89,2,FALSE)*$B25,0))</f>
        <v>0</v>
      </c>
      <c r="AM25" s="97">
        <f>IF(Option3="No",0,IF($A25&lt;ImplementationYear,0,IF($A25&gt;(ImplementationYear+(Appraisal_Period-1)),0,Health!$F$21*$B25)))</f>
        <v>0</v>
      </c>
      <c r="AN25" s="97">
        <f>IF(Option3="No",0,IF($A25&lt;ImplementationYear,0,IF($A25&gt;(ImplementationYear+(Appraisal_Period-1)),0,Health!$F$22*$B25)))</f>
        <v>0</v>
      </c>
      <c r="AO25" s="97">
        <f>IF(Option3="No",0,IF($A25&lt;ImplementationYear,0,IF($A25&gt;(ImplementationYear+(Appraisal_Period-1)),0,SUM('Travel time'!$F$22:$F$23)*$B25)))</f>
        <v>0</v>
      </c>
      <c r="AP25" s="97">
        <f>IF(Option3="No",0,IF($A25&lt;ImplementationYear,0,IF($A25&gt;(ImplementationYear+(Appraisal_Period-1)),0,SUM('Travel time'!$F$20:$F$21)*$B25)))</f>
        <v>0</v>
      </c>
      <c r="AQ25" s="97">
        <f>IF(Option3="No",0,IF($A25&lt;ImplementationYear,0,IF($A25&gt;(ImplementationYear+(Appraisal_Period-1)),0,SUM(Quality!$F$22:$F$23)*$B25)))</f>
        <v>0</v>
      </c>
      <c r="AR25" s="97">
        <f>IF(Option3="No",0,IF($A25&lt;ImplementationYear,0,IF($A25&gt;(ImplementationYear+(Appraisal_Period-1)),0,SUM(Quality!$F$20:$F$21)*$B25)))</f>
        <v>0</v>
      </c>
      <c r="AS25" s="97">
        <f>IF(Option3="No",0,IF($A25&lt;ImplementationYear,0,IF($A25&gt;(ImplementationYear+(Appraisal_Period-1)),0,'Mode change'!$F$36*$B25)))</f>
        <v>0</v>
      </c>
      <c r="AT25" s="97">
        <f>IF(Option3="No",0,IF($A25&lt;ImplementationYear,0,IF($A25&gt;(ImplementationYear+(Appraisal_Period-1)),0,'Mode change'!$F$37*$B25)))</f>
        <v>0</v>
      </c>
      <c r="AU25" s="97">
        <f>IF(Option3="No",0,IF($A25&lt;ImplementationYear,0,IF($A25&gt;(ImplementationYear+(Appraisal_Period-1)),0,'Road safety'!$F$22*$B25)))</f>
        <v>0</v>
      </c>
      <c r="AV25" s="97">
        <f>IF(Option3="No",0,IF($A25&lt;ImplementationYear,0,IF($A25&gt;(ImplementationYear+(Appraisal_Period-1)),0,'Reduction in car usage'!$F$46*$B25)))</f>
        <v>0</v>
      </c>
      <c r="AW25" s="97">
        <f>IF(Option3="No",0,IF($A25&lt;ImplementationYear,0,IF($A25&gt;(ImplementationYear+(Appraisal_Period-1)),0,'Reduction in car usage'!$F$47*$B25)))</f>
        <v>0</v>
      </c>
      <c r="AX25" s="97">
        <f>IF(Option3="No",0,IF($A25&lt;ImplementationYear,0,IF($A25&gt;(ImplementationYear+(Appraisal_Period-1)),0,'Reduction in car usage'!$F$48*$B25)))</f>
        <v>0</v>
      </c>
    </row>
    <row r="26" spans="1:50">
      <c r="A26" s="335">
        <v>2021</v>
      </c>
      <c r="B26" s="62">
        <f>VLOOKUP($A26,'Time-series parameters'!$E$11:$H$89,3,FALSE)</f>
        <v>0.53861511409489971</v>
      </c>
      <c r="C26" s="89"/>
      <c r="D26" s="94">
        <f>IF(Option1="No",0,IF($A26=ImplementationYear,('Project details'!$H$10-'Project details'!$D$10)*VLOOKUP(Year_cost_estimate,'Time-series parameters'!$B$11:$C$89,2,FALSE)*$B26*(1+Contingency),0))</f>
        <v>0</v>
      </c>
      <c r="E26" s="94">
        <f>IF(Option1="No",0,IF($A26&lt;ImplementationYear,0,IF($A26&gt;(ImplementationYear+(Appraisal_Period-1)),0,('Project details'!$H$11-'Project details'!$D$11)*VLOOKUP(Year_cost_estimate,'Time-series parameters'!$B$11:$C$89,2,0))*$B26))</f>
        <v>0</v>
      </c>
      <c r="F26" s="94">
        <f>IF(Option1="No",0,IF($A26=ImplementationYear,('Project details'!$H$12-'Project details'!$D$12)*VLOOKUP(Year_cost_estimate,'Time-series parameters'!$B$11:$C$89,2,FALSE)*$B26,0))</f>
        <v>0</v>
      </c>
      <c r="G26" s="97">
        <f>IF(Option1="No",0,IF($A26&lt;ImplementationYear,0,IF($A26&gt;(ImplementationYear+(Appraisal_Period-1)),0,Health!$D$21*$B26)))</f>
        <v>0</v>
      </c>
      <c r="H26" s="97">
        <f>IF(Option1="No",0,IF($A26&lt;ImplementationYear,0,IF($A26&gt;(ImplementationYear+(Appraisal_Period-1)),0,Health!$D$22*$B26)))</f>
        <v>0</v>
      </c>
      <c r="I26" s="97">
        <f>IF(Option1="No",0,IF($A26&lt;ImplementationYear,0,IF($A26&gt;(ImplementationYear+(Appraisal_Period-1)),0,SUM('Travel time'!$D$22:$D$23)*$B26)))</f>
        <v>0</v>
      </c>
      <c r="J26" s="97">
        <f>IF(Option1="No",0,IF($A26&lt;ImplementationYear,0,IF($A26&gt;(ImplementationYear+(Appraisal_Period-1)),0,SUM('Travel time'!$D$20:$D$21)*$B26)))</f>
        <v>0</v>
      </c>
      <c r="K26" s="97">
        <f>IF(Option1="No",0,IF($A26&lt;ImplementationYear,0,IF($A26&gt;(ImplementationYear+(Appraisal_Period-1)),0,SUM(Quality!$D$22:$D$23)*$B26)))</f>
        <v>0</v>
      </c>
      <c r="L26" s="97">
        <f>IF(Option1="No",0,IF($A26&lt;ImplementationYear,0,IF($A26&gt;(ImplementationYear+(Appraisal_Period-1)),0,SUM(Quality!$D$20:$D$21)*$B26)))</f>
        <v>0</v>
      </c>
      <c r="M26" s="97">
        <f>IF(Option1="No",0,IF($A26&lt;ImplementationYear,0,IF($A26&gt;(ImplementationYear+(Appraisal_Period-1)),0,'Mode change'!$D$36*$B26)))</f>
        <v>0</v>
      </c>
      <c r="N26" s="97">
        <f>IF(Option1="No",0,IF($A26&lt;ImplementationYear,0,IF($A26&gt;(ImplementationYear+(Appraisal_Period-1)),0,'Mode change'!$D$37*$B26)))</f>
        <v>0</v>
      </c>
      <c r="O26" s="97">
        <f>IF(Option1="No",0,IF($A26&lt;ImplementationYear,0,IF($A26&gt;(ImplementationYear+(Appraisal_Period-1)),0,'Road safety'!$D$22*$B26)))</f>
        <v>0</v>
      </c>
      <c r="P26" s="97">
        <f>IF(Option1="No",0,IF($A26&lt;ImplementationYear,0,IF($A26&gt;(ImplementationYear+(Appraisal_Period-1)),0,'Reduction in car usage'!$D$46*$B26)))</f>
        <v>0</v>
      </c>
      <c r="Q26" s="97">
        <f>IF(Option1="No",0,IF($A26&lt;ImplementationYear,0,IF($A26&gt;(ImplementationYear+(Appraisal_Period-1)),0,'Reduction in car usage'!$D$47*$B26)))</f>
        <v>0</v>
      </c>
      <c r="R26" s="97">
        <f>IF(Option1="No",0,IF($A26&lt;ImplementationYear,0,IF($A26&gt;(ImplementationYear+(Appraisal_Period-1)),0,'Reduction in car usage'!$D$48*$B26)))</f>
        <v>0</v>
      </c>
      <c r="S26" s="92"/>
      <c r="T26" s="94">
        <f>IF(Option2="No",0,IF($A26=ImplementationYear,('Project details'!$L$10-'Project details'!$D$10)*VLOOKUP(Year_cost_estimate,'Time-series parameters'!$B$11:$C$89,2,FALSE)*$B26*(1+Contingency),0))</f>
        <v>0</v>
      </c>
      <c r="U26" s="94">
        <f>IF(Option2="No",0,IF($A26&lt;ImplementationYear,0,IF($A26&gt;(ImplementationYear+(Appraisal_Period-1)),0,('Project details'!$L$11-'Project details'!$D$11)*VLOOKUP(Year_cost_estimate,'Time-series parameters'!$B$11:$C$89,2,0))*$B26))</f>
        <v>0</v>
      </c>
      <c r="V26" s="94">
        <f>IF(Option2="No",0,IF($A26=ImplementationYear,('Project details'!$L$12-'Project details'!$D$12)*VLOOKUP(Year_cost_estimate,'Time-series parameters'!$B$11:$C$89,2,FALSE)*$B26,0))</f>
        <v>0</v>
      </c>
      <c r="W26" s="97">
        <f>IF(Option2="No",0,IF($A26&lt;ImplementationYear,0,IF($A26&gt;(ImplementationYear+(Appraisal_Period-1)),0,Health!$E$21*$B26)))</f>
        <v>0</v>
      </c>
      <c r="X26" s="97">
        <f>IF(Option2="No",0,IF($A26&lt;ImplementationYear,0,IF($A26&gt;(ImplementationYear+(Appraisal_Period-1)),0,Health!$E$22*$B26)))</f>
        <v>0</v>
      </c>
      <c r="Y26" s="97">
        <f>IF(Option2="No",0,IF($A26&lt;ImplementationYear,0,IF($A26&gt;(ImplementationYear+(Appraisal_Period-1)),0,SUM('Travel time'!$E$22:$E$23)*$B26)))</f>
        <v>0</v>
      </c>
      <c r="Z26" s="97">
        <f>IF(Option2="No",0,IF($A26&lt;ImplementationYear,0,IF($A26&gt;(ImplementationYear+(Appraisal_Period-1)),0,SUM('Travel time'!$E$20:$E$21)*$B26)))</f>
        <v>0</v>
      </c>
      <c r="AA26" s="97">
        <f>IF(Option2="No",0,IF($A26&lt;ImplementationYear,0,IF($A26&gt;(ImplementationYear+(Appraisal_Period-1)),0,SUM(Quality!$E$22:$E$23)*$B26)))</f>
        <v>0</v>
      </c>
      <c r="AB26" s="97">
        <f>IF(Option2="No",0,IF($A26&lt;ImplementationYear,0,IF($A26&gt;(ImplementationYear+(Appraisal_Period-1)),0,SUM(Quality!$E$20:$E$21)*$B26)))</f>
        <v>0</v>
      </c>
      <c r="AC26" s="97">
        <f>IF(Option2="No",0,IF($A26&lt;ImplementationYear,0,IF($A26&gt;(ImplementationYear+(Appraisal_Period-1)),0,'Mode change'!$E$36*$B26)))</f>
        <v>0</v>
      </c>
      <c r="AD26" s="97">
        <f>IF(Option2="No",0,IF($A26&lt;ImplementationYear,0,IF($A26&gt;(ImplementationYear+(Appraisal_Period-1)),0,'Mode change'!$E$37*$B26)))</f>
        <v>0</v>
      </c>
      <c r="AE26" s="97">
        <f>IF(Option2="No",0,IF($A26&lt;ImplementationYear,0,IF($A26&gt;(ImplementationYear+(Appraisal_Period-1)),0,'Road safety'!$E$22*$B26)))</f>
        <v>0</v>
      </c>
      <c r="AF26" s="97">
        <f>IF(Option2="No",0,IF($A26&lt;ImplementationYear,0,IF($A26&gt;(ImplementationYear+(Appraisal_Period-1)),0,'Reduction in car usage'!$E$46*$B26)))</f>
        <v>0</v>
      </c>
      <c r="AG26" s="97">
        <f>IF(Option2="No",0,IF($A26&lt;ImplementationYear,0,IF($A26&gt;(ImplementationYear+(Appraisal_Period-1)),0,'Reduction in car usage'!$E$47*$B26)))</f>
        <v>0</v>
      </c>
      <c r="AH26" s="97">
        <f>IF(Option2="No",0,IF($A26&lt;ImplementationYear,0,IF($A26&gt;(ImplementationYear+(Appraisal_Period-1)),0,'Reduction in car usage'!$E$48*$B26)))</f>
        <v>0</v>
      </c>
      <c r="AJ26" s="94">
        <f>IF(Option3="No",0,IF($A26=ImplementationYear,('Project details'!$P$10-'Project details'!$D$10)*VLOOKUP(Year_cost_estimate,'Time-series parameters'!$B$11:$C$89,2,FALSE)*$B26*(1+Contingency),0))</f>
        <v>0</v>
      </c>
      <c r="AK26" s="94">
        <f>IF(Option3="No",0,IF($A26&lt;ImplementationYear,0,IF($A26&gt;(ImplementationYear+(Appraisal_Period-1)),0,('Project details'!$P$11-'Project details'!$D$11)*VLOOKUP(Year_cost_estimate,'Time-series parameters'!$B$11:$C$89,2,0))*$B26))</f>
        <v>0</v>
      </c>
      <c r="AL26" s="94">
        <f>IF(Option3="No",0,IF($A26=ImplementationYear,('Project details'!$P$12-'Project details'!$D$12)*VLOOKUP(Year_cost_estimate,'Time-series parameters'!$B$11:$C$89,2,FALSE)*$B26,0))</f>
        <v>0</v>
      </c>
      <c r="AM26" s="97">
        <f>IF(Option3="No",0,IF($A26&lt;ImplementationYear,0,IF($A26&gt;(ImplementationYear+(Appraisal_Period-1)),0,Health!$F$21*$B26)))</f>
        <v>0</v>
      </c>
      <c r="AN26" s="97">
        <f>IF(Option3="No",0,IF($A26&lt;ImplementationYear,0,IF($A26&gt;(ImplementationYear+(Appraisal_Period-1)),0,Health!$F$22*$B26)))</f>
        <v>0</v>
      </c>
      <c r="AO26" s="97">
        <f>IF(Option3="No",0,IF($A26&lt;ImplementationYear,0,IF($A26&gt;(ImplementationYear+(Appraisal_Period-1)),0,SUM('Travel time'!$F$22:$F$23)*$B26)))</f>
        <v>0</v>
      </c>
      <c r="AP26" s="97">
        <f>IF(Option3="No",0,IF($A26&lt;ImplementationYear,0,IF($A26&gt;(ImplementationYear+(Appraisal_Period-1)),0,SUM('Travel time'!$F$20:$F$21)*$B26)))</f>
        <v>0</v>
      </c>
      <c r="AQ26" s="97">
        <f>IF(Option3="No",0,IF($A26&lt;ImplementationYear,0,IF($A26&gt;(ImplementationYear+(Appraisal_Period-1)),0,SUM(Quality!$F$22:$F$23)*$B26)))</f>
        <v>0</v>
      </c>
      <c r="AR26" s="97">
        <f>IF(Option3="No",0,IF($A26&lt;ImplementationYear,0,IF($A26&gt;(ImplementationYear+(Appraisal_Period-1)),0,SUM(Quality!$F$20:$F$21)*$B26)))</f>
        <v>0</v>
      </c>
      <c r="AS26" s="97">
        <f>IF(Option3="No",0,IF($A26&lt;ImplementationYear,0,IF($A26&gt;(ImplementationYear+(Appraisal_Period-1)),0,'Mode change'!$F$36*$B26)))</f>
        <v>0</v>
      </c>
      <c r="AT26" s="97">
        <f>IF(Option3="No",0,IF($A26&lt;ImplementationYear,0,IF($A26&gt;(ImplementationYear+(Appraisal_Period-1)),0,'Mode change'!$F$37*$B26)))</f>
        <v>0</v>
      </c>
      <c r="AU26" s="97">
        <f>IF(Option3="No",0,IF($A26&lt;ImplementationYear,0,IF($A26&gt;(ImplementationYear+(Appraisal_Period-1)),0,'Road safety'!$F$22*$B26)))</f>
        <v>0</v>
      </c>
      <c r="AV26" s="97">
        <f>IF(Option3="No",0,IF($A26&lt;ImplementationYear,0,IF($A26&gt;(ImplementationYear+(Appraisal_Period-1)),0,'Reduction in car usage'!$F$46*$B26)))</f>
        <v>0</v>
      </c>
      <c r="AW26" s="97">
        <f>IF(Option3="No",0,IF($A26&lt;ImplementationYear,0,IF($A26&gt;(ImplementationYear+(Appraisal_Period-1)),0,'Reduction in car usage'!$F$47*$B26)))</f>
        <v>0</v>
      </c>
      <c r="AX26" s="97">
        <f>IF(Option3="No",0,IF($A26&lt;ImplementationYear,0,IF($A26&gt;(ImplementationYear+(Appraisal_Period-1)),0,'Reduction in car usage'!$F$48*$B26)))</f>
        <v>0</v>
      </c>
    </row>
    <row r="27" spans="1:50">
      <c r="A27" s="335">
        <v>2022</v>
      </c>
      <c r="B27" s="62">
        <f>VLOOKUP($A27,'Time-series parameters'!$E$11:$H$89,3,FALSE)</f>
        <v>0.50629820724920571</v>
      </c>
      <c r="C27" s="89"/>
      <c r="D27" s="94">
        <f>IF(Option1="No",0,IF($A27=ImplementationYear,('Project details'!$H$10-'Project details'!$D$10)*VLOOKUP(Year_cost_estimate,'Time-series parameters'!$B$11:$C$89,2,FALSE)*$B27*(1+Contingency),0))</f>
        <v>0</v>
      </c>
      <c r="E27" s="94">
        <f>IF(Option1="No",0,IF($A27&lt;ImplementationYear,0,IF($A27&gt;(ImplementationYear+(Appraisal_Period-1)),0,('Project details'!$H$11-'Project details'!$D$11)*VLOOKUP(Year_cost_estimate,'Time-series parameters'!$B$11:$C$89,2,0))*$B27))</f>
        <v>0</v>
      </c>
      <c r="F27" s="94">
        <f>IF(Option1="No",0,IF($A27=ImplementationYear,('Project details'!$H$12-'Project details'!$D$12)*VLOOKUP(Year_cost_estimate,'Time-series parameters'!$B$11:$C$89,2,FALSE)*$B27,0))</f>
        <v>0</v>
      </c>
      <c r="G27" s="97">
        <f>IF(Option1="No",0,IF($A27&lt;ImplementationYear,0,IF($A27&gt;(ImplementationYear+(Appraisal_Period-1)),0,Health!$D$21*$B27)))</f>
        <v>0</v>
      </c>
      <c r="H27" s="97">
        <f>IF(Option1="No",0,IF($A27&lt;ImplementationYear,0,IF($A27&gt;(ImplementationYear+(Appraisal_Period-1)),0,Health!$D$22*$B27)))</f>
        <v>0</v>
      </c>
      <c r="I27" s="97">
        <f>IF(Option1="No",0,IF($A27&lt;ImplementationYear,0,IF($A27&gt;(ImplementationYear+(Appraisal_Period-1)),0,SUM('Travel time'!$D$22:$D$23)*$B27)))</f>
        <v>0</v>
      </c>
      <c r="J27" s="97">
        <f>IF(Option1="No",0,IF($A27&lt;ImplementationYear,0,IF($A27&gt;(ImplementationYear+(Appraisal_Period-1)),0,SUM('Travel time'!$D$20:$D$21)*$B27)))</f>
        <v>0</v>
      </c>
      <c r="K27" s="97">
        <f>IF(Option1="No",0,IF($A27&lt;ImplementationYear,0,IF($A27&gt;(ImplementationYear+(Appraisal_Period-1)),0,SUM(Quality!$D$22:$D$23)*$B27)))</f>
        <v>0</v>
      </c>
      <c r="L27" s="97">
        <f>IF(Option1="No",0,IF($A27&lt;ImplementationYear,0,IF($A27&gt;(ImplementationYear+(Appraisal_Period-1)),0,SUM(Quality!$D$20:$D$21)*$B27)))</f>
        <v>0</v>
      </c>
      <c r="M27" s="97">
        <f>IF(Option1="No",0,IF($A27&lt;ImplementationYear,0,IF($A27&gt;(ImplementationYear+(Appraisal_Period-1)),0,'Mode change'!$D$36*$B27)))</f>
        <v>0</v>
      </c>
      <c r="N27" s="97">
        <f>IF(Option1="No",0,IF($A27&lt;ImplementationYear,0,IF($A27&gt;(ImplementationYear+(Appraisal_Period-1)),0,'Mode change'!$D$37*$B27)))</f>
        <v>0</v>
      </c>
      <c r="O27" s="97">
        <f>IF(Option1="No",0,IF($A27&lt;ImplementationYear,0,IF($A27&gt;(ImplementationYear+(Appraisal_Period-1)),0,'Road safety'!$D$22*$B27)))</f>
        <v>0</v>
      </c>
      <c r="P27" s="97">
        <f>IF(Option1="No",0,IF($A27&lt;ImplementationYear,0,IF($A27&gt;(ImplementationYear+(Appraisal_Period-1)),0,'Reduction in car usage'!$D$46*$B27)))</f>
        <v>0</v>
      </c>
      <c r="Q27" s="97">
        <f>IF(Option1="No",0,IF($A27&lt;ImplementationYear,0,IF($A27&gt;(ImplementationYear+(Appraisal_Period-1)),0,'Reduction in car usage'!$D$47*$B27)))</f>
        <v>0</v>
      </c>
      <c r="R27" s="97">
        <f>IF(Option1="No",0,IF($A27&lt;ImplementationYear,0,IF($A27&gt;(ImplementationYear+(Appraisal_Period-1)),0,'Reduction in car usage'!$D$48*$B27)))</f>
        <v>0</v>
      </c>
      <c r="S27" s="92"/>
      <c r="T27" s="94">
        <f>IF(Option2="No",0,IF($A27=ImplementationYear,('Project details'!$L$10-'Project details'!$D$10)*VLOOKUP(Year_cost_estimate,'Time-series parameters'!$B$11:$C$89,2,FALSE)*$B27*(1+Contingency),0))</f>
        <v>0</v>
      </c>
      <c r="U27" s="94">
        <f>IF(Option2="No",0,IF($A27&lt;ImplementationYear,0,IF($A27&gt;(ImplementationYear+(Appraisal_Period-1)),0,('Project details'!$L$11-'Project details'!$D$11)*VLOOKUP(Year_cost_estimate,'Time-series parameters'!$B$11:$C$89,2,0))*$B27))</f>
        <v>0</v>
      </c>
      <c r="V27" s="94">
        <f>IF(Option2="No",0,IF($A27=ImplementationYear,('Project details'!$L$12-'Project details'!$D$12)*VLOOKUP(Year_cost_estimate,'Time-series parameters'!$B$11:$C$89,2,FALSE)*$B27,0))</f>
        <v>0</v>
      </c>
      <c r="W27" s="97">
        <f>IF(Option2="No",0,IF($A27&lt;ImplementationYear,0,IF($A27&gt;(ImplementationYear+(Appraisal_Period-1)),0,Health!$E$21*$B27)))</f>
        <v>0</v>
      </c>
      <c r="X27" s="97">
        <f>IF(Option2="No",0,IF($A27&lt;ImplementationYear,0,IF($A27&gt;(ImplementationYear+(Appraisal_Period-1)),0,Health!$E$22*$B27)))</f>
        <v>0</v>
      </c>
      <c r="Y27" s="97">
        <f>IF(Option2="No",0,IF($A27&lt;ImplementationYear,0,IF($A27&gt;(ImplementationYear+(Appraisal_Period-1)),0,SUM('Travel time'!$E$22:$E$23)*$B27)))</f>
        <v>0</v>
      </c>
      <c r="Z27" s="97">
        <f>IF(Option2="No",0,IF($A27&lt;ImplementationYear,0,IF($A27&gt;(ImplementationYear+(Appraisal_Period-1)),0,SUM('Travel time'!$E$20:$E$21)*$B27)))</f>
        <v>0</v>
      </c>
      <c r="AA27" s="97">
        <f>IF(Option2="No",0,IF($A27&lt;ImplementationYear,0,IF($A27&gt;(ImplementationYear+(Appraisal_Period-1)),0,SUM(Quality!$E$22:$E$23)*$B27)))</f>
        <v>0</v>
      </c>
      <c r="AB27" s="97">
        <f>IF(Option2="No",0,IF($A27&lt;ImplementationYear,0,IF($A27&gt;(ImplementationYear+(Appraisal_Period-1)),0,SUM(Quality!$E$20:$E$21)*$B27)))</f>
        <v>0</v>
      </c>
      <c r="AC27" s="97">
        <f>IF(Option2="No",0,IF($A27&lt;ImplementationYear,0,IF($A27&gt;(ImplementationYear+(Appraisal_Period-1)),0,'Mode change'!$E$36*$B27)))</f>
        <v>0</v>
      </c>
      <c r="AD27" s="97">
        <f>IF(Option2="No",0,IF($A27&lt;ImplementationYear,0,IF($A27&gt;(ImplementationYear+(Appraisal_Period-1)),0,'Mode change'!$E$37*$B27)))</f>
        <v>0</v>
      </c>
      <c r="AE27" s="97">
        <f>IF(Option2="No",0,IF($A27&lt;ImplementationYear,0,IF($A27&gt;(ImplementationYear+(Appraisal_Period-1)),0,'Road safety'!$E$22*$B27)))</f>
        <v>0</v>
      </c>
      <c r="AF27" s="97">
        <f>IF(Option2="No",0,IF($A27&lt;ImplementationYear,0,IF($A27&gt;(ImplementationYear+(Appraisal_Period-1)),0,'Reduction in car usage'!$E$46*$B27)))</f>
        <v>0</v>
      </c>
      <c r="AG27" s="97">
        <f>IF(Option2="No",0,IF($A27&lt;ImplementationYear,0,IF($A27&gt;(ImplementationYear+(Appraisal_Period-1)),0,'Reduction in car usage'!$E$47*$B27)))</f>
        <v>0</v>
      </c>
      <c r="AH27" s="97">
        <f>IF(Option2="No",0,IF($A27&lt;ImplementationYear,0,IF($A27&gt;(ImplementationYear+(Appraisal_Period-1)),0,'Reduction in car usage'!$E$48*$B27)))</f>
        <v>0</v>
      </c>
      <c r="AJ27" s="94">
        <f>IF(Option3="No",0,IF($A27=ImplementationYear,('Project details'!$P$10-'Project details'!$D$10)*VLOOKUP(Year_cost_estimate,'Time-series parameters'!$B$11:$C$89,2,FALSE)*$B27*(1+Contingency),0))</f>
        <v>0</v>
      </c>
      <c r="AK27" s="94">
        <f>IF(Option3="No",0,IF($A27&lt;ImplementationYear,0,IF($A27&gt;(ImplementationYear+(Appraisal_Period-1)),0,('Project details'!$P$11-'Project details'!$D$11)*VLOOKUP(Year_cost_estimate,'Time-series parameters'!$B$11:$C$89,2,0))*$B27))</f>
        <v>0</v>
      </c>
      <c r="AL27" s="94">
        <f>IF(Option3="No",0,IF($A27=ImplementationYear,('Project details'!$P$12-'Project details'!$D$12)*VLOOKUP(Year_cost_estimate,'Time-series parameters'!$B$11:$C$89,2,FALSE)*$B27,0))</f>
        <v>0</v>
      </c>
      <c r="AM27" s="97">
        <f>IF(Option3="No",0,IF($A27&lt;ImplementationYear,0,IF($A27&gt;(ImplementationYear+(Appraisal_Period-1)),0,Health!$F$21*$B27)))</f>
        <v>0</v>
      </c>
      <c r="AN27" s="97">
        <f>IF(Option3="No",0,IF($A27&lt;ImplementationYear,0,IF($A27&gt;(ImplementationYear+(Appraisal_Period-1)),0,Health!$F$22*$B27)))</f>
        <v>0</v>
      </c>
      <c r="AO27" s="97">
        <f>IF(Option3="No",0,IF($A27&lt;ImplementationYear,0,IF($A27&gt;(ImplementationYear+(Appraisal_Period-1)),0,SUM('Travel time'!$F$22:$F$23)*$B27)))</f>
        <v>0</v>
      </c>
      <c r="AP27" s="97">
        <f>IF(Option3="No",0,IF($A27&lt;ImplementationYear,0,IF($A27&gt;(ImplementationYear+(Appraisal_Period-1)),0,SUM('Travel time'!$F$20:$F$21)*$B27)))</f>
        <v>0</v>
      </c>
      <c r="AQ27" s="97">
        <f>IF(Option3="No",0,IF($A27&lt;ImplementationYear,0,IF($A27&gt;(ImplementationYear+(Appraisal_Period-1)),0,SUM(Quality!$F$22:$F$23)*$B27)))</f>
        <v>0</v>
      </c>
      <c r="AR27" s="97">
        <f>IF(Option3="No",0,IF($A27&lt;ImplementationYear,0,IF($A27&gt;(ImplementationYear+(Appraisal_Period-1)),0,SUM(Quality!$F$20:$F$21)*$B27)))</f>
        <v>0</v>
      </c>
      <c r="AS27" s="97">
        <f>IF(Option3="No",0,IF($A27&lt;ImplementationYear,0,IF($A27&gt;(ImplementationYear+(Appraisal_Period-1)),0,'Mode change'!$F$36*$B27)))</f>
        <v>0</v>
      </c>
      <c r="AT27" s="97">
        <f>IF(Option3="No",0,IF($A27&lt;ImplementationYear,0,IF($A27&gt;(ImplementationYear+(Appraisal_Period-1)),0,'Mode change'!$F$37*$B27)))</f>
        <v>0</v>
      </c>
      <c r="AU27" s="97">
        <f>IF(Option3="No",0,IF($A27&lt;ImplementationYear,0,IF($A27&gt;(ImplementationYear+(Appraisal_Period-1)),0,'Road safety'!$F$22*$B27)))</f>
        <v>0</v>
      </c>
      <c r="AV27" s="97">
        <f>IF(Option3="No",0,IF($A27&lt;ImplementationYear,0,IF($A27&gt;(ImplementationYear+(Appraisal_Period-1)),0,'Reduction in car usage'!$F$46*$B27)))</f>
        <v>0</v>
      </c>
      <c r="AW27" s="97">
        <f>IF(Option3="No",0,IF($A27&lt;ImplementationYear,0,IF($A27&gt;(ImplementationYear+(Appraisal_Period-1)),0,'Reduction in car usage'!$F$47*$B27)))</f>
        <v>0</v>
      </c>
      <c r="AX27" s="97">
        <f>IF(Option3="No",0,IF($A27&lt;ImplementationYear,0,IF($A27&gt;(ImplementationYear+(Appraisal_Period-1)),0,'Reduction in car usage'!$F$48*$B27)))</f>
        <v>0</v>
      </c>
    </row>
    <row r="28" spans="1:50">
      <c r="A28" s="335">
        <v>2023</v>
      </c>
      <c r="B28" s="62">
        <f>VLOOKUP($A28,'Time-series parameters'!$E$11:$H$89,3,FALSE)</f>
        <v>0.47592031481425334</v>
      </c>
      <c r="C28" s="89"/>
      <c r="D28" s="94">
        <f>IF(Option1="No",0,IF($A28=ImplementationYear,('Project details'!$H$10-'Project details'!$D$10)*VLOOKUP(Year_cost_estimate,'Time-series parameters'!$B$11:$C$89,2,FALSE)*$B28*(1+Contingency),0))</f>
        <v>0</v>
      </c>
      <c r="E28" s="94">
        <f>IF(Option1="No",0,IF($A28&lt;ImplementationYear,0,IF($A28&gt;(ImplementationYear+(Appraisal_Period-1)),0,('Project details'!$H$11-'Project details'!$D$11)*VLOOKUP(Year_cost_estimate,'Time-series parameters'!$B$11:$C$89,2,0))*$B28))</f>
        <v>0</v>
      </c>
      <c r="F28" s="94">
        <f>IF(Option1="No",0,IF($A28=ImplementationYear,('Project details'!$H$12-'Project details'!$D$12)*VLOOKUP(Year_cost_estimate,'Time-series parameters'!$B$11:$C$89,2,FALSE)*$B28,0))</f>
        <v>0</v>
      </c>
      <c r="G28" s="97">
        <f>IF(Option1="No",0,IF($A28&lt;ImplementationYear,0,IF($A28&gt;(ImplementationYear+(Appraisal_Period-1)),0,Health!$D$21*$B28)))</f>
        <v>0</v>
      </c>
      <c r="H28" s="97">
        <f>IF(Option1="No",0,IF($A28&lt;ImplementationYear,0,IF($A28&gt;(ImplementationYear+(Appraisal_Period-1)),0,Health!$D$22*$B28)))</f>
        <v>0</v>
      </c>
      <c r="I28" s="97">
        <f>IF(Option1="No",0,IF($A28&lt;ImplementationYear,0,IF($A28&gt;(ImplementationYear+(Appraisal_Period-1)),0,SUM('Travel time'!$D$22:$D$23)*$B28)))</f>
        <v>0</v>
      </c>
      <c r="J28" s="97">
        <f>IF(Option1="No",0,IF($A28&lt;ImplementationYear,0,IF($A28&gt;(ImplementationYear+(Appraisal_Period-1)),0,SUM('Travel time'!$D$20:$D$21)*$B28)))</f>
        <v>0</v>
      </c>
      <c r="K28" s="97">
        <f>IF(Option1="No",0,IF($A28&lt;ImplementationYear,0,IF($A28&gt;(ImplementationYear+(Appraisal_Period-1)),0,SUM(Quality!$D$22:$D$23)*$B28)))</f>
        <v>0</v>
      </c>
      <c r="L28" s="97">
        <f>IF(Option1="No",0,IF($A28&lt;ImplementationYear,0,IF($A28&gt;(ImplementationYear+(Appraisal_Period-1)),0,SUM(Quality!$D$20:$D$21)*$B28)))</f>
        <v>0</v>
      </c>
      <c r="M28" s="97">
        <f>IF(Option1="No",0,IF($A28&lt;ImplementationYear,0,IF($A28&gt;(ImplementationYear+(Appraisal_Period-1)),0,'Mode change'!$D$36*$B28)))</f>
        <v>0</v>
      </c>
      <c r="N28" s="97">
        <f>IF(Option1="No",0,IF($A28&lt;ImplementationYear,0,IF($A28&gt;(ImplementationYear+(Appraisal_Period-1)),0,'Mode change'!$D$37*$B28)))</f>
        <v>0</v>
      </c>
      <c r="O28" s="97">
        <f>IF(Option1="No",0,IF($A28&lt;ImplementationYear,0,IF($A28&gt;(ImplementationYear+(Appraisal_Period-1)),0,'Road safety'!$D$22*$B28)))</f>
        <v>0</v>
      </c>
      <c r="P28" s="97">
        <f>IF(Option1="No",0,IF($A28&lt;ImplementationYear,0,IF($A28&gt;(ImplementationYear+(Appraisal_Period-1)),0,'Reduction in car usage'!$D$46*$B28)))</f>
        <v>0</v>
      </c>
      <c r="Q28" s="97">
        <f>IF(Option1="No",0,IF($A28&lt;ImplementationYear,0,IF($A28&gt;(ImplementationYear+(Appraisal_Period-1)),0,'Reduction in car usage'!$D$47*$B28)))</f>
        <v>0</v>
      </c>
      <c r="R28" s="97">
        <f>IF(Option1="No",0,IF($A28&lt;ImplementationYear,0,IF($A28&gt;(ImplementationYear+(Appraisal_Period-1)),0,'Reduction in car usage'!$D$48*$B28)))</f>
        <v>0</v>
      </c>
      <c r="S28" s="92"/>
      <c r="T28" s="94">
        <f>IF(Option2="No",0,IF($A28=ImplementationYear,('Project details'!$L$10-'Project details'!$D$10)*VLOOKUP(Year_cost_estimate,'Time-series parameters'!$B$11:$C$89,2,FALSE)*$B28*(1+Contingency),0))</f>
        <v>0</v>
      </c>
      <c r="U28" s="94">
        <f>IF(Option2="No",0,IF($A28&lt;ImplementationYear,0,IF($A28&gt;(ImplementationYear+(Appraisal_Period-1)),0,('Project details'!$L$11-'Project details'!$D$11)*VLOOKUP(Year_cost_estimate,'Time-series parameters'!$B$11:$C$89,2,0))*$B28))</f>
        <v>0</v>
      </c>
      <c r="V28" s="94">
        <f>IF(Option2="No",0,IF($A28=ImplementationYear,('Project details'!$L$12-'Project details'!$D$12)*VLOOKUP(Year_cost_estimate,'Time-series parameters'!$B$11:$C$89,2,FALSE)*$B28,0))</f>
        <v>0</v>
      </c>
      <c r="W28" s="97">
        <f>IF(Option2="No",0,IF($A28&lt;ImplementationYear,0,IF($A28&gt;(ImplementationYear+(Appraisal_Period-1)),0,Health!$E$21*$B28)))</f>
        <v>0</v>
      </c>
      <c r="X28" s="97">
        <f>IF(Option2="No",0,IF($A28&lt;ImplementationYear,0,IF($A28&gt;(ImplementationYear+(Appraisal_Period-1)),0,Health!$E$22*$B28)))</f>
        <v>0</v>
      </c>
      <c r="Y28" s="97">
        <f>IF(Option2="No",0,IF($A28&lt;ImplementationYear,0,IF($A28&gt;(ImplementationYear+(Appraisal_Period-1)),0,SUM('Travel time'!$E$22:$E$23)*$B28)))</f>
        <v>0</v>
      </c>
      <c r="Z28" s="97">
        <f>IF(Option2="No",0,IF($A28&lt;ImplementationYear,0,IF($A28&gt;(ImplementationYear+(Appraisal_Period-1)),0,SUM('Travel time'!$E$20:$E$21)*$B28)))</f>
        <v>0</v>
      </c>
      <c r="AA28" s="97">
        <f>IF(Option2="No",0,IF($A28&lt;ImplementationYear,0,IF($A28&gt;(ImplementationYear+(Appraisal_Period-1)),0,SUM(Quality!$E$22:$E$23)*$B28)))</f>
        <v>0</v>
      </c>
      <c r="AB28" s="97">
        <f>IF(Option2="No",0,IF($A28&lt;ImplementationYear,0,IF($A28&gt;(ImplementationYear+(Appraisal_Period-1)),0,SUM(Quality!$E$20:$E$21)*$B28)))</f>
        <v>0</v>
      </c>
      <c r="AC28" s="97">
        <f>IF(Option2="No",0,IF($A28&lt;ImplementationYear,0,IF($A28&gt;(ImplementationYear+(Appraisal_Period-1)),0,'Mode change'!$E$36*$B28)))</f>
        <v>0</v>
      </c>
      <c r="AD28" s="97">
        <f>IF(Option2="No",0,IF($A28&lt;ImplementationYear,0,IF($A28&gt;(ImplementationYear+(Appraisal_Period-1)),0,'Mode change'!$E$37*$B28)))</f>
        <v>0</v>
      </c>
      <c r="AE28" s="97">
        <f>IF(Option2="No",0,IF($A28&lt;ImplementationYear,0,IF($A28&gt;(ImplementationYear+(Appraisal_Period-1)),0,'Road safety'!$E$22*$B28)))</f>
        <v>0</v>
      </c>
      <c r="AF28" s="97">
        <f>IF(Option2="No",0,IF($A28&lt;ImplementationYear,0,IF($A28&gt;(ImplementationYear+(Appraisal_Period-1)),0,'Reduction in car usage'!$E$46*$B28)))</f>
        <v>0</v>
      </c>
      <c r="AG28" s="97">
        <f>IF(Option2="No",0,IF($A28&lt;ImplementationYear,0,IF($A28&gt;(ImplementationYear+(Appraisal_Period-1)),0,'Reduction in car usage'!$E$47*$B28)))</f>
        <v>0</v>
      </c>
      <c r="AH28" s="97">
        <f>IF(Option2="No",0,IF($A28&lt;ImplementationYear,0,IF($A28&gt;(ImplementationYear+(Appraisal_Period-1)),0,'Reduction in car usage'!$E$48*$B28)))</f>
        <v>0</v>
      </c>
      <c r="AJ28" s="94">
        <f>IF(Option3="No",0,IF($A28=ImplementationYear,('Project details'!$P$10-'Project details'!$D$10)*VLOOKUP(Year_cost_estimate,'Time-series parameters'!$B$11:$C$89,2,FALSE)*$B28*(1+Contingency),0))</f>
        <v>0</v>
      </c>
      <c r="AK28" s="94">
        <f>IF(Option3="No",0,IF($A28&lt;ImplementationYear,0,IF($A28&gt;(ImplementationYear+(Appraisal_Period-1)),0,('Project details'!$P$11-'Project details'!$D$11)*VLOOKUP(Year_cost_estimate,'Time-series parameters'!$B$11:$C$89,2,0))*$B28))</f>
        <v>0</v>
      </c>
      <c r="AL28" s="94">
        <f>IF(Option3="No",0,IF($A28=ImplementationYear,('Project details'!$P$12-'Project details'!$D$12)*VLOOKUP(Year_cost_estimate,'Time-series parameters'!$B$11:$C$89,2,FALSE)*$B28,0))</f>
        <v>0</v>
      </c>
      <c r="AM28" s="97">
        <f>IF(Option3="No",0,IF($A28&lt;ImplementationYear,0,IF($A28&gt;(ImplementationYear+(Appraisal_Period-1)),0,Health!$F$21*$B28)))</f>
        <v>0</v>
      </c>
      <c r="AN28" s="97">
        <f>IF(Option3="No",0,IF($A28&lt;ImplementationYear,0,IF($A28&gt;(ImplementationYear+(Appraisal_Period-1)),0,Health!$F$22*$B28)))</f>
        <v>0</v>
      </c>
      <c r="AO28" s="97">
        <f>IF(Option3="No",0,IF($A28&lt;ImplementationYear,0,IF($A28&gt;(ImplementationYear+(Appraisal_Period-1)),0,SUM('Travel time'!$F$22:$F$23)*$B28)))</f>
        <v>0</v>
      </c>
      <c r="AP28" s="97">
        <f>IF(Option3="No",0,IF($A28&lt;ImplementationYear,0,IF($A28&gt;(ImplementationYear+(Appraisal_Period-1)),0,SUM('Travel time'!$F$20:$F$21)*$B28)))</f>
        <v>0</v>
      </c>
      <c r="AQ28" s="97">
        <f>IF(Option3="No",0,IF($A28&lt;ImplementationYear,0,IF($A28&gt;(ImplementationYear+(Appraisal_Period-1)),0,SUM(Quality!$F$22:$F$23)*$B28)))</f>
        <v>0</v>
      </c>
      <c r="AR28" s="97">
        <f>IF(Option3="No",0,IF($A28&lt;ImplementationYear,0,IF($A28&gt;(ImplementationYear+(Appraisal_Period-1)),0,SUM(Quality!$F$20:$F$21)*$B28)))</f>
        <v>0</v>
      </c>
      <c r="AS28" s="97">
        <f>IF(Option3="No",0,IF($A28&lt;ImplementationYear,0,IF($A28&gt;(ImplementationYear+(Appraisal_Period-1)),0,'Mode change'!$F$36*$B28)))</f>
        <v>0</v>
      </c>
      <c r="AT28" s="97">
        <f>IF(Option3="No",0,IF($A28&lt;ImplementationYear,0,IF($A28&gt;(ImplementationYear+(Appraisal_Period-1)),0,'Mode change'!$F$37*$B28)))</f>
        <v>0</v>
      </c>
      <c r="AU28" s="97">
        <f>IF(Option3="No",0,IF($A28&lt;ImplementationYear,0,IF($A28&gt;(ImplementationYear+(Appraisal_Period-1)),0,'Road safety'!$F$22*$B28)))</f>
        <v>0</v>
      </c>
      <c r="AV28" s="97">
        <f>IF(Option3="No",0,IF($A28&lt;ImplementationYear,0,IF($A28&gt;(ImplementationYear+(Appraisal_Period-1)),0,'Reduction in car usage'!$F$46*$B28)))</f>
        <v>0</v>
      </c>
      <c r="AW28" s="97">
        <f>IF(Option3="No",0,IF($A28&lt;ImplementationYear,0,IF($A28&gt;(ImplementationYear+(Appraisal_Period-1)),0,'Reduction in car usage'!$F$47*$B28)))</f>
        <v>0</v>
      </c>
      <c r="AX28" s="97">
        <f>IF(Option3="No",0,IF($A28&lt;ImplementationYear,0,IF($A28&gt;(ImplementationYear+(Appraisal_Period-1)),0,'Reduction in car usage'!$F$48*$B28)))</f>
        <v>0</v>
      </c>
    </row>
    <row r="29" spans="1:50">
      <c r="A29" s="335">
        <v>2024</v>
      </c>
      <c r="B29" s="62">
        <f>VLOOKUP($A29,'Time-series parameters'!$E$11:$H$89,3,FALSE)</f>
        <v>0.44736509592539814</v>
      </c>
      <c r="C29" s="89"/>
      <c r="D29" s="94">
        <f>IF(Option1="No",0,IF($A29=ImplementationYear,('Project details'!$H$10-'Project details'!$D$10)*VLOOKUP(Year_cost_estimate,'Time-series parameters'!$B$11:$C$89,2,FALSE)*$B29*(1+Contingency),0))</f>
        <v>0</v>
      </c>
      <c r="E29" s="94">
        <f>IF(Option1="No",0,IF($A29&lt;ImplementationYear,0,IF($A29&gt;(ImplementationYear+(Appraisal_Period-1)),0,('Project details'!$H$11-'Project details'!$D$11)*VLOOKUP(Year_cost_estimate,'Time-series parameters'!$B$11:$C$89,2,0))*$B29))</f>
        <v>0</v>
      </c>
      <c r="F29" s="94">
        <f>IF(Option1="No",0,IF($A29=ImplementationYear,('Project details'!$H$12-'Project details'!$D$12)*VLOOKUP(Year_cost_estimate,'Time-series parameters'!$B$11:$C$89,2,FALSE)*$B29,0))</f>
        <v>0</v>
      </c>
      <c r="G29" s="97">
        <f>IF(Option1="No",0,IF($A29&lt;ImplementationYear,0,IF($A29&gt;(ImplementationYear+(Appraisal_Period-1)),0,Health!$D$21*$B29)))</f>
        <v>0</v>
      </c>
      <c r="H29" s="97">
        <f>IF(Option1="No",0,IF($A29&lt;ImplementationYear,0,IF($A29&gt;(ImplementationYear+(Appraisal_Period-1)),0,Health!$D$22*$B29)))</f>
        <v>0</v>
      </c>
      <c r="I29" s="97">
        <f>IF(Option1="No",0,IF($A29&lt;ImplementationYear,0,IF($A29&gt;(ImplementationYear+(Appraisal_Period-1)),0,SUM('Travel time'!$D$22:$D$23)*$B29)))</f>
        <v>0</v>
      </c>
      <c r="J29" s="97">
        <f>IF(Option1="No",0,IF($A29&lt;ImplementationYear,0,IF($A29&gt;(ImplementationYear+(Appraisal_Period-1)),0,SUM('Travel time'!$D$20:$D$21)*$B29)))</f>
        <v>0</v>
      </c>
      <c r="K29" s="97">
        <f>IF(Option1="No",0,IF($A29&lt;ImplementationYear,0,IF($A29&gt;(ImplementationYear+(Appraisal_Period-1)),0,SUM(Quality!$D$22:$D$23)*$B29)))</f>
        <v>0</v>
      </c>
      <c r="L29" s="97">
        <f>IF(Option1="No",0,IF($A29&lt;ImplementationYear,0,IF($A29&gt;(ImplementationYear+(Appraisal_Period-1)),0,SUM(Quality!$D$20:$D$21)*$B29)))</f>
        <v>0</v>
      </c>
      <c r="M29" s="97">
        <f>IF(Option1="No",0,IF($A29&lt;ImplementationYear,0,IF($A29&gt;(ImplementationYear+(Appraisal_Period-1)),0,'Mode change'!$D$36*$B29)))</f>
        <v>0</v>
      </c>
      <c r="N29" s="97">
        <f>IF(Option1="No",0,IF($A29&lt;ImplementationYear,0,IF($A29&gt;(ImplementationYear+(Appraisal_Period-1)),0,'Mode change'!$D$37*$B29)))</f>
        <v>0</v>
      </c>
      <c r="O29" s="97">
        <f>IF(Option1="No",0,IF($A29&lt;ImplementationYear,0,IF($A29&gt;(ImplementationYear+(Appraisal_Period-1)),0,'Road safety'!$D$22*$B29)))</f>
        <v>0</v>
      </c>
      <c r="P29" s="97">
        <f>IF(Option1="No",0,IF($A29&lt;ImplementationYear,0,IF($A29&gt;(ImplementationYear+(Appraisal_Period-1)),0,'Reduction in car usage'!$D$46*$B29)))</f>
        <v>0</v>
      </c>
      <c r="Q29" s="97">
        <f>IF(Option1="No",0,IF($A29&lt;ImplementationYear,0,IF($A29&gt;(ImplementationYear+(Appraisal_Period-1)),0,'Reduction in car usage'!$D$47*$B29)))</f>
        <v>0</v>
      </c>
      <c r="R29" s="97">
        <f>IF(Option1="No",0,IF($A29&lt;ImplementationYear,0,IF($A29&gt;(ImplementationYear+(Appraisal_Period-1)),0,'Reduction in car usage'!$D$48*$B29)))</f>
        <v>0</v>
      </c>
      <c r="S29" s="92"/>
      <c r="T29" s="94">
        <f>IF(Option2="No",0,IF($A29=ImplementationYear,('Project details'!$L$10-'Project details'!$D$10)*VLOOKUP(Year_cost_estimate,'Time-series parameters'!$B$11:$C$89,2,FALSE)*$B29*(1+Contingency),0))</f>
        <v>0</v>
      </c>
      <c r="U29" s="94">
        <f>IF(Option2="No",0,IF($A29&lt;ImplementationYear,0,IF($A29&gt;(ImplementationYear+(Appraisal_Period-1)),0,('Project details'!$L$11-'Project details'!$D$11)*VLOOKUP(Year_cost_estimate,'Time-series parameters'!$B$11:$C$89,2,0))*$B29))</f>
        <v>0</v>
      </c>
      <c r="V29" s="94">
        <f>IF(Option2="No",0,IF($A29=ImplementationYear,('Project details'!$L$12-'Project details'!$D$12)*VLOOKUP(Year_cost_estimate,'Time-series parameters'!$B$11:$C$89,2,FALSE)*$B29,0))</f>
        <v>0</v>
      </c>
      <c r="W29" s="97">
        <f>IF(Option2="No",0,IF($A29&lt;ImplementationYear,0,IF($A29&gt;(ImplementationYear+(Appraisal_Period-1)),0,Health!$E$21*$B29)))</f>
        <v>0</v>
      </c>
      <c r="X29" s="97">
        <f>IF(Option2="No",0,IF($A29&lt;ImplementationYear,0,IF($A29&gt;(ImplementationYear+(Appraisal_Period-1)),0,Health!$E$22*$B29)))</f>
        <v>0</v>
      </c>
      <c r="Y29" s="97">
        <f>IF(Option2="No",0,IF($A29&lt;ImplementationYear,0,IF($A29&gt;(ImplementationYear+(Appraisal_Period-1)),0,SUM('Travel time'!$E$22:$E$23)*$B29)))</f>
        <v>0</v>
      </c>
      <c r="Z29" s="97">
        <f>IF(Option2="No",0,IF($A29&lt;ImplementationYear,0,IF($A29&gt;(ImplementationYear+(Appraisal_Period-1)),0,SUM('Travel time'!$E$20:$E$21)*$B29)))</f>
        <v>0</v>
      </c>
      <c r="AA29" s="97">
        <f>IF(Option2="No",0,IF($A29&lt;ImplementationYear,0,IF($A29&gt;(ImplementationYear+(Appraisal_Period-1)),0,SUM(Quality!$E$22:$E$23)*$B29)))</f>
        <v>0</v>
      </c>
      <c r="AB29" s="97">
        <f>IF(Option2="No",0,IF($A29&lt;ImplementationYear,0,IF($A29&gt;(ImplementationYear+(Appraisal_Period-1)),0,SUM(Quality!$E$20:$E$21)*$B29)))</f>
        <v>0</v>
      </c>
      <c r="AC29" s="97">
        <f>IF(Option2="No",0,IF($A29&lt;ImplementationYear,0,IF($A29&gt;(ImplementationYear+(Appraisal_Period-1)),0,'Mode change'!$E$36*$B29)))</f>
        <v>0</v>
      </c>
      <c r="AD29" s="97">
        <f>IF(Option2="No",0,IF($A29&lt;ImplementationYear,0,IF($A29&gt;(ImplementationYear+(Appraisal_Period-1)),0,'Mode change'!$E$37*$B29)))</f>
        <v>0</v>
      </c>
      <c r="AE29" s="97">
        <f>IF(Option2="No",0,IF($A29&lt;ImplementationYear,0,IF($A29&gt;(ImplementationYear+(Appraisal_Period-1)),0,'Road safety'!$E$22*$B29)))</f>
        <v>0</v>
      </c>
      <c r="AF29" s="97">
        <f>IF(Option2="No",0,IF($A29&lt;ImplementationYear,0,IF($A29&gt;(ImplementationYear+(Appraisal_Period-1)),0,'Reduction in car usage'!$E$46*$B29)))</f>
        <v>0</v>
      </c>
      <c r="AG29" s="97">
        <f>IF(Option2="No",0,IF($A29&lt;ImplementationYear,0,IF($A29&gt;(ImplementationYear+(Appraisal_Period-1)),0,'Reduction in car usage'!$E$47*$B29)))</f>
        <v>0</v>
      </c>
      <c r="AH29" s="97">
        <f>IF(Option2="No",0,IF($A29&lt;ImplementationYear,0,IF($A29&gt;(ImplementationYear+(Appraisal_Period-1)),0,'Reduction in car usage'!$E$48*$B29)))</f>
        <v>0</v>
      </c>
      <c r="AJ29" s="94">
        <f>IF(Option3="No",0,IF($A29=ImplementationYear,('Project details'!$P$10-'Project details'!$D$10)*VLOOKUP(Year_cost_estimate,'Time-series parameters'!$B$11:$C$89,2,FALSE)*$B29*(1+Contingency),0))</f>
        <v>0</v>
      </c>
      <c r="AK29" s="94">
        <f>IF(Option3="No",0,IF($A29&lt;ImplementationYear,0,IF($A29&gt;(ImplementationYear+(Appraisal_Period-1)),0,('Project details'!$P$11-'Project details'!$D$11)*VLOOKUP(Year_cost_estimate,'Time-series parameters'!$B$11:$C$89,2,0))*$B29))</f>
        <v>0</v>
      </c>
      <c r="AL29" s="94">
        <f>IF(Option3="No",0,IF($A29=ImplementationYear,('Project details'!$P$12-'Project details'!$D$12)*VLOOKUP(Year_cost_estimate,'Time-series parameters'!$B$11:$C$89,2,FALSE)*$B29,0))</f>
        <v>0</v>
      </c>
      <c r="AM29" s="97">
        <f>IF(Option3="No",0,IF($A29&lt;ImplementationYear,0,IF($A29&gt;(ImplementationYear+(Appraisal_Period-1)),0,Health!$F$21*$B29)))</f>
        <v>0</v>
      </c>
      <c r="AN29" s="97">
        <f>IF(Option3="No",0,IF($A29&lt;ImplementationYear,0,IF($A29&gt;(ImplementationYear+(Appraisal_Period-1)),0,Health!$F$22*$B29)))</f>
        <v>0</v>
      </c>
      <c r="AO29" s="97">
        <f>IF(Option3="No",0,IF($A29&lt;ImplementationYear,0,IF($A29&gt;(ImplementationYear+(Appraisal_Period-1)),0,SUM('Travel time'!$F$22:$F$23)*$B29)))</f>
        <v>0</v>
      </c>
      <c r="AP29" s="97">
        <f>IF(Option3="No",0,IF($A29&lt;ImplementationYear,0,IF($A29&gt;(ImplementationYear+(Appraisal_Period-1)),0,SUM('Travel time'!$F$20:$F$21)*$B29)))</f>
        <v>0</v>
      </c>
      <c r="AQ29" s="97">
        <f>IF(Option3="No",0,IF($A29&lt;ImplementationYear,0,IF($A29&gt;(ImplementationYear+(Appraisal_Period-1)),0,SUM(Quality!$F$22:$F$23)*$B29)))</f>
        <v>0</v>
      </c>
      <c r="AR29" s="97">
        <f>IF(Option3="No",0,IF($A29&lt;ImplementationYear,0,IF($A29&gt;(ImplementationYear+(Appraisal_Period-1)),0,SUM(Quality!$F$20:$F$21)*$B29)))</f>
        <v>0</v>
      </c>
      <c r="AS29" s="97">
        <f>IF(Option3="No",0,IF($A29&lt;ImplementationYear,0,IF($A29&gt;(ImplementationYear+(Appraisal_Period-1)),0,'Mode change'!$F$36*$B29)))</f>
        <v>0</v>
      </c>
      <c r="AT29" s="97">
        <f>IF(Option3="No",0,IF($A29&lt;ImplementationYear,0,IF($A29&gt;(ImplementationYear+(Appraisal_Period-1)),0,'Mode change'!$F$37*$B29)))</f>
        <v>0</v>
      </c>
      <c r="AU29" s="97">
        <f>IF(Option3="No",0,IF($A29&lt;ImplementationYear,0,IF($A29&gt;(ImplementationYear+(Appraisal_Period-1)),0,'Road safety'!$F$22*$B29)))</f>
        <v>0</v>
      </c>
      <c r="AV29" s="97">
        <f>IF(Option3="No",0,IF($A29&lt;ImplementationYear,0,IF($A29&gt;(ImplementationYear+(Appraisal_Period-1)),0,'Reduction in car usage'!$F$46*$B29)))</f>
        <v>0</v>
      </c>
      <c r="AW29" s="97">
        <f>IF(Option3="No",0,IF($A29&lt;ImplementationYear,0,IF($A29&gt;(ImplementationYear+(Appraisal_Period-1)),0,'Reduction in car usage'!$F$47*$B29)))</f>
        <v>0</v>
      </c>
      <c r="AX29" s="97">
        <f>IF(Option3="No",0,IF($A29&lt;ImplementationYear,0,IF($A29&gt;(ImplementationYear+(Appraisal_Period-1)),0,'Reduction in car usage'!$F$48*$B29)))</f>
        <v>0</v>
      </c>
    </row>
    <row r="30" spans="1:50">
      <c r="A30" s="335">
        <v>2025</v>
      </c>
      <c r="B30" s="62">
        <f>VLOOKUP($A30,'Time-series parameters'!$E$11:$H$89,3,FALSE)</f>
        <v>0.42052319016987427</v>
      </c>
      <c r="C30" s="89"/>
      <c r="D30" s="94">
        <f>IF(Option1="No",0,IF($A30=ImplementationYear,('Project details'!$H$10-'Project details'!$D$10)*VLOOKUP(Year_cost_estimate,'Time-series parameters'!$B$11:$C$89,2,FALSE)*$B30*(1+Contingency),0))</f>
        <v>0</v>
      </c>
      <c r="E30" s="94">
        <f>IF(Option1="No",0,IF($A30&lt;ImplementationYear,0,IF($A30&gt;(ImplementationYear+(Appraisal_Period-1)),0,('Project details'!$H$11-'Project details'!$D$11)*VLOOKUP(Year_cost_estimate,'Time-series parameters'!$B$11:$C$89,2,0))*$B30))</f>
        <v>0</v>
      </c>
      <c r="F30" s="94">
        <f>IF(Option1="No",0,IF($A30=ImplementationYear,('Project details'!$H$12-'Project details'!$D$12)*VLOOKUP(Year_cost_estimate,'Time-series parameters'!$B$11:$C$89,2,FALSE)*$B30,0))</f>
        <v>0</v>
      </c>
      <c r="G30" s="97">
        <f>IF(Option1="No",0,IF($A30&lt;ImplementationYear,0,IF($A30&gt;(ImplementationYear+(Appraisal_Period-1)),0,Health!$D$21*$B30)))</f>
        <v>0</v>
      </c>
      <c r="H30" s="97">
        <f>IF(Option1="No",0,IF($A30&lt;ImplementationYear,0,IF($A30&gt;(ImplementationYear+(Appraisal_Period-1)),0,Health!$D$22*$B30)))</f>
        <v>0</v>
      </c>
      <c r="I30" s="97">
        <f>IF(Option1="No",0,IF($A30&lt;ImplementationYear,0,IF($A30&gt;(ImplementationYear+(Appraisal_Period-1)),0,SUM('Travel time'!$D$22:$D$23)*$B30)))</f>
        <v>0</v>
      </c>
      <c r="J30" s="97">
        <f>IF(Option1="No",0,IF($A30&lt;ImplementationYear,0,IF($A30&gt;(ImplementationYear+(Appraisal_Period-1)),0,SUM('Travel time'!$D$20:$D$21)*$B30)))</f>
        <v>0</v>
      </c>
      <c r="K30" s="97">
        <f>IF(Option1="No",0,IF($A30&lt;ImplementationYear,0,IF($A30&gt;(ImplementationYear+(Appraisal_Period-1)),0,SUM(Quality!$D$22:$D$23)*$B30)))</f>
        <v>0</v>
      </c>
      <c r="L30" s="97">
        <f>IF(Option1="No",0,IF($A30&lt;ImplementationYear,0,IF($A30&gt;(ImplementationYear+(Appraisal_Period-1)),0,SUM(Quality!$D$20:$D$21)*$B30)))</f>
        <v>0</v>
      </c>
      <c r="M30" s="97">
        <f>IF(Option1="No",0,IF($A30&lt;ImplementationYear,0,IF($A30&gt;(ImplementationYear+(Appraisal_Period-1)),0,'Mode change'!$D$36*$B30)))</f>
        <v>0</v>
      </c>
      <c r="N30" s="97">
        <f>IF(Option1="No",0,IF($A30&lt;ImplementationYear,0,IF($A30&gt;(ImplementationYear+(Appraisal_Period-1)),0,'Mode change'!$D$37*$B30)))</f>
        <v>0</v>
      </c>
      <c r="O30" s="97">
        <f>IF(Option1="No",0,IF($A30&lt;ImplementationYear,0,IF($A30&gt;(ImplementationYear+(Appraisal_Period-1)),0,'Road safety'!$D$22*$B30)))</f>
        <v>0</v>
      </c>
      <c r="P30" s="97">
        <f>IF(Option1="No",0,IF($A30&lt;ImplementationYear,0,IF($A30&gt;(ImplementationYear+(Appraisal_Period-1)),0,'Reduction in car usage'!$D$46*$B30)))</f>
        <v>0</v>
      </c>
      <c r="Q30" s="97">
        <f>IF(Option1="No",0,IF($A30&lt;ImplementationYear,0,IF($A30&gt;(ImplementationYear+(Appraisal_Period-1)),0,'Reduction in car usage'!$D$47*$B30)))</f>
        <v>0</v>
      </c>
      <c r="R30" s="97">
        <f>IF(Option1="No",0,IF($A30&lt;ImplementationYear,0,IF($A30&gt;(ImplementationYear+(Appraisal_Period-1)),0,'Reduction in car usage'!$D$48*$B30)))</f>
        <v>0</v>
      </c>
      <c r="S30" s="92"/>
      <c r="T30" s="94">
        <f>IF(Option2="No",0,IF($A30=ImplementationYear,('Project details'!$L$10-'Project details'!$D$10)*VLOOKUP(Year_cost_estimate,'Time-series parameters'!$B$11:$C$89,2,FALSE)*$B30*(1+Contingency),0))</f>
        <v>0</v>
      </c>
      <c r="U30" s="94">
        <f>IF(Option2="No",0,IF($A30&lt;ImplementationYear,0,IF($A30&gt;(ImplementationYear+(Appraisal_Period-1)),0,('Project details'!$L$11-'Project details'!$D$11)*VLOOKUP(Year_cost_estimate,'Time-series parameters'!$B$11:$C$89,2,0))*$B30))</f>
        <v>0</v>
      </c>
      <c r="V30" s="94">
        <f>IF(Option2="No",0,IF($A30=ImplementationYear,('Project details'!$L$12-'Project details'!$D$12)*VLOOKUP(Year_cost_estimate,'Time-series parameters'!$B$11:$C$89,2,FALSE)*$B30,0))</f>
        <v>0</v>
      </c>
      <c r="W30" s="97">
        <f>IF(Option2="No",0,IF($A30&lt;ImplementationYear,0,IF($A30&gt;(ImplementationYear+(Appraisal_Period-1)),0,Health!$E$21*$B30)))</f>
        <v>0</v>
      </c>
      <c r="X30" s="97">
        <f>IF(Option2="No",0,IF($A30&lt;ImplementationYear,0,IF($A30&gt;(ImplementationYear+(Appraisal_Period-1)),0,Health!$E$22*$B30)))</f>
        <v>0</v>
      </c>
      <c r="Y30" s="97">
        <f>IF(Option2="No",0,IF($A30&lt;ImplementationYear,0,IF($A30&gt;(ImplementationYear+(Appraisal_Period-1)),0,SUM('Travel time'!$E$22:$E$23)*$B30)))</f>
        <v>0</v>
      </c>
      <c r="Z30" s="97">
        <f>IF(Option2="No",0,IF($A30&lt;ImplementationYear,0,IF($A30&gt;(ImplementationYear+(Appraisal_Period-1)),0,SUM('Travel time'!$E$20:$E$21)*$B30)))</f>
        <v>0</v>
      </c>
      <c r="AA30" s="97">
        <f>IF(Option2="No",0,IF($A30&lt;ImplementationYear,0,IF($A30&gt;(ImplementationYear+(Appraisal_Period-1)),0,SUM(Quality!$E$22:$E$23)*$B30)))</f>
        <v>0</v>
      </c>
      <c r="AB30" s="97">
        <f>IF(Option2="No",0,IF($A30&lt;ImplementationYear,0,IF($A30&gt;(ImplementationYear+(Appraisal_Period-1)),0,SUM(Quality!$E$20:$E$21)*$B30)))</f>
        <v>0</v>
      </c>
      <c r="AC30" s="97">
        <f>IF(Option2="No",0,IF($A30&lt;ImplementationYear,0,IF($A30&gt;(ImplementationYear+(Appraisal_Period-1)),0,'Mode change'!$E$36*$B30)))</f>
        <v>0</v>
      </c>
      <c r="AD30" s="97">
        <f>IF(Option2="No",0,IF($A30&lt;ImplementationYear,0,IF($A30&gt;(ImplementationYear+(Appraisal_Period-1)),0,'Mode change'!$E$37*$B30)))</f>
        <v>0</v>
      </c>
      <c r="AE30" s="97">
        <f>IF(Option2="No",0,IF($A30&lt;ImplementationYear,0,IF($A30&gt;(ImplementationYear+(Appraisal_Period-1)),0,'Road safety'!$E$22*$B30)))</f>
        <v>0</v>
      </c>
      <c r="AF30" s="97">
        <f>IF(Option2="No",0,IF($A30&lt;ImplementationYear,0,IF($A30&gt;(ImplementationYear+(Appraisal_Period-1)),0,'Reduction in car usage'!$E$46*$B30)))</f>
        <v>0</v>
      </c>
      <c r="AG30" s="97">
        <f>IF(Option2="No",0,IF($A30&lt;ImplementationYear,0,IF($A30&gt;(ImplementationYear+(Appraisal_Period-1)),0,'Reduction in car usage'!$E$47*$B30)))</f>
        <v>0</v>
      </c>
      <c r="AH30" s="97">
        <f>IF(Option2="No",0,IF($A30&lt;ImplementationYear,0,IF($A30&gt;(ImplementationYear+(Appraisal_Period-1)),0,'Reduction in car usage'!$E$48*$B30)))</f>
        <v>0</v>
      </c>
      <c r="AJ30" s="94">
        <f>IF(Option3="No",0,IF($A30=ImplementationYear,('Project details'!$P$10-'Project details'!$D$10)*VLOOKUP(Year_cost_estimate,'Time-series parameters'!$B$11:$C$89,2,FALSE)*$B30*(1+Contingency),0))</f>
        <v>0</v>
      </c>
      <c r="AK30" s="94">
        <f>IF(Option3="No",0,IF($A30&lt;ImplementationYear,0,IF($A30&gt;(ImplementationYear+(Appraisal_Period-1)),0,('Project details'!$P$11-'Project details'!$D$11)*VLOOKUP(Year_cost_estimate,'Time-series parameters'!$B$11:$C$89,2,0))*$B30))</f>
        <v>0</v>
      </c>
      <c r="AL30" s="94">
        <f>IF(Option3="No",0,IF($A30=ImplementationYear,('Project details'!$P$12-'Project details'!$D$12)*VLOOKUP(Year_cost_estimate,'Time-series parameters'!$B$11:$C$89,2,FALSE)*$B30,0))</f>
        <v>0</v>
      </c>
      <c r="AM30" s="97">
        <f>IF(Option3="No",0,IF($A30&lt;ImplementationYear,0,IF($A30&gt;(ImplementationYear+(Appraisal_Period-1)),0,Health!$F$21*$B30)))</f>
        <v>0</v>
      </c>
      <c r="AN30" s="97">
        <f>IF(Option3="No",0,IF($A30&lt;ImplementationYear,0,IF($A30&gt;(ImplementationYear+(Appraisal_Period-1)),0,Health!$F$22*$B30)))</f>
        <v>0</v>
      </c>
      <c r="AO30" s="97">
        <f>IF(Option3="No",0,IF($A30&lt;ImplementationYear,0,IF($A30&gt;(ImplementationYear+(Appraisal_Period-1)),0,SUM('Travel time'!$F$22:$F$23)*$B30)))</f>
        <v>0</v>
      </c>
      <c r="AP30" s="97">
        <f>IF(Option3="No",0,IF($A30&lt;ImplementationYear,0,IF($A30&gt;(ImplementationYear+(Appraisal_Period-1)),0,SUM('Travel time'!$F$20:$F$21)*$B30)))</f>
        <v>0</v>
      </c>
      <c r="AQ30" s="97">
        <f>IF(Option3="No",0,IF($A30&lt;ImplementationYear,0,IF($A30&gt;(ImplementationYear+(Appraisal_Period-1)),0,SUM(Quality!$F$22:$F$23)*$B30)))</f>
        <v>0</v>
      </c>
      <c r="AR30" s="97">
        <f>IF(Option3="No",0,IF($A30&lt;ImplementationYear,0,IF($A30&gt;(ImplementationYear+(Appraisal_Period-1)),0,SUM(Quality!$F$20:$F$21)*$B30)))</f>
        <v>0</v>
      </c>
      <c r="AS30" s="97">
        <f>IF(Option3="No",0,IF($A30&lt;ImplementationYear,0,IF($A30&gt;(ImplementationYear+(Appraisal_Period-1)),0,'Mode change'!$F$36*$B30)))</f>
        <v>0</v>
      </c>
      <c r="AT30" s="97">
        <f>IF(Option3="No",0,IF($A30&lt;ImplementationYear,0,IF($A30&gt;(ImplementationYear+(Appraisal_Period-1)),0,'Mode change'!$F$37*$B30)))</f>
        <v>0</v>
      </c>
      <c r="AU30" s="97">
        <f>IF(Option3="No",0,IF($A30&lt;ImplementationYear,0,IF($A30&gt;(ImplementationYear+(Appraisal_Period-1)),0,'Road safety'!$F$22*$B30)))</f>
        <v>0</v>
      </c>
      <c r="AV30" s="97">
        <f>IF(Option3="No",0,IF($A30&lt;ImplementationYear,0,IF($A30&gt;(ImplementationYear+(Appraisal_Period-1)),0,'Reduction in car usage'!$F$46*$B30)))</f>
        <v>0</v>
      </c>
      <c r="AW30" s="97">
        <f>IF(Option3="No",0,IF($A30&lt;ImplementationYear,0,IF($A30&gt;(ImplementationYear+(Appraisal_Period-1)),0,'Reduction in car usage'!$F$47*$B30)))</f>
        <v>0</v>
      </c>
      <c r="AX30" s="97">
        <f>IF(Option3="No",0,IF($A30&lt;ImplementationYear,0,IF($A30&gt;(ImplementationYear+(Appraisal_Period-1)),0,'Reduction in car usage'!$F$48*$B30)))</f>
        <v>0</v>
      </c>
    </row>
    <row r="31" spans="1:50">
      <c r="A31" s="335">
        <v>2026</v>
      </c>
      <c r="B31" s="62">
        <f>VLOOKUP($A31,'Time-series parameters'!$E$11:$H$89,3,FALSE)</f>
        <v>0.39529179875968179</v>
      </c>
      <c r="C31" s="89"/>
      <c r="D31" s="94">
        <f>IF(Option1="No",0,IF($A31=ImplementationYear,('Project details'!$H$10-'Project details'!$D$10)*VLOOKUP(Year_cost_estimate,'Time-series parameters'!$B$11:$C$89,2,FALSE)*$B31*(1+Contingency),0))</f>
        <v>0</v>
      </c>
      <c r="E31" s="94">
        <f>IF(Option1="No",0,IF($A31&lt;ImplementationYear,0,IF($A31&gt;(ImplementationYear+(Appraisal_Period-1)),0,('Project details'!$H$11-'Project details'!$D$11)*VLOOKUP(Year_cost_estimate,'Time-series parameters'!$B$11:$C$89,2,0))*$B31))</f>
        <v>0</v>
      </c>
      <c r="F31" s="94">
        <f>IF(Option1="No",0,IF($A31=ImplementationYear,('Project details'!$H$12-'Project details'!$D$12)*VLOOKUP(Year_cost_estimate,'Time-series parameters'!$B$11:$C$89,2,FALSE)*$B31,0))</f>
        <v>0</v>
      </c>
      <c r="G31" s="97">
        <f>IF(Option1="No",0,IF($A31&lt;ImplementationYear,0,IF($A31&gt;(ImplementationYear+(Appraisal_Period-1)),0,Health!$D$21*$B31)))</f>
        <v>0</v>
      </c>
      <c r="H31" s="97">
        <f>IF(Option1="No",0,IF($A31&lt;ImplementationYear,0,IF($A31&gt;(ImplementationYear+(Appraisal_Period-1)),0,Health!$D$22*$B31)))</f>
        <v>0</v>
      </c>
      <c r="I31" s="97">
        <f>IF(Option1="No",0,IF($A31&lt;ImplementationYear,0,IF($A31&gt;(ImplementationYear+(Appraisal_Period-1)),0,SUM('Travel time'!$D$22:$D$23)*$B31)))</f>
        <v>0</v>
      </c>
      <c r="J31" s="97">
        <f>IF(Option1="No",0,IF($A31&lt;ImplementationYear,0,IF($A31&gt;(ImplementationYear+(Appraisal_Period-1)),0,SUM('Travel time'!$D$20:$D$21)*$B31)))</f>
        <v>0</v>
      </c>
      <c r="K31" s="97">
        <f>IF(Option1="No",0,IF($A31&lt;ImplementationYear,0,IF($A31&gt;(ImplementationYear+(Appraisal_Period-1)),0,SUM(Quality!$D$22:$D$23)*$B31)))</f>
        <v>0</v>
      </c>
      <c r="L31" s="97">
        <f>IF(Option1="No",0,IF($A31&lt;ImplementationYear,0,IF($A31&gt;(ImplementationYear+(Appraisal_Period-1)),0,SUM(Quality!$D$20:$D$21)*$B31)))</f>
        <v>0</v>
      </c>
      <c r="M31" s="97">
        <f>IF(Option1="No",0,IF($A31&lt;ImplementationYear,0,IF($A31&gt;(ImplementationYear+(Appraisal_Period-1)),0,'Mode change'!$D$36*$B31)))</f>
        <v>0</v>
      </c>
      <c r="N31" s="97">
        <f>IF(Option1="No",0,IF($A31&lt;ImplementationYear,0,IF($A31&gt;(ImplementationYear+(Appraisal_Period-1)),0,'Mode change'!$D$37*$B31)))</f>
        <v>0</v>
      </c>
      <c r="O31" s="97">
        <f>IF(Option1="No",0,IF($A31&lt;ImplementationYear,0,IF($A31&gt;(ImplementationYear+(Appraisal_Period-1)),0,'Road safety'!$D$22*$B31)))</f>
        <v>0</v>
      </c>
      <c r="P31" s="97">
        <f>IF(Option1="No",0,IF($A31&lt;ImplementationYear,0,IF($A31&gt;(ImplementationYear+(Appraisal_Period-1)),0,'Reduction in car usage'!$D$46*$B31)))</f>
        <v>0</v>
      </c>
      <c r="Q31" s="97">
        <f>IF(Option1="No",0,IF($A31&lt;ImplementationYear,0,IF($A31&gt;(ImplementationYear+(Appraisal_Period-1)),0,'Reduction in car usage'!$D$47*$B31)))</f>
        <v>0</v>
      </c>
      <c r="R31" s="97">
        <f>IF(Option1="No",0,IF($A31&lt;ImplementationYear,0,IF($A31&gt;(ImplementationYear+(Appraisal_Period-1)),0,'Reduction in car usage'!$D$48*$B31)))</f>
        <v>0</v>
      </c>
      <c r="S31" s="92"/>
      <c r="T31" s="94">
        <f>IF(Option2="No",0,IF($A31=ImplementationYear,('Project details'!$L$10-'Project details'!$D$10)*VLOOKUP(Year_cost_estimate,'Time-series parameters'!$B$11:$C$89,2,FALSE)*$B31*(1+Contingency),0))</f>
        <v>0</v>
      </c>
      <c r="U31" s="94">
        <f>IF(Option2="No",0,IF($A31&lt;ImplementationYear,0,IF($A31&gt;(ImplementationYear+(Appraisal_Period-1)),0,('Project details'!$L$11-'Project details'!$D$11)*VLOOKUP(Year_cost_estimate,'Time-series parameters'!$B$11:$C$89,2,0))*$B31))</f>
        <v>0</v>
      </c>
      <c r="V31" s="94">
        <f>IF(Option2="No",0,IF($A31=ImplementationYear,('Project details'!$L$12-'Project details'!$D$12)*VLOOKUP(Year_cost_estimate,'Time-series parameters'!$B$11:$C$89,2,FALSE)*$B31,0))</f>
        <v>0</v>
      </c>
      <c r="W31" s="97">
        <f>IF(Option2="No",0,IF($A31&lt;ImplementationYear,0,IF($A31&gt;(ImplementationYear+(Appraisal_Period-1)),0,Health!$E$21*$B31)))</f>
        <v>0</v>
      </c>
      <c r="X31" s="97">
        <f>IF(Option2="No",0,IF($A31&lt;ImplementationYear,0,IF($A31&gt;(ImplementationYear+(Appraisal_Period-1)),0,Health!$E$22*$B31)))</f>
        <v>0</v>
      </c>
      <c r="Y31" s="97">
        <f>IF(Option2="No",0,IF($A31&lt;ImplementationYear,0,IF($A31&gt;(ImplementationYear+(Appraisal_Period-1)),0,SUM('Travel time'!$E$22:$E$23)*$B31)))</f>
        <v>0</v>
      </c>
      <c r="Z31" s="97">
        <f>IF(Option2="No",0,IF($A31&lt;ImplementationYear,0,IF($A31&gt;(ImplementationYear+(Appraisal_Period-1)),0,SUM('Travel time'!$E$20:$E$21)*$B31)))</f>
        <v>0</v>
      </c>
      <c r="AA31" s="97">
        <f>IF(Option2="No",0,IF($A31&lt;ImplementationYear,0,IF($A31&gt;(ImplementationYear+(Appraisal_Period-1)),0,SUM(Quality!$E$22:$E$23)*$B31)))</f>
        <v>0</v>
      </c>
      <c r="AB31" s="97">
        <f>IF(Option2="No",0,IF($A31&lt;ImplementationYear,0,IF($A31&gt;(ImplementationYear+(Appraisal_Period-1)),0,SUM(Quality!$E$20:$E$21)*$B31)))</f>
        <v>0</v>
      </c>
      <c r="AC31" s="97">
        <f>IF(Option2="No",0,IF($A31&lt;ImplementationYear,0,IF($A31&gt;(ImplementationYear+(Appraisal_Period-1)),0,'Mode change'!$E$36*$B31)))</f>
        <v>0</v>
      </c>
      <c r="AD31" s="97">
        <f>IF(Option2="No",0,IF($A31&lt;ImplementationYear,0,IF($A31&gt;(ImplementationYear+(Appraisal_Period-1)),0,'Mode change'!$E$37*$B31)))</f>
        <v>0</v>
      </c>
      <c r="AE31" s="97">
        <f>IF(Option2="No",0,IF($A31&lt;ImplementationYear,0,IF($A31&gt;(ImplementationYear+(Appraisal_Period-1)),0,'Road safety'!$E$22*$B31)))</f>
        <v>0</v>
      </c>
      <c r="AF31" s="97">
        <f>IF(Option2="No",0,IF($A31&lt;ImplementationYear,0,IF($A31&gt;(ImplementationYear+(Appraisal_Period-1)),0,'Reduction in car usage'!$E$46*$B31)))</f>
        <v>0</v>
      </c>
      <c r="AG31" s="97">
        <f>IF(Option2="No",0,IF($A31&lt;ImplementationYear,0,IF($A31&gt;(ImplementationYear+(Appraisal_Period-1)),0,'Reduction in car usage'!$E$47*$B31)))</f>
        <v>0</v>
      </c>
      <c r="AH31" s="97">
        <f>IF(Option2="No",0,IF($A31&lt;ImplementationYear,0,IF($A31&gt;(ImplementationYear+(Appraisal_Period-1)),0,'Reduction in car usage'!$E$48*$B31)))</f>
        <v>0</v>
      </c>
      <c r="AJ31" s="94">
        <f>IF(Option3="No",0,IF($A31=ImplementationYear,('Project details'!$P$10-'Project details'!$D$10)*VLOOKUP(Year_cost_estimate,'Time-series parameters'!$B$11:$C$89,2,FALSE)*$B31*(1+Contingency),0))</f>
        <v>0</v>
      </c>
      <c r="AK31" s="94">
        <f>IF(Option3="No",0,IF($A31&lt;ImplementationYear,0,IF($A31&gt;(ImplementationYear+(Appraisal_Period-1)),0,('Project details'!$P$11-'Project details'!$D$11)*VLOOKUP(Year_cost_estimate,'Time-series parameters'!$B$11:$C$89,2,0))*$B31))</f>
        <v>0</v>
      </c>
      <c r="AL31" s="94">
        <f>IF(Option3="No",0,IF($A31=ImplementationYear,('Project details'!$P$12-'Project details'!$D$12)*VLOOKUP(Year_cost_estimate,'Time-series parameters'!$B$11:$C$89,2,FALSE)*$B31,0))</f>
        <v>0</v>
      </c>
      <c r="AM31" s="97">
        <f>IF(Option3="No",0,IF($A31&lt;ImplementationYear,0,IF($A31&gt;(ImplementationYear+(Appraisal_Period-1)),0,Health!$F$21*$B31)))</f>
        <v>0</v>
      </c>
      <c r="AN31" s="97">
        <f>IF(Option3="No",0,IF($A31&lt;ImplementationYear,0,IF($A31&gt;(ImplementationYear+(Appraisal_Period-1)),0,Health!$F$22*$B31)))</f>
        <v>0</v>
      </c>
      <c r="AO31" s="97">
        <f>IF(Option3="No",0,IF($A31&lt;ImplementationYear,0,IF($A31&gt;(ImplementationYear+(Appraisal_Period-1)),0,SUM('Travel time'!$F$22:$F$23)*$B31)))</f>
        <v>0</v>
      </c>
      <c r="AP31" s="97">
        <f>IF(Option3="No",0,IF($A31&lt;ImplementationYear,0,IF($A31&gt;(ImplementationYear+(Appraisal_Period-1)),0,SUM('Travel time'!$F$20:$F$21)*$B31)))</f>
        <v>0</v>
      </c>
      <c r="AQ31" s="97">
        <f>IF(Option3="No",0,IF($A31&lt;ImplementationYear,0,IF($A31&gt;(ImplementationYear+(Appraisal_Period-1)),0,SUM(Quality!$F$22:$F$23)*$B31)))</f>
        <v>0</v>
      </c>
      <c r="AR31" s="97">
        <f>IF(Option3="No",0,IF($A31&lt;ImplementationYear,0,IF($A31&gt;(ImplementationYear+(Appraisal_Period-1)),0,SUM(Quality!$F$20:$F$21)*$B31)))</f>
        <v>0</v>
      </c>
      <c r="AS31" s="97">
        <f>IF(Option3="No",0,IF($A31&lt;ImplementationYear,0,IF($A31&gt;(ImplementationYear+(Appraisal_Period-1)),0,'Mode change'!$F$36*$B31)))</f>
        <v>0</v>
      </c>
      <c r="AT31" s="97">
        <f>IF(Option3="No",0,IF($A31&lt;ImplementationYear,0,IF($A31&gt;(ImplementationYear+(Appraisal_Period-1)),0,'Mode change'!$F$37*$B31)))</f>
        <v>0</v>
      </c>
      <c r="AU31" s="97">
        <f>IF(Option3="No",0,IF($A31&lt;ImplementationYear,0,IF($A31&gt;(ImplementationYear+(Appraisal_Period-1)),0,'Road safety'!$F$22*$B31)))</f>
        <v>0</v>
      </c>
      <c r="AV31" s="97">
        <f>IF(Option3="No",0,IF($A31&lt;ImplementationYear,0,IF($A31&gt;(ImplementationYear+(Appraisal_Period-1)),0,'Reduction in car usage'!$F$46*$B31)))</f>
        <v>0</v>
      </c>
      <c r="AW31" s="97">
        <f>IF(Option3="No",0,IF($A31&lt;ImplementationYear,0,IF($A31&gt;(ImplementationYear+(Appraisal_Period-1)),0,'Reduction in car usage'!$F$47*$B31)))</f>
        <v>0</v>
      </c>
      <c r="AX31" s="97">
        <f>IF(Option3="No",0,IF($A31&lt;ImplementationYear,0,IF($A31&gt;(ImplementationYear+(Appraisal_Period-1)),0,'Reduction in car usage'!$F$48*$B31)))</f>
        <v>0</v>
      </c>
    </row>
    <row r="32" spans="1:50">
      <c r="A32" s="335">
        <v>2027</v>
      </c>
      <c r="B32" s="62">
        <f>VLOOKUP($A32,'Time-series parameters'!$E$11:$H$89,3,FALSE)</f>
        <v>0.37157429083410087</v>
      </c>
      <c r="C32" s="89"/>
      <c r="D32" s="94">
        <f>IF(Option1="No",0,IF($A32=ImplementationYear,('Project details'!$H$10-'Project details'!$D$10)*VLOOKUP(Year_cost_estimate,'Time-series parameters'!$B$11:$C$89,2,FALSE)*$B32*(1+Contingency),0))</f>
        <v>0</v>
      </c>
      <c r="E32" s="94">
        <f>IF(Option1="No",0,IF($A32&lt;ImplementationYear,0,IF($A32&gt;(ImplementationYear+(Appraisal_Period-1)),0,('Project details'!$H$11-'Project details'!$D$11)*VLOOKUP(Year_cost_estimate,'Time-series parameters'!$B$11:$C$89,2,0))*$B32))</f>
        <v>0</v>
      </c>
      <c r="F32" s="94">
        <f>IF(Option1="No",0,IF($A32=ImplementationYear,('Project details'!$H$12-'Project details'!$D$12)*VLOOKUP(Year_cost_estimate,'Time-series parameters'!$B$11:$C$89,2,FALSE)*$B32,0))</f>
        <v>0</v>
      </c>
      <c r="G32" s="97">
        <f>IF(Option1="No",0,IF($A32&lt;ImplementationYear,0,IF($A32&gt;(ImplementationYear+(Appraisal_Period-1)),0,Health!$D$21*$B32)))</f>
        <v>0</v>
      </c>
      <c r="H32" s="97">
        <f>IF(Option1="No",0,IF($A32&lt;ImplementationYear,0,IF($A32&gt;(ImplementationYear+(Appraisal_Period-1)),0,Health!$D$22*$B32)))</f>
        <v>0</v>
      </c>
      <c r="I32" s="97">
        <f>IF(Option1="No",0,IF($A32&lt;ImplementationYear,0,IF($A32&gt;(ImplementationYear+(Appraisal_Period-1)),0,SUM('Travel time'!$D$22:$D$23)*$B32)))</f>
        <v>0</v>
      </c>
      <c r="J32" s="97">
        <f>IF(Option1="No",0,IF($A32&lt;ImplementationYear,0,IF($A32&gt;(ImplementationYear+(Appraisal_Period-1)),0,SUM('Travel time'!$D$20:$D$21)*$B32)))</f>
        <v>0</v>
      </c>
      <c r="K32" s="97">
        <f>IF(Option1="No",0,IF($A32&lt;ImplementationYear,0,IF($A32&gt;(ImplementationYear+(Appraisal_Period-1)),0,SUM(Quality!$D$22:$D$23)*$B32)))</f>
        <v>0</v>
      </c>
      <c r="L32" s="97">
        <f>IF(Option1="No",0,IF($A32&lt;ImplementationYear,0,IF($A32&gt;(ImplementationYear+(Appraisal_Period-1)),0,SUM(Quality!$D$20:$D$21)*$B32)))</f>
        <v>0</v>
      </c>
      <c r="M32" s="97">
        <f>IF(Option1="No",0,IF($A32&lt;ImplementationYear,0,IF($A32&gt;(ImplementationYear+(Appraisal_Period-1)),0,'Mode change'!$D$36*$B32)))</f>
        <v>0</v>
      </c>
      <c r="N32" s="97">
        <f>IF(Option1="No",0,IF($A32&lt;ImplementationYear,0,IF($A32&gt;(ImplementationYear+(Appraisal_Period-1)),0,'Mode change'!$D$37*$B32)))</f>
        <v>0</v>
      </c>
      <c r="O32" s="97">
        <f>IF(Option1="No",0,IF($A32&lt;ImplementationYear,0,IF($A32&gt;(ImplementationYear+(Appraisal_Period-1)),0,'Road safety'!$D$22*$B32)))</f>
        <v>0</v>
      </c>
      <c r="P32" s="97">
        <f>IF(Option1="No",0,IF($A32&lt;ImplementationYear,0,IF($A32&gt;(ImplementationYear+(Appraisal_Period-1)),0,'Reduction in car usage'!$D$46*$B32)))</f>
        <v>0</v>
      </c>
      <c r="Q32" s="97">
        <f>IF(Option1="No",0,IF($A32&lt;ImplementationYear,0,IF($A32&gt;(ImplementationYear+(Appraisal_Period-1)),0,'Reduction in car usage'!$D$47*$B32)))</f>
        <v>0</v>
      </c>
      <c r="R32" s="97">
        <f>IF(Option1="No",0,IF($A32&lt;ImplementationYear,0,IF($A32&gt;(ImplementationYear+(Appraisal_Period-1)),0,'Reduction in car usage'!$D$48*$B32)))</f>
        <v>0</v>
      </c>
      <c r="S32" s="92"/>
      <c r="T32" s="94">
        <f>IF(Option2="No",0,IF($A32=ImplementationYear,('Project details'!$L$10-'Project details'!$D$10)*VLOOKUP(Year_cost_estimate,'Time-series parameters'!$B$11:$C$89,2,FALSE)*$B32*(1+Contingency),0))</f>
        <v>0</v>
      </c>
      <c r="U32" s="94">
        <f>IF(Option2="No",0,IF($A32&lt;ImplementationYear,0,IF($A32&gt;(ImplementationYear+(Appraisal_Period-1)),0,('Project details'!$L$11-'Project details'!$D$11)*VLOOKUP(Year_cost_estimate,'Time-series parameters'!$B$11:$C$89,2,0))*$B32))</f>
        <v>0</v>
      </c>
      <c r="V32" s="94">
        <f>IF(Option2="No",0,IF($A32=ImplementationYear,('Project details'!$L$12-'Project details'!$D$12)*VLOOKUP(Year_cost_estimate,'Time-series parameters'!$B$11:$C$89,2,FALSE)*$B32,0))</f>
        <v>0</v>
      </c>
      <c r="W32" s="97">
        <f>IF(Option2="No",0,IF($A32&lt;ImplementationYear,0,IF($A32&gt;(ImplementationYear+(Appraisal_Period-1)),0,Health!$E$21*$B32)))</f>
        <v>0</v>
      </c>
      <c r="X32" s="97">
        <f>IF(Option2="No",0,IF($A32&lt;ImplementationYear,0,IF($A32&gt;(ImplementationYear+(Appraisal_Period-1)),0,Health!$E$22*$B32)))</f>
        <v>0</v>
      </c>
      <c r="Y32" s="97">
        <f>IF(Option2="No",0,IF($A32&lt;ImplementationYear,0,IF($A32&gt;(ImplementationYear+(Appraisal_Period-1)),0,SUM('Travel time'!$E$22:$E$23)*$B32)))</f>
        <v>0</v>
      </c>
      <c r="Z32" s="97">
        <f>IF(Option2="No",0,IF($A32&lt;ImplementationYear,0,IF($A32&gt;(ImplementationYear+(Appraisal_Period-1)),0,SUM('Travel time'!$E$20:$E$21)*$B32)))</f>
        <v>0</v>
      </c>
      <c r="AA32" s="97">
        <f>IF(Option2="No",0,IF($A32&lt;ImplementationYear,0,IF($A32&gt;(ImplementationYear+(Appraisal_Period-1)),0,SUM(Quality!$E$22:$E$23)*$B32)))</f>
        <v>0</v>
      </c>
      <c r="AB32" s="97">
        <f>IF(Option2="No",0,IF($A32&lt;ImplementationYear,0,IF($A32&gt;(ImplementationYear+(Appraisal_Period-1)),0,SUM(Quality!$E$20:$E$21)*$B32)))</f>
        <v>0</v>
      </c>
      <c r="AC32" s="97">
        <f>IF(Option2="No",0,IF($A32&lt;ImplementationYear,0,IF($A32&gt;(ImplementationYear+(Appraisal_Period-1)),0,'Mode change'!$E$36*$B32)))</f>
        <v>0</v>
      </c>
      <c r="AD32" s="97">
        <f>IF(Option2="No",0,IF($A32&lt;ImplementationYear,0,IF($A32&gt;(ImplementationYear+(Appraisal_Period-1)),0,'Mode change'!$E$37*$B32)))</f>
        <v>0</v>
      </c>
      <c r="AE32" s="97">
        <f>IF(Option2="No",0,IF($A32&lt;ImplementationYear,0,IF($A32&gt;(ImplementationYear+(Appraisal_Period-1)),0,'Road safety'!$E$22*$B32)))</f>
        <v>0</v>
      </c>
      <c r="AF32" s="97">
        <f>IF(Option2="No",0,IF($A32&lt;ImplementationYear,0,IF($A32&gt;(ImplementationYear+(Appraisal_Period-1)),0,'Reduction in car usage'!$E$46*$B32)))</f>
        <v>0</v>
      </c>
      <c r="AG32" s="97">
        <f>IF(Option2="No",0,IF($A32&lt;ImplementationYear,0,IF($A32&gt;(ImplementationYear+(Appraisal_Period-1)),0,'Reduction in car usage'!$E$47*$B32)))</f>
        <v>0</v>
      </c>
      <c r="AH32" s="97">
        <f>IF(Option2="No",0,IF($A32&lt;ImplementationYear,0,IF($A32&gt;(ImplementationYear+(Appraisal_Period-1)),0,'Reduction in car usage'!$E$48*$B32)))</f>
        <v>0</v>
      </c>
      <c r="AJ32" s="94">
        <f>IF(Option3="No",0,IF($A32=ImplementationYear,('Project details'!$P$10-'Project details'!$D$10)*VLOOKUP(Year_cost_estimate,'Time-series parameters'!$B$11:$C$89,2,FALSE)*$B32*(1+Contingency),0))</f>
        <v>0</v>
      </c>
      <c r="AK32" s="94">
        <f>IF(Option3="No",0,IF($A32&lt;ImplementationYear,0,IF($A32&gt;(ImplementationYear+(Appraisal_Period-1)),0,('Project details'!$P$11-'Project details'!$D$11)*VLOOKUP(Year_cost_estimate,'Time-series parameters'!$B$11:$C$89,2,0))*$B32))</f>
        <v>0</v>
      </c>
      <c r="AL32" s="94">
        <f>IF(Option3="No",0,IF($A32=ImplementationYear,('Project details'!$P$12-'Project details'!$D$12)*VLOOKUP(Year_cost_estimate,'Time-series parameters'!$B$11:$C$89,2,FALSE)*$B32,0))</f>
        <v>0</v>
      </c>
      <c r="AM32" s="97">
        <f>IF(Option3="No",0,IF($A32&lt;ImplementationYear,0,IF($A32&gt;(ImplementationYear+(Appraisal_Period-1)),0,Health!$F$21*$B32)))</f>
        <v>0</v>
      </c>
      <c r="AN32" s="97">
        <f>IF(Option3="No",0,IF($A32&lt;ImplementationYear,0,IF($A32&gt;(ImplementationYear+(Appraisal_Period-1)),0,Health!$F$22*$B32)))</f>
        <v>0</v>
      </c>
      <c r="AO32" s="97">
        <f>IF(Option3="No",0,IF($A32&lt;ImplementationYear,0,IF($A32&gt;(ImplementationYear+(Appraisal_Period-1)),0,SUM('Travel time'!$F$22:$F$23)*$B32)))</f>
        <v>0</v>
      </c>
      <c r="AP32" s="97">
        <f>IF(Option3="No",0,IF($A32&lt;ImplementationYear,0,IF($A32&gt;(ImplementationYear+(Appraisal_Period-1)),0,SUM('Travel time'!$F$20:$F$21)*$B32)))</f>
        <v>0</v>
      </c>
      <c r="AQ32" s="97">
        <f>IF(Option3="No",0,IF($A32&lt;ImplementationYear,0,IF($A32&gt;(ImplementationYear+(Appraisal_Period-1)),0,SUM(Quality!$F$22:$F$23)*$B32)))</f>
        <v>0</v>
      </c>
      <c r="AR32" s="97">
        <f>IF(Option3="No",0,IF($A32&lt;ImplementationYear,0,IF($A32&gt;(ImplementationYear+(Appraisal_Period-1)),0,SUM(Quality!$F$20:$F$21)*$B32)))</f>
        <v>0</v>
      </c>
      <c r="AS32" s="97">
        <f>IF(Option3="No",0,IF($A32&lt;ImplementationYear,0,IF($A32&gt;(ImplementationYear+(Appraisal_Period-1)),0,'Mode change'!$F$36*$B32)))</f>
        <v>0</v>
      </c>
      <c r="AT32" s="97">
        <f>IF(Option3="No",0,IF($A32&lt;ImplementationYear,0,IF($A32&gt;(ImplementationYear+(Appraisal_Period-1)),0,'Mode change'!$F$37*$B32)))</f>
        <v>0</v>
      </c>
      <c r="AU32" s="97">
        <f>IF(Option3="No",0,IF($A32&lt;ImplementationYear,0,IF($A32&gt;(ImplementationYear+(Appraisal_Period-1)),0,'Road safety'!$F$22*$B32)))</f>
        <v>0</v>
      </c>
      <c r="AV32" s="97">
        <f>IF(Option3="No",0,IF($A32&lt;ImplementationYear,0,IF($A32&gt;(ImplementationYear+(Appraisal_Period-1)),0,'Reduction in car usage'!$F$46*$B32)))</f>
        <v>0</v>
      </c>
      <c r="AW32" s="97">
        <f>IF(Option3="No",0,IF($A32&lt;ImplementationYear,0,IF($A32&gt;(ImplementationYear+(Appraisal_Period-1)),0,'Reduction in car usage'!$F$47*$B32)))</f>
        <v>0</v>
      </c>
      <c r="AX32" s="97">
        <f>IF(Option3="No",0,IF($A32&lt;ImplementationYear,0,IF($A32&gt;(ImplementationYear+(Appraisal_Period-1)),0,'Reduction in car usage'!$F$48*$B32)))</f>
        <v>0</v>
      </c>
    </row>
    <row r="33" spans="1:50">
      <c r="A33" s="335">
        <v>2028</v>
      </c>
      <c r="B33" s="62">
        <f>VLOOKUP($A33,'Time-series parameters'!$E$11:$H$89,3,FALSE)</f>
        <v>0.34927983338405483</v>
      </c>
      <c r="C33" s="89"/>
      <c r="D33" s="94">
        <f>IF(Option1="No",0,IF($A33=ImplementationYear,('Project details'!$H$10-'Project details'!$D$10)*VLOOKUP(Year_cost_estimate,'Time-series parameters'!$B$11:$C$89,2,FALSE)*$B33*(1+Contingency),0))</f>
        <v>0</v>
      </c>
      <c r="E33" s="94">
        <f>IF(Option1="No",0,IF($A33&lt;ImplementationYear,0,IF($A33&gt;(ImplementationYear+(Appraisal_Period-1)),0,('Project details'!$H$11-'Project details'!$D$11)*VLOOKUP(Year_cost_estimate,'Time-series parameters'!$B$11:$C$89,2,0))*$B33))</f>
        <v>0</v>
      </c>
      <c r="F33" s="94">
        <f>IF(Option1="No",0,IF($A33=ImplementationYear,('Project details'!$H$12-'Project details'!$D$12)*VLOOKUP(Year_cost_estimate,'Time-series parameters'!$B$11:$C$89,2,FALSE)*$B33,0))</f>
        <v>0</v>
      </c>
      <c r="G33" s="97">
        <f>IF(Option1="No",0,IF($A33&lt;ImplementationYear,0,IF($A33&gt;(ImplementationYear+(Appraisal_Period-1)),0,Health!$D$21*$B33)))</f>
        <v>0</v>
      </c>
      <c r="H33" s="97">
        <f>IF(Option1="No",0,IF($A33&lt;ImplementationYear,0,IF($A33&gt;(ImplementationYear+(Appraisal_Period-1)),0,Health!$D$22*$B33)))</f>
        <v>0</v>
      </c>
      <c r="I33" s="97">
        <f>IF(Option1="No",0,IF($A33&lt;ImplementationYear,0,IF($A33&gt;(ImplementationYear+(Appraisal_Period-1)),0,SUM('Travel time'!$D$22:$D$23)*$B33)))</f>
        <v>0</v>
      </c>
      <c r="J33" s="97">
        <f>IF(Option1="No",0,IF($A33&lt;ImplementationYear,0,IF($A33&gt;(ImplementationYear+(Appraisal_Period-1)),0,SUM('Travel time'!$D$20:$D$21)*$B33)))</f>
        <v>0</v>
      </c>
      <c r="K33" s="97">
        <f>IF(Option1="No",0,IF($A33&lt;ImplementationYear,0,IF($A33&gt;(ImplementationYear+(Appraisal_Period-1)),0,SUM(Quality!$D$22:$D$23)*$B33)))</f>
        <v>0</v>
      </c>
      <c r="L33" s="97">
        <f>IF(Option1="No",0,IF($A33&lt;ImplementationYear,0,IF($A33&gt;(ImplementationYear+(Appraisal_Period-1)),0,SUM(Quality!$D$20:$D$21)*$B33)))</f>
        <v>0</v>
      </c>
      <c r="M33" s="97">
        <f>IF(Option1="No",0,IF($A33&lt;ImplementationYear,0,IF($A33&gt;(ImplementationYear+(Appraisal_Period-1)),0,'Mode change'!$D$36*$B33)))</f>
        <v>0</v>
      </c>
      <c r="N33" s="97">
        <f>IF(Option1="No",0,IF($A33&lt;ImplementationYear,0,IF($A33&gt;(ImplementationYear+(Appraisal_Period-1)),0,'Mode change'!$D$37*$B33)))</f>
        <v>0</v>
      </c>
      <c r="O33" s="97">
        <f>IF(Option1="No",0,IF($A33&lt;ImplementationYear,0,IF($A33&gt;(ImplementationYear+(Appraisal_Period-1)),0,'Road safety'!$D$22*$B33)))</f>
        <v>0</v>
      </c>
      <c r="P33" s="97">
        <f>IF(Option1="No",0,IF($A33&lt;ImplementationYear,0,IF($A33&gt;(ImplementationYear+(Appraisal_Period-1)),0,'Reduction in car usage'!$D$46*$B33)))</f>
        <v>0</v>
      </c>
      <c r="Q33" s="97">
        <f>IF(Option1="No",0,IF($A33&lt;ImplementationYear,0,IF($A33&gt;(ImplementationYear+(Appraisal_Period-1)),0,'Reduction in car usage'!$D$47*$B33)))</f>
        <v>0</v>
      </c>
      <c r="R33" s="97">
        <f>IF(Option1="No",0,IF($A33&lt;ImplementationYear,0,IF($A33&gt;(ImplementationYear+(Appraisal_Period-1)),0,'Reduction in car usage'!$D$48*$B33)))</f>
        <v>0</v>
      </c>
      <c r="S33" s="92"/>
      <c r="T33" s="94">
        <f>IF(Option2="No",0,IF($A33=ImplementationYear,('Project details'!$L$10-'Project details'!$D$10)*VLOOKUP(Year_cost_estimate,'Time-series parameters'!$B$11:$C$89,2,FALSE)*$B33*(1+Contingency),0))</f>
        <v>0</v>
      </c>
      <c r="U33" s="94">
        <f>IF(Option2="No",0,IF($A33&lt;ImplementationYear,0,IF($A33&gt;(ImplementationYear+(Appraisal_Period-1)),0,('Project details'!$L$11-'Project details'!$D$11)*VLOOKUP(Year_cost_estimate,'Time-series parameters'!$B$11:$C$89,2,0))*$B33))</f>
        <v>0</v>
      </c>
      <c r="V33" s="94">
        <f>IF(Option2="No",0,IF($A33=ImplementationYear,('Project details'!$L$12-'Project details'!$D$12)*VLOOKUP(Year_cost_estimate,'Time-series parameters'!$B$11:$C$89,2,FALSE)*$B33,0))</f>
        <v>0</v>
      </c>
      <c r="W33" s="97">
        <f>IF(Option2="No",0,IF($A33&lt;ImplementationYear,0,IF($A33&gt;(ImplementationYear+(Appraisal_Period-1)),0,Health!$E$21*$B33)))</f>
        <v>0</v>
      </c>
      <c r="X33" s="97">
        <f>IF(Option2="No",0,IF($A33&lt;ImplementationYear,0,IF($A33&gt;(ImplementationYear+(Appraisal_Period-1)),0,Health!$E$22*$B33)))</f>
        <v>0</v>
      </c>
      <c r="Y33" s="97">
        <f>IF(Option2="No",0,IF($A33&lt;ImplementationYear,0,IF($A33&gt;(ImplementationYear+(Appraisal_Period-1)),0,SUM('Travel time'!$E$22:$E$23)*$B33)))</f>
        <v>0</v>
      </c>
      <c r="Z33" s="97">
        <f>IF(Option2="No",0,IF($A33&lt;ImplementationYear,0,IF($A33&gt;(ImplementationYear+(Appraisal_Period-1)),0,SUM('Travel time'!$E$20:$E$21)*$B33)))</f>
        <v>0</v>
      </c>
      <c r="AA33" s="97">
        <f>IF(Option2="No",0,IF($A33&lt;ImplementationYear,0,IF($A33&gt;(ImplementationYear+(Appraisal_Period-1)),0,SUM(Quality!$E$22:$E$23)*$B33)))</f>
        <v>0</v>
      </c>
      <c r="AB33" s="97">
        <f>IF(Option2="No",0,IF($A33&lt;ImplementationYear,0,IF($A33&gt;(ImplementationYear+(Appraisal_Period-1)),0,SUM(Quality!$E$20:$E$21)*$B33)))</f>
        <v>0</v>
      </c>
      <c r="AC33" s="97">
        <f>IF(Option2="No",0,IF($A33&lt;ImplementationYear,0,IF($A33&gt;(ImplementationYear+(Appraisal_Period-1)),0,'Mode change'!$E$36*$B33)))</f>
        <v>0</v>
      </c>
      <c r="AD33" s="97">
        <f>IF(Option2="No",0,IF($A33&lt;ImplementationYear,0,IF($A33&gt;(ImplementationYear+(Appraisal_Period-1)),0,'Mode change'!$E$37*$B33)))</f>
        <v>0</v>
      </c>
      <c r="AE33" s="97">
        <f>IF(Option2="No",0,IF($A33&lt;ImplementationYear,0,IF($A33&gt;(ImplementationYear+(Appraisal_Period-1)),0,'Road safety'!$E$22*$B33)))</f>
        <v>0</v>
      </c>
      <c r="AF33" s="97">
        <f>IF(Option2="No",0,IF($A33&lt;ImplementationYear,0,IF($A33&gt;(ImplementationYear+(Appraisal_Period-1)),0,'Reduction in car usage'!$E$46*$B33)))</f>
        <v>0</v>
      </c>
      <c r="AG33" s="97">
        <f>IF(Option2="No",0,IF($A33&lt;ImplementationYear,0,IF($A33&gt;(ImplementationYear+(Appraisal_Period-1)),0,'Reduction in car usage'!$E$47*$B33)))</f>
        <v>0</v>
      </c>
      <c r="AH33" s="97">
        <f>IF(Option2="No",0,IF($A33&lt;ImplementationYear,0,IF($A33&gt;(ImplementationYear+(Appraisal_Period-1)),0,'Reduction in car usage'!$E$48*$B33)))</f>
        <v>0</v>
      </c>
      <c r="AJ33" s="94">
        <f>IF(Option3="No",0,IF($A33=ImplementationYear,('Project details'!$P$10-'Project details'!$D$10)*VLOOKUP(Year_cost_estimate,'Time-series parameters'!$B$11:$C$89,2,FALSE)*$B33*(1+Contingency),0))</f>
        <v>0</v>
      </c>
      <c r="AK33" s="94">
        <f>IF(Option3="No",0,IF($A33&lt;ImplementationYear,0,IF($A33&gt;(ImplementationYear+(Appraisal_Period-1)),0,('Project details'!$P$11-'Project details'!$D$11)*VLOOKUP(Year_cost_estimate,'Time-series parameters'!$B$11:$C$89,2,0))*$B33))</f>
        <v>0</v>
      </c>
      <c r="AL33" s="94">
        <f>IF(Option3="No",0,IF($A33=ImplementationYear,('Project details'!$P$12-'Project details'!$D$12)*VLOOKUP(Year_cost_estimate,'Time-series parameters'!$B$11:$C$89,2,FALSE)*$B33,0))</f>
        <v>0</v>
      </c>
      <c r="AM33" s="97">
        <f>IF(Option3="No",0,IF($A33&lt;ImplementationYear,0,IF($A33&gt;(ImplementationYear+(Appraisal_Period-1)),0,Health!$F$21*$B33)))</f>
        <v>0</v>
      </c>
      <c r="AN33" s="97">
        <f>IF(Option3="No",0,IF($A33&lt;ImplementationYear,0,IF($A33&gt;(ImplementationYear+(Appraisal_Period-1)),0,Health!$F$22*$B33)))</f>
        <v>0</v>
      </c>
      <c r="AO33" s="97">
        <f>IF(Option3="No",0,IF($A33&lt;ImplementationYear,0,IF($A33&gt;(ImplementationYear+(Appraisal_Period-1)),0,SUM('Travel time'!$F$22:$F$23)*$B33)))</f>
        <v>0</v>
      </c>
      <c r="AP33" s="97">
        <f>IF(Option3="No",0,IF($A33&lt;ImplementationYear,0,IF($A33&gt;(ImplementationYear+(Appraisal_Period-1)),0,SUM('Travel time'!$F$20:$F$21)*$B33)))</f>
        <v>0</v>
      </c>
      <c r="AQ33" s="97">
        <f>IF(Option3="No",0,IF($A33&lt;ImplementationYear,0,IF($A33&gt;(ImplementationYear+(Appraisal_Period-1)),0,SUM(Quality!$F$22:$F$23)*$B33)))</f>
        <v>0</v>
      </c>
      <c r="AR33" s="97">
        <f>IF(Option3="No",0,IF($A33&lt;ImplementationYear,0,IF($A33&gt;(ImplementationYear+(Appraisal_Period-1)),0,SUM(Quality!$F$20:$F$21)*$B33)))</f>
        <v>0</v>
      </c>
      <c r="AS33" s="97">
        <f>IF(Option3="No",0,IF($A33&lt;ImplementationYear,0,IF($A33&gt;(ImplementationYear+(Appraisal_Period-1)),0,'Mode change'!$F$36*$B33)))</f>
        <v>0</v>
      </c>
      <c r="AT33" s="97">
        <f>IF(Option3="No",0,IF($A33&lt;ImplementationYear,0,IF($A33&gt;(ImplementationYear+(Appraisal_Period-1)),0,'Mode change'!$F$37*$B33)))</f>
        <v>0</v>
      </c>
      <c r="AU33" s="97">
        <f>IF(Option3="No",0,IF($A33&lt;ImplementationYear,0,IF($A33&gt;(ImplementationYear+(Appraisal_Period-1)),0,'Road safety'!$F$22*$B33)))</f>
        <v>0</v>
      </c>
      <c r="AV33" s="97">
        <f>IF(Option3="No",0,IF($A33&lt;ImplementationYear,0,IF($A33&gt;(ImplementationYear+(Appraisal_Period-1)),0,'Reduction in car usage'!$F$46*$B33)))</f>
        <v>0</v>
      </c>
      <c r="AW33" s="97">
        <f>IF(Option3="No",0,IF($A33&lt;ImplementationYear,0,IF($A33&gt;(ImplementationYear+(Appraisal_Period-1)),0,'Reduction in car usage'!$F$47*$B33)))</f>
        <v>0</v>
      </c>
      <c r="AX33" s="97">
        <f>IF(Option3="No",0,IF($A33&lt;ImplementationYear,0,IF($A33&gt;(ImplementationYear+(Appraisal_Period-1)),0,'Reduction in car usage'!$F$48*$B33)))</f>
        <v>0</v>
      </c>
    </row>
    <row r="34" spans="1:50">
      <c r="A34" s="335">
        <v>2029</v>
      </c>
      <c r="B34" s="62">
        <f>VLOOKUP($A34,'Time-series parameters'!$E$11:$H$89,3,FALSE)</f>
        <v>0.32832304338101154</v>
      </c>
      <c r="C34" s="89"/>
      <c r="D34" s="94">
        <f>IF(Option1="No",0,IF($A34=ImplementationYear,('Project details'!$H$10-'Project details'!$D$10)*VLOOKUP(Year_cost_estimate,'Time-series parameters'!$B$11:$C$89,2,FALSE)*$B34*(1+Contingency),0))</f>
        <v>0</v>
      </c>
      <c r="E34" s="94">
        <f>IF(Option1="No",0,IF($A34&lt;ImplementationYear,0,IF($A34&gt;(ImplementationYear+(Appraisal_Period-1)),0,('Project details'!$H$11-'Project details'!$D$11)*VLOOKUP(Year_cost_estimate,'Time-series parameters'!$B$11:$C$89,2,0))*$B34))</f>
        <v>0</v>
      </c>
      <c r="F34" s="94">
        <f>IF(Option1="No",0,IF($A34=ImplementationYear,('Project details'!$H$12-'Project details'!$D$12)*VLOOKUP(Year_cost_estimate,'Time-series parameters'!$B$11:$C$89,2,FALSE)*$B34,0))</f>
        <v>0</v>
      </c>
      <c r="G34" s="97">
        <f>IF(Option1="No",0,IF($A34&lt;ImplementationYear,0,IF($A34&gt;(ImplementationYear+(Appraisal_Period-1)),0,Health!$D$21*$B34)))</f>
        <v>0</v>
      </c>
      <c r="H34" s="97">
        <f>IF(Option1="No",0,IF($A34&lt;ImplementationYear,0,IF($A34&gt;(ImplementationYear+(Appraisal_Period-1)),0,Health!$D$22*$B34)))</f>
        <v>0</v>
      </c>
      <c r="I34" s="97">
        <f>IF(Option1="No",0,IF($A34&lt;ImplementationYear,0,IF($A34&gt;(ImplementationYear+(Appraisal_Period-1)),0,SUM('Travel time'!$D$22:$D$23)*$B34)))</f>
        <v>0</v>
      </c>
      <c r="J34" s="97">
        <f>IF(Option1="No",0,IF($A34&lt;ImplementationYear,0,IF($A34&gt;(ImplementationYear+(Appraisal_Period-1)),0,SUM('Travel time'!$D$20:$D$21)*$B34)))</f>
        <v>0</v>
      </c>
      <c r="K34" s="97">
        <f>IF(Option1="No",0,IF($A34&lt;ImplementationYear,0,IF($A34&gt;(ImplementationYear+(Appraisal_Period-1)),0,SUM(Quality!$D$22:$D$23)*$B34)))</f>
        <v>0</v>
      </c>
      <c r="L34" s="97">
        <f>IF(Option1="No",0,IF($A34&lt;ImplementationYear,0,IF($A34&gt;(ImplementationYear+(Appraisal_Period-1)),0,SUM(Quality!$D$20:$D$21)*$B34)))</f>
        <v>0</v>
      </c>
      <c r="M34" s="97">
        <f>IF(Option1="No",0,IF($A34&lt;ImplementationYear,0,IF($A34&gt;(ImplementationYear+(Appraisal_Period-1)),0,'Mode change'!$D$36*$B34)))</f>
        <v>0</v>
      </c>
      <c r="N34" s="97">
        <f>IF(Option1="No",0,IF($A34&lt;ImplementationYear,0,IF($A34&gt;(ImplementationYear+(Appraisal_Period-1)),0,'Mode change'!$D$37*$B34)))</f>
        <v>0</v>
      </c>
      <c r="O34" s="97">
        <f>IF(Option1="No",0,IF($A34&lt;ImplementationYear,0,IF($A34&gt;(ImplementationYear+(Appraisal_Period-1)),0,'Road safety'!$D$22*$B34)))</f>
        <v>0</v>
      </c>
      <c r="P34" s="97">
        <f>IF(Option1="No",0,IF($A34&lt;ImplementationYear,0,IF($A34&gt;(ImplementationYear+(Appraisal_Period-1)),0,'Reduction in car usage'!$D$46*$B34)))</f>
        <v>0</v>
      </c>
      <c r="Q34" s="97">
        <f>IF(Option1="No",0,IF($A34&lt;ImplementationYear,0,IF($A34&gt;(ImplementationYear+(Appraisal_Period-1)),0,'Reduction in car usage'!$D$47*$B34)))</f>
        <v>0</v>
      </c>
      <c r="R34" s="97">
        <f>IF(Option1="No",0,IF($A34&lt;ImplementationYear,0,IF($A34&gt;(ImplementationYear+(Appraisal_Period-1)),0,'Reduction in car usage'!$D$48*$B34)))</f>
        <v>0</v>
      </c>
      <c r="S34" s="92"/>
      <c r="T34" s="94">
        <f>IF(Option2="No",0,IF($A34=ImplementationYear,('Project details'!$L$10-'Project details'!$D$10)*VLOOKUP(Year_cost_estimate,'Time-series parameters'!$B$11:$C$89,2,FALSE)*$B34*(1+Contingency),0))</f>
        <v>0</v>
      </c>
      <c r="U34" s="94">
        <f>IF(Option2="No",0,IF($A34&lt;ImplementationYear,0,IF($A34&gt;(ImplementationYear+(Appraisal_Period-1)),0,('Project details'!$L$11-'Project details'!$D$11)*VLOOKUP(Year_cost_estimate,'Time-series parameters'!$B$11:$C$89,2,0))*$B34))</f>
        <v>0</v>
      </c>
      <c r="V34" s="94">
        <f>IF(Option2="No",0,IF($A34=ImplementationYear,('Project details'!$L$12-'Project details'!$D$12)*VLOOKUP(Year_cost_estimate,'Time-series parameters'!$B$11:$C$89,2,FALSE)*$B34,0))</f>
        <v>0</v>
      </c>
      <c r="W34" s="97">
        <f>IF(Option2="No",0,IF($A34&lt;ImplementationYear,0,IF($A34&gt;(ImplementationYear+(Appraisal_Period-1)),0,Health!$E$21*$B34)))</f>
        <v>0</v>
      </c>
      <c r="X34" s="97">
        <f>IF(Option2="No",0,IF($A34&lt;ImplementationYear,0,IF($A34&gt;(ImplementationYear+(Appraisal_Period-1)),0,Health!$E$22*$B34)))</f>
        <v>0</v>
      </c>
      <c r="Y34" s="97">
        <f>IF(Option2="No",0,IF($A34&lt;ImplementationYear,0,IF($A34&gt;(ImplementationYear+(Appraisal_Period-1)),0,SUM('Travel time'!$E$22:$E$23)*$B34)))</f>
        <v>0</v>
      </c>
      <c r="Z34" s="97">
        <f>IF(Option2="No",0,IF($A34&lt;ImplementationYear,0,IF($A34&gt;(ImplementationYear+(Appraisal_Period-1)),0,SUM('Travel time'!$E$20:$E$21)*$B34)))</f>
        <v>0</v>
      </c>
      <c r="AA34" s="97">
        <f>IF(Option2="No",0,IF($A34&lt;ImplementationYear,0,IF($A34&gt;(ImplementationYear+(Appraisal_Period-1)),0,SUM(Quality!$E$22:$E$23)*$B34)))</f>
        <v>0</v>
      </c>
      <c r="AB34" s="97">
        <f>IF(Option2="No",0,IF($A34&lt;ImplementationYear,0,IF($A34&gt;(ImplementationYear+(Appraisal_Period-1)),0,SUM(Quality!$E$20:$E$21)*$B34)))</f>
        <v>0</v>
      </c>
      <c r="AC34" s="97">
        <f>IF(Option2="No",0,IF($A34&lt;ImplementationYear,0,IF($A34&gt;(ImplementationYear+(Appraisal_Period-1)),0,'Mode change'!$E$36*$B34)))</f>
        <v>0</v>
      </c>
      <c r="AD34" s="97">
        <f>IF(Option2="No",0,IF($A34&lt;ImplementationYear,0,IF($A34&gt;(ImplementationYear+(Appraisal_Period-1)),0,'Mode change'!$E$37*$B34)))</f>
        <v>0</v>
      </c>
      <c r="AE34" s="97">
        <f>IF(Option2="No",0,IF($A34&lt;ImplementationYear,0,IF($A34&gt;(ImplementationYear+(Appraisal_Period-1)),0,'Road safety'!$E$22*$B34)))</f>
        <v>0</v>
      </c>
      <c r="AF34" s="97">
        <f>IF(Option2="No",0,IF($A34&lt;ImplementationYear,0,IF($A34&gt;(ImplementationYear+(Appraisal_Period-1)),0,'Reduction in car usage'!$E$46*$B34)))</f>
        <v>0</v>
      </c>
      <c r="AG34" s="97">
        <f>IF(Option2="No",0,IF($A34&lt;ImplementationYear,0,IF($A34&gt;(ImplementationYear+(Appraisal_Period-1)),0,'Reduction in car usage'!$E$47*$B34)))</f>
        <v>0</v>
      </c>
      <c r="AH34" s="97">
        <f>IF(Option2="No",0,IF($A34&lt;ImplementationYear,0,IF($A34&gt;(ImplementationYear+(Appraisal_Period-1)),0,'Reduction in car usage'!$E$48*$B34)))</f>
        <v>0</v>
      </c>
      <c r="AJ34" s="94">
        <f>IF(Option3="No",0,IF($A34=ImplementationYear,('Project details'!$P$10-'Project details'!$D$10)*VLOOKUP(Year_cost_estimate,'Time-series parameters'!$B$11:$C$89,2,FALSE)*$B34*(1+Contingency),0))</f>
        <v>0</v>
      </c>
      <c r="AK34" s="94">
        <f>IF(Option3="No",0,IF($A34&lt;ImplementationYear,0,IF($A34&gt;(ImplementationYear+(Appraisal_Period-1)),0,('Project details'!$P$11-'Project details'!$D$11)*VLOOKUP(Year_cost_estimate,'Time-series parameters'!$B$11:$C$89,2,0))*$B34))</f>
        <v>0</v>
      </c>
      <c r="AL34" s="94">
        <f>IF(Option3="No",0,IF($A34=ImplementationYear,('Project details'!$P$12-'Project details'!$D$12)*VLOOKUP(Year_cost_estimate,'Time-series parameters'!$B$11:$C$89,2,FALSE)*$B34,0))</f>
        <v>0</v>
      </c>
      <c r="AM34" s="97">
        <f>IF(Option3="No",0,IF($A34&lt;ImplementationYear,0,IF($A34&gt;(ImplementationYear+(Appraisal_Period-1)),0,Health!$F$21*$B34)))</f>
        <v>0</v>
      </c>
      <c r="AN34" s="97">
        <f>IF(Option3="No",0,IF($A34&lt;ImplementationYear,0,IF($A34&gt;(ImplementationYear+(Appraisal_Period-1)),0,Health!$F$22*$B34)))</f>
        <v>0</v>
      </c>
      <c r="AO34" s="97">
        <f>IF(Option3="No",0,IF($A34&lt;ImplementationYear,0,IF($A34&gt;(ImplementationYear+(Appraisal_Period-1)),0,SUM('Travel time'!$F$22:$F$23)*$B34)))</f>
        <v>0</v>
      </c>
      <c r="AP34" s="97">
        <f>IF(Option3="No",0,IF($A34&lt;ImplementationYear,0,IF($A34&gt;(ImplementationYear+(Appraisal_Period-1)),0,SUM('Travel time'!$F$20:$F$21)*$B34)))</f>
        <v>0</v>
      </c>
      <c r="AQ34" s="97">
        <f>IF(Option3="No",0,IF($A34&lt;ImplementationYear,0,IF($A34&gt;(ImplementationYear+(Appraisal_Period-1)),0,SUM(Quality!$F$22:$F$23)*$B34)))</f>
        <v>0</v>
      </c>
      <c r="AR34" s="97">
        <f>IF(Option3="No",0,IF($A34&lt;ImplementationYear,0,IF($A34&gt;(ImplementationYear+(Appraisal_Period-1)),0,SUM(Quality!$F$20:$F$21)*$B34)))</f>
        <v>0</v>
      </c>
      <c r="AS34" s="97">
        <f>IF(Option3="No",0,IF($A34&lt;ImplementationYear,0,IF($A34&gt;(ImplementationYear+(Appraisal_Period-1)),0,'Mode change'!$F$36*$B34)))</f>
        <v>0</v>
      </c>
      <c r="AT34" s="97">
        <f>IF(Option3="No",0,IF($A34&lt;ImplementationYear,0,IF($A34&gt;(ImplementationYear+(Appraisal_Period-1)),0,'Mode change'!$F$37*$B34)))</f>
        <v>0</v>
      </c>
      <c r="AU34" s="97">
        <f>IF(Option3="No",0,IF($A34&lt;ImplementationYear,0,IF($A34&gt;(ImplementationYear+(Appraisal_Period-1)),0,'Road safety'!$F$22*$B34)))</f>
        <v>0</v>
      </c>
      <c r="AV34" s="97">
        <f>IF(Option3="No",0,IF($A34&lt;ImplementationYear,0,IF($A34&gt;(ImplementationYear+(Appraisal_Period-1)),0,'Reduction in car usage'!$F$46*$B34)))</f>
        <v>0</v>
      </c>
      <c r="AW34" s="97">
        <f>IF(Option3="No",0,IF($A34&lt;ImplementationYear,0,IF($A34&gt;(ImplementationYear+(Appraisal_Period-1)),0,'Reduction in car usage'!$F$47*$B34)))</f>
        <v>0</v>
      </c>
      <c r="AX34" s="97">
        <f>IF(Option3="No",0,IF($A34&lt;ImplementationYear,0,IF($A34&gt;(ImplementationYear+(Appraisal_Period-1)),0,'Reduction in car usage'!$F$48*$B34)))</f>
        <v>0</v>
      </c>
    </row>
    <row r="35" spans="1:50">
      <c r="A35" s="335">
        <v>2030</v>
      </c>
      <c r="B35" s="62">
        <f>VLOOKUP($A35,'Time-series parameters'!$E$11:$H$89,3,FALSE)</f>
        <v>0.30862366077815084</v>
      </c>
      <c r="C35" s="89"/>
      <c r="D35" s="94">
        <f>IF(Option1="No",0,IF($A35=ImplementationYear,('Project details'!$H$10-'Project details'!$D$10)*VLOOKUP(Year_cost_estimate,'Time-series parameters'!$B$11:$C$89,2,FALSE)*$B35*(1+Contingency),0))</f>
        <v>0</v>
      </c>
      <c r="E35" s="94">
        <f>IF(Option1="No",0,IF($A35&lt;ImplementationYear,0,IF($A35&gt;(ImplementationYear+(Appraisal_Period-1)),0,('Project details'!$H$11-'Project details'!$D$11)*VLOOKUP(Year_cost_estimate,'Time-series parameters'!$B$11:$C$89,2,0))*$B35))</f>
        <v>0</v>
      </c>
      <c r="F35" s="94">
        <f>IF(Option1="No",0,IF($A35=ImplementationYear,('Project details'!$H$12-'Project details'!$D$12)*VLOOKUP(Year_cost_estimate,'Time-series parameters'!$B$11:$C$89,2,FALSE)*$B35,0))</f>
        <v>0</v>
      </c>
      <c r="G35" s="97">
        <f>IF(Option1="No",0,IF($A35&lt;ImplementationYear,0,IF($A35&gt;(ImplementationYear+(Appraisal_Period-1)),0,Health!$D$21*$B35)))</f>
        <v>0</v>
      </c>
      <c r="H35" s="97">
        <f>IF(Option1="No",0,IF($A35&lt;ImplementationYear,0,IF($A35&gt;(ImplementationYear+(Appraisal_Period-1)),0,Health!$D$22*$B35)))</f>
        <v>0</v>
      </c>
      <c r="I35" s="97">
        <f>IF(Option1="No",0,IF($A35&lt;ImplementationYear,0,IF($A35&gt;(ImplementationYear+(Appraisal_Period-1)),0,SUM('Travel time'!$D$22:$D$23)*$B35)))</f>
        <v>0</v>
      </c>
      <c r="J35" s="97">
        <f>IF(Option1="No",0,IF($A35&lt;ImplementationYear,0,IF($A35&gt;(ImplementationYear+(Appraisal_Period-1)),0,SUM('Travel time'!$D$20:$D$21)*$B35)))</f>
        <v>0</v>
      </c>
      <c r="K35" s="97">
        <f>IF(Option1="No",0,IF($A35&lt;ImplementationYear,0,IF($A35&gt;(ImplementationYear+(Appraisal_Period-1)),0,SUM(Quality!$D$22:$D$23)*$B35)))</f>
        <v>0</v>
      </c>
      <c r="L35" s="97">
        <f>IF(Option1="No",0,IF($A35&lt;ImplementationYear,0,IF($A35&gt;(ImplementationYear+(Appraisal_Period-1)),0,SUM(Quality!$D$20:$D$21)*$B35)))</f>
        <v>0</v>
      </c>
      <c r="M35" s="97">
        <f>IF(Option1="No",0,IF($A35&lt;ImplementationYear,0,IF($A35&gt;(ImplementationYear+(Appraisal_Period-1)),0,'Mode change'!$D$36*$B35)))</f>
        <v>0</v>
      </c>
      <c r="N35" s="97">
        <f>IF(Option1="No",0,IF($A35&lt;ImplementationYear,0,IF($A35&gt;(ImplementationYear+(Appraisal_Period-1)),0,'Mode change'!$D$37*$B35)))</f>
        <v>0</v>
      </c>
      <c r="O35" s="97">
        <f>IF(Option1="No",0,IF($A35&lt;ImplementationYear,0,IF($A35&gt;(ImplementationYear+(Appraisal_Period-1)),0,'Road safety'!$D$22*$B35)))</f>
        <v>0</v>
      </c>
      <c r="P35" s="97">
        <f>IF(Option1="No",0,IF($A35&lt;ImplementationYear,0,IF($A35&gt;(ImplementationYear+(Appraisal_Period-1)),0,'Reduction in car usage'!$D$46*$B35)))</f>
        <v>0</v>
      </c>
      <c r="Q35" s="97">
        <f>IF(Option1="No",0,IF($A35&lt;ImplementationYear,0,IF($A35&gt;(ImplementationYear+(Appraisal_Period-1)),0,'Reduction in car usage'!$D$47*$B35)))</f>
        <v>0</v>
      </c>
      <c r="R35" s="97">
        <f>IF(Option1="No",0,IF($A35&lt;ImplementationYear,0,IF($A35&gt;(ImplementationYear+(Appraisal_Period-1)),0,'Reduction in car usage'!$D$48*$B35)))</f>
        <v>0</v>
      </c>
      <c r="S35" s="92"/>
      <c r="T35" s="94">
        <f>IF(Option2="No",0,IF($A35=ImplementationYear,('Project details'!$L$10-'Project details'!$D$10)*VLOOKUP(Year_cost_estimate,'Time-series parameters'!$B$11:$C$89,2,FALSE)*$B35*(1+Contingency),0))</f>
        <v>0</v>
      </c>
      <c r="U35" s="94">
        <f>IF(Option2="No",0,IF($A35&lt;ImplementationYear,0,IF($A35&gt;(ImplementationYear+(Appraisal_Period-1)),0,('Project details'!$L$11-'Project details'!$D$11)*VLOOKUP(Year_cost_estimate,'Time-series parameters'!$B$11:$C$89,2,0))*$B35))</f>
        <v>0</v>
      </c>
      <c r="V35" s="94">
        <f>IF(Option2="No",0,IF($A35=ImplementationYear,('Project details'!$L$12-'Project details'!$D$12)*VLOOKUP(Year_cost_estimate,'Time-series parameters'!$B$11:$C$89,2,FALSE)*$B35,0))</f>
        <v>0</v>
      </c>
      <c r="W35" s="97">
        <f>IF(Option2="No",0,IF($A35&lt;ImplementationYear,0,IF($A35&gt;(ImplementationYear+(Appraisal_Period-1)),0,Health!$E$21*$B35)))</f>
        <v>0</v>
      </c>
      <c r="X35" s="97">
        <f>IF(Option2="No",0,IF($A35&lt;ImplementationYear,0,IF($A35&gt;(ImplementationYear+(Appraisal_Period-1)),0,Health!$E$22*$B35)))</f>
        <v>0</v>
      </c>
      <c r="Y35" s="97">
        <f>IF(Option2="No",0,IF($A35&lt;ImplementationYear,0,IF($A35&gt;(ImplementationYear+(Appraisal_Period-1)),0,SUM('Travel time'!$E$22:$E$23)*$B35)))</f>
        <v>0</v>
      </c>
      <c r="Z35" s="97">
        <f>IF(Option2="No",0,IF($A35&lt;ImplementationYear,0,IF($A35&gt;(ImplementationYear+(Appraisal_Period-1)),0,SUM('Travel time'!$E$20:$E$21)*$B35)))</f>
        <v>0</v>
      </c>
      <c r="AA35" s="97">
        <f>IF(Option2="No",0,IF($A35&lt;ImplementationYear,0,IF($A35&gt;(ImplementationYear+(Appraisal_Period-1)),0,SUM(Quality!$E$22:$E$23)*$B35)))</f>
        <v>0</v>
      </c>
      <c r="AB35" s="97">
        <f>IF(Option2="No",0,IF($A35&lt;ImplementationYear,0,IF($A35&gt;(ImplementationYear+(Appraisal_Period-1)),0,SUM(Quality!$E$20:$E$21)*$B35)))</f>
        <v>0</v>
      </c>
      <c r="AC35" s="97">
        <f>IF(Option2="No",0,IF($A35&lt;ImplementationYear,0,IF($A35&gt;(ImplementationYear+(Appraisal_Period-1)),0,'Mode change'!$E$36*$B35)))</f>
        <v>0</v>
      </c>
      <c r="AD35" s="97">
        <f>IF(Option2="No",0,IF($A35&lt;ImplementationYear,0,IF($A35&gt;(ImplementationYear+(Appraisal_Period-1)),0,'Mode change'!$E$37*$B35)))</f>
        <v>0</v>
      </c>
      <c r="AE35" s="97">
        <f>IF(Option2="No",0,IF($A35&lt;ImplementationYear,0,IF($A35&gt;(ImplementationYear+(Appraisal_Period-1)),0,'Road safety'!$E$22*$B35)))</f>
        <v>0</v>
      </c>
      <c r="AF35" s="97">
        <f>IF(Option2="No",0,IF($A35&lt;ImplementationYear,0,IF($A35&gt;(ImplementationYear+(Appraisal_Period-1)),0,'Reduction in car usage'!$E$46*$B35)))</f>
        <v>0</v>
      </c>
      <c r="AG35" s="97">
        <f>IF(Option2="No",0,IF($A35&lt;ImplementationYear,0,IF($A35&gt;(ImplementationYear+(Appraisal_Period-1)),0,'Reduction in car usage'!$E$47*$B35)))</f>
        <v>0</v>
      </c>
      <c r="AH35" s="97">
        <f>IF(Option2="No",0,IF($A35&lt;ImplementationYear,0,IF($A35&gt;(ImplementationYear+(Appraisal_Period-1)),0,'Reduction in car usage'!$E$48*$B35)))</f>
        <v>0</v>
      </c>
      <c r="AJ35" s="94">
        <f>IF(Option3="No",0,IF($A35=ImplementationYear,('Project details'!$P$10-'Project details'!$D$10)*VLOOKUP(Year_cost_estimate,'Time-series parameters'!$B$11:$C$89,2,FALSE)*$B35*(1+Contingency),0))</f>
        <v>0</v>
      </c>
      <c r="AK35" s="94">
        <f>IF(Option3="No",0,IF($A35&lt;ImplementationYear,0,IF($A35&gt;(ImplementationYear+(Appraisal_Period-1)),0,('Project details'!$P$11-'Project details'!$D$11)*VLOOKUP(Year_cost_estimate,'Time-series parameters'!$B$11:$C$89,2,0))*$B35))</f>
        <v>0</v>
      </c>
      <c r="AL35" s="94">
        <f>IF(Option3="No",0,IF($A35=ImplementationYear,('Project details'!$P$12-'Project details'!$D$12)*VLOOKUP(Year_cost_estimate,'Time-series parameters'!$B$11:$C$89,2,FALSE)*$B35,0))</f>
        <v>0</v>
      </c>
      <c r="AM35" s="97">
        <f>IF(Option3="No",0,IF($A35&lt;ImplementationYear,0,IF($A35&gt;(ImplementationYear+(Appraisal_Period-1)),0,Health!$F$21*$B35)))</f>
        <v>0</v>
      </c>
      <c r="AN35" s="97">
        <f>IF(Option3="No",0,IF($A35&lt;ImplementationYear,0,IF($A35&gt;(ImplementationYear+(Appraisal_Period-1)),0,Health!$F$22*$B35)))</f>
        <v>0</v>
      </c>
      <c r="AO35" s="97">
        <f>IF(Option3="No",0,IF($A35&lt;ImplementationYear,0,IF($A35&gt;(ImplementationYear+(Appraisal_Period-1)),0,SUM('Travel time'!$F$22:$F$23)*$B35)))</f>
        <v>0</v>
      </c>
      <c r="AP35" s="97">
        <f>IF(Option3="No",0,IF($A35&lt;ImplementationYear,0,IF($A35&gt;(ImplementationYear+(Appraisal_Period-1)),0,SUM('Travel time'!$F$20:$F$21)*$B35)))</f>
        <v>0</v>
      </c>
      <c r="AQ35" s="97">
        <f>IF(Option3="No",0,IF($A35&lt;ImplementationYear,0,IF($A35&gt;(ImplementationYear+(Appraisal_Period-1)),0,SUM(Quality!$F$22:$F$23)*$B35)))</f>
        <v>0</v>
      </c>
      <c r="AR35" s="97">
        <f>IF(Option3="No",0,IF($A35&lt;ImplementationYear,0,IF($A35&gt;(ImplementationYear+(Appraisal_Period-1)),0,SUM(Quality!$F$20:$F$21)*$B35)))</f>
        <v>0</v>
      </c>
      <c r="AS35" s="97">
        <f>IF(Option3="No",0,IF($A35&lt;ImplementationYear,0,IF($A35&gt;(ImplementationYear+(Appraisal_Period-1)),0,'Mode change'!$F$36*$B35)))</f>
        <v>0</v>
      </c>
      <c r="AT35" s="97">
        <f>IF(Option3="No",0,IF($A35&lt;ImplementationYear,0,IF($A35&gt;(ImplementationYear+(Appraisal_Period-1)),0,'Mode change'!$F$37*$B35)))</f>
        <v>0</v>
      </c>
      <c r="AU35" s="97">
        <f>IF(Option3="No",0,IF($A35&lt;ImplementationYear,0,IF($A35&gt;(ImplementationYear+(Appraisal_Period-1)),0,'Road safety'!$F$22*$B35)))</f>
        <v>0</v>
      </c>
      <c r="AV35" s="97">
        <f>IF(Option3="No",0,IF($A35&lt;ImplementationYear,0,IF($A35&gt;(ImplementationYear+(Appraisal_Period-1)),0,'Reduction in car usage'!$F$46*$B35)))</f>
        <v>0</v>
      </c>
      <c r="AW35" s="97">
        <f>IF(Option3="No",0,IF($A35&lt;ImplementationYear,0,IF($A35&gt;(ImplementationYear+(Appraisal_Period-1)),0,'Reduction in car usage'!$F$47*$B35)))</f>
        <v>0</v>
      </c>
      <c r="AX35" s="97">
        <f>IF(Option3="No",0,IF($A35&lt;ImplementationYear,0,IF($A35&gt;(ImplementationYear+(Appraisal_Period-1)),0,'Reduction in car usage'!$F$48*$B35)))</f>
        <v>0</v>
      </c>
    </row>
    <row r="36" spans="1:50">
      <c r="A36" s="335">
        <v>2031</v>
      </c>
      <c r="B36" s="62">
        <f>VLOOKUP($A36,'Time-series parameters'!$E$11:$H$89,3,FALSE)</f>
        <v>0.29010624113146177</v>
      </c>
      <c r="C36" s="89"/>
      <c r="D36" s="94">
        <f>IF(Option1="No",0,IF($A36=ImplementationYear,('Project details'!$H$10-'Project details'!$D$10)*VLOOKUP(Year_cost_estimate,'Time-series parameters'!$B$11:$C$89,2,FALSE)*$B36*(1+Contingency),0))</f>
        <v>0</v>
      </c>
      <c r="E36" s="94">
        <f>IF(Option1="No",0,IF($A36&lt;ImplementationYear,0,IF($A36&gt;(ImplementationYear+(Appraisal_Period-1)),0,('Project details'!$H$11-'Project details'!$D$11)*VLOOKUP(Year_cost_estimate,'Time-series parameters'!$B$11:$C$89,2,0))*$B36))</f>
        <v>0</v>
      </c>
      <c r="F36" s="94">
        <f>IF(Option1="No",0,IF($A36=ImplementationYear,('Project details'!$H$12-'Project details'!$D$12)*VLOOKUP(Year_cost_estimate,'Time-series parameters'!$B$11:$C$89,2,FALSE)*$B36,0))</f>
        <v>0</v>
      </c>
      <c r="G36" s="97">
        <f>IF(Option1="No",0,IF($A36&lt;ImplementationYear,0,IF($A36&gt;(ImplementationYear+(Appraisal_Period-1)),0,Health!$D$21*$B36)))</f>
        <v>0</v>
      </c>
      <c r="H36" s="97">
        <f>IF(Option1="No",0,IF($A36&lt;ImplementationYear,0,IF($A36&gt;(ImplementationYear+(Appraisal_Period-1)),0,Health!$D$22*$B36)))</f>
        <v>0</v>
      </c>
      <c r="I36" s="97">
        <f>IF(Option1="No",0,IF($A36&lt;ImplementationYear,0,IF($A36&gt;(ImplementationYear+(Appraisal_Period-1)),0,SUM('Travel time'!$D$22:$D$23)*$B36)))</f>
        <v>0</v>
      </c>
      <c r="J36" s="97">
        <f>IF(Option1="No",0,IF($A36&lt;ImplementationYear,0,IF($A36&gt;(ImplementationYear+(Appraisal_Period-1)),0,SUM('Travel time'!$D$20:$D$21)*$B36)))</f>
        <v>0</v>
      </c>
      <c r="K36" s="97">
        <f>IF(Option1="No",0,IF($A36&lt;ImplementationYear,0,IF($A36&gt;(ImplementationYear+(Appraisal_Period-1)),0,SUM(Quality!$D$22:$D$23)*$B36)))</f>
        <v>0</v>
      </c>
      <c r="L36" s="97">
        <f>IF(Option1="No",0,IF($A36&lt;ImplementationYear,0,IF($A36&gt;(ImplementationYear+(Appraisal_Period-1)),0,SUM(Quality!$D$20:$D$21)*$B36)))</f>
        <v>0</v>
      </c>
      <c r="M36" s="97">
        <f>IF(Option1="No",0,IF($A36&lt;ImplementationYear,0,IF($A36&gt;(ImplementationYear+(Appraisal_Period-1)),0,'Mode change'!$D$36*$B36)))</f>
        <v>0</v>
      </c>
      <c r="N36" s="97">
        <f>IF(Option1="No",0,IF($A36&lt;ImplementationYear,0,IF($A36&gt;(ImplementationYear+(Appraisal_Period-1)),0,'Mode change'!$D$37*$B36)))</f>
        <v>0</v>
      </c>
      <c r="O36" s="97">
        <f>IF(Option1="No",0,IF($A36&lt;ImplementationYear,0,IF($A36&gt;(ImplementationYear+(Appraisal_Period-1)),0,'Road safety'!$D$22*$B36)))</f>
        <v>0</v>
      </c>
      <c r="P36" s="97">
        <f>IF(Option1="No",0,IF($A36&lt;ImplementationYear,0,IF($A36&gt;(ImplementationYear+(Appraisal_Period-1)),0,'Reduction in car usage'!$D$46*$B36)))</f>
        <v>0</v>
      </c>
      <c r="Q36" s="97">
        <f>IF(Option1="No",0,IF($A36&lt;ImplementationYear,0,IF($A36&gt;(ImplementationYear+(Appraisal_Period-1)),0,'Reduction in car usage'!$D$47*$B36)))</f>
        <v>0</v>
      </c>
      <c r="R36" s="97">
        <f>IF(Option1="No",0,IF($A36&lt;ImplementationYear,0,IF($A36&gt;(ImplementationYear+(Appraisal_Period-1)),0,'Reduction in car usage'!$D$48*$B36)))</f>
        <v>0</v>
      </c>
      <c r="S36" s="92"/>
      <c r="T36" s="94">
        <f>IF(Option2="No",0,IF($A36=ImplementationYear,('Project details'!$L$10-'Project details'!$D$10)*VLOOKUP(Year_cost_estimate,'Time-series parameters'!$B$11:$C$89,2,FALSE)*$B36*(1+Contingency),0))</f>
        <v>0</v>
      </c>
      <c r="U36" s="94">
        <f>IF(Option2="No",0,IF($A36&lt;ImplementationYear,0,IF($A36&gt;(ImplementationYear+(Appraisal_Period-1)),0,('Project details'!$L$11-'Project details'!$D$11)*VLOOKUP(Year_cost_estimate,'Time-series parameters'!$B$11:$C$89,2,0))*$B36))</f>
        <v>0</v>
      </c>
      <c r="V36" s="94">
        <f>IF(Option2="No",0,IF($A36=ImplementationYear,('Project details'!$L$12-'Project details'!$D$12)*VLOOKUP(Year_cost_estimate,'Time-series parameters'!$B$11:$C$89,2,FALSE)*$B36,0))</f>
        <v>0</v>
      </c>
      <c r="W36" s="97">
        <f>IF(Option2="No",0,IF($A36&lt;ImplementationYear,0,IF($A36&gt;(ImplementationYear+(Appraisal_Period-1)),0,Health!$E$21*$B36)))</f>
        <v>0</v>
      </c>
      <c r="X36" s="97">
        <f>IF(Option2="No",0,IF($A36&lt;ImplementationYear,0,IF($A36&gt;(ImplementationYear+(Appraisal_Period-1)),0,Health!$E$22*$B36)))</f>
        <v>0</v>
      </c>
      <c r="Y36" s="97">
        <f>IF(Option2="No",0,IF($A36&lt;ImplementationYear,0,IF($A36&gt;(ImplementationYear+(Appraisal_Period-1)),0,SUM('Travel time'!$E$22:$E$23)*$B36)))</f>
        <v>0</v>
      </c>
      <c r="Z36" s="97">
        <f>IF(Option2="No",0,IF($A36&lt;ImplementationYear,0,IF($A36&gt;(ImplementationYear+(Appraisal_Period-1)),0,SUM('Travel time'!$E$20:$E$21)*$B36)))</f>
        <v>0</v>
      </c>
      <c r="AA36" s="97">
        <f>IF(Option2="No",0,IF($A36&lt;ImplementationYear,0,IF($A36&gt;(ImplementationYear+(Appraisal_Period-1)),0,SUM(Quality!$E$22:$E$23)*$B36)))</f>
        <v>0</v>
      </c>
      <c r="AB36" s="97">
        <f>IF(Option2="No",0,IF($A36&lt;ImplementationYear,0,IF($A36&gt;(ImplementationYear+(Appraisal_Period-1)),0,SUM(Quality!$E$20:$E$21)*$B36)))</f>
        <v>0</v>
      </c>
      <c r="AC36" s="97">
        <f>IF(Option2="No",0,IF($A36&lt;ImplementationYear,0,IF($A36&gt;(ImplementationYear+(Appraisal_Period-1)),0,'Mode change'!$E$36*$B36)))</f>
        <v>0</v>
      </c>
      <c r="AD36" s="97">
        <f>IF(Option2="No",0,IF($A36&lt;ImplementationYear,0,IF($A36&gt;(ImplementationYear+(Appraisal_Period-1)),0,'Mode change'!$E$37*$B36)))</f>
        <v>0</v>
      </c>
      <c r="AE36" s="97">
        <f>IF(Option2="No",0,IF($A36&lt;ImplementationYear,0,IF($A36&gt;(ImplementationYear+(Appraisal_Period-1)),0,'Road safety'!$E$22*$B36)))</f>
        <v>0</v>
      </c>
      <c r="AF36" s="97">
        <f>IF(Option2="No",0,IF($A36&lt;ImplementationYear,0,IF($A36&gt;(ImplementationYear+(Appraisal_Period-1)),0,'Reduction in car usage'!$E$46*$B36)))</f>
        <v>0</v>
      </c>
      <c r="AG36" s="97">
        <f>IF(Option2="No",0,IF($A36&lt;ImplementationYear,0,IF($A36&gt;(ImplementationYear+(Appraisal_Period-1)),0,'Reduction in car usage'!$E$47*$B36)))</f>
        <v>0</v>
      </c>
      <c r="AH36" s="97">
        <f>IF(Option2="No",0,IF($A36&lt;ImplementationYear,0,IF($A36&gt;(ImplementationYear+(Appraisal_Period-1)),0,'Reduction in car usage'!$E$48*$B36)))</f>
        <v>0</v>
      </c>
      <c r="AJ36" s="94">
        <f>IF(Option3="No",0,IF($A36=ImplementationYear,('Project details'!$P$10-'Project details'!$D$10)*VLOOKUP(Year_cost_estimate,'Time-series parameters'!$B$11:$C$89,2,FALSE)*$B36*(1+Contingency),0))</f>
        <v>0</v>
      </c>
      <c r="AK36" s="94">
        <f>IF(Option3="No",0,IF($A36&lt;ImplementationYear,0,IF($A36&gt;(ImplementationYear+(Appraisal_Period-1)),0,('Project details'!$P$11-'Project details'!$D$11)*VLOOKUP(Year_cost_estimate,'Time-series parameters'!$B$11:$C$89,2,0))*$B36))</f>
        <v>0</v>
      </c>
      <c r="AL36" s="94">
        <f>IF(Option3="No",0,IF($A36=ImplementationYear,('Project details'!$P$12-'Project details'!$D$12)*VLOOKUP(Year_cost_estimate,'Time-series parameters'!$B$11:$C$89,2,FALSE)*$B36,0))</f>
        <v>0</v>
      </c>
      <c r="AM36" s="97">
        <f>IF(Option3="No",0,IF($A36&lt;ImplementationYear,0,IF($A36&gt;(ImplementationYear+(Appraisal_Period-1)),0,Health!$F$21*$B36)))</f>
        <v>0</v>
      </c>
      <c r="AN36" s="97">
        <f>IF(Option3="No",0,IF($A36&lt;ImplementationYear,0,IF($A36&gt;(ImplementationYear+(Appraisal_Period-1)),0,Health!$F$22*$B36)))</f>
        <v>0</v>
      </c>
      <c r="AO36" s="97">
        <f>IF(Option3="No",0,IF($A36&lt;ImplementationYear,0,IF($A36&gt;(ImplementationYear+(Appraisal_Period-1)),0,SUM('Travel time'!$F$22:$F$23)*$B36)))</f>
        <v>0</v>
      </c>
      <c r="AP36" s="97">
        <f>IF(Option3="No",0,IF($A36&lt;ImplementationYear,0,IF($A36&gt;(ImplementationYear+(Appraisal_Period-1)),0,SUM('Travel time'!$F$20:$F$21)*$B36)))</f>
        <v>0</v>
      </c>
      <c r="AQ36" s="97">
        <f>IF(Option3="No",0,IF($A36&lt;ImplementationYear,0,IF($A36&gt;(ImplementationYear+(Appraisal_Period-1)),0,SUM(Quality!$F$22:$F$23)*$B36)))</f>
        <v>0</v>
      </c>
      <c r="AR36" s="97">
        <f>IF(Option3="No",0,IF($A36&lt;ImplementationYear,0,IF($A36&gt;(ImplementationYear+(Appraisal_Period-1)),0,SUM(Quality!$F$20:$F$21)*$B36)))</f>
        <v>0</v>
      </c>
      <c r="AS36" s="97">
        <f>IF(Option3="No",0,IF($A36&lt;ImplementationYear,0,IF($A36&gt;(ImplementationYear+(Appraisal_Period-1)),0,'Mode change'!$F$36*$B36)))</f>
        <v>0</v>
      </c>
      <c r="AT36" s="97">
        <f>IF(Option3="No",0,IF($A36&lt;ImplementationYear,0,IF($A36&gt;(ImplementationYear+(Appraisal_Period-1)),0,'Mode change'!$F$37*$B36)))</f>
        <v>0</v>
      </c>
      <c r="AU36" s="97">
        <f>IF(Option3="No",0,IF($A36&lt;ImplementationYear,0,IF($A36&gt;(ImplementationYear+(Appraisal_Period-1)),0,'Road safety'!$F$22*$B36)))</f>
        <v>0</v>
      </c>
      <c r="AV36" s="97">
        <f>IF(Option3="No",0,IF($A36&lt;ImplementationYear,0,IF($A36&gt;(ImplementationYear+(Appraisal_Period-1)),0,'Reduction in car usage'!$F$46*$B36)))</f>
        <v>0</v>
      </c>
      <c r="AW36" s="97">
        <f>IF(Option3="No",0,IF($A36&lt;ImplementationYear,0,IF($A36&gt;(ImplementationYear+(Appraisal_Period-1)),0,'Reduction in car usage'!$F$47*$B36)))</f>
        <v>0</v>
      </c>
      <c r="AX36" s="97">
        <f>IF(Option3="No",0,IF($A36&lt;ImplementationYear,0,IF($A36&gt;(ImplementationYear+(Appraisal_Period-1)),0,'Reduction in car usage'!$F$48*$B36)))</f>
        <v>0</v>
      </c>
    </row>
    <row r="37" spans="1:50">
      <c r="A37" s="335">
        <v>2032</v>
      </c>
      <c r="B37" s="62">
        <f>VLOOKUP($A37,'Time-series parameters'!$E$11:$H$89,3,FALSE)</f>
        <v>0.27269986666357404</v>
      </c>
      <c r="C37" s="89"/>
      <c r="D37" s="94">
        <f>IF(Option1="No",0,IF($A37=ImplementationYear,('Project details'!$H$10-'Project details'!$D$10)*VLOOKUP(Year_cost_estimate,'Time-series parameters'!$B$11:$C$89,2,FALSE)*$B37*(1+Contingency),0))</f>
        <v>0</v>
      </c>
      <c r="E37" s="94">
        <f>IF(Option1="No",0,IF($A37&lt;ImplementationYear,0,IF($A37&gt;(ImplementationYear+(Appraisal_Period-1)),0,('Project details'!$H$11-'Project details'!$D$11)*VLOOKUP(Year_cost_estimate,'Time-series parameters'!$B$11:$C$89,2,0))*$B37))</f>
        <v>0</v>
      </c>
      <c r="F37" s="94">
        <f>IF(Option1="No",0,IF($A37=ImplementationYear,('Project details'!$H$12-'Project details'!$D$12)*VLOOKUP(Year_cost_estimate,'Time-series parameters'!$B$11:$C$89,2,FALSE)*$B37,0))</f>
        <v>0</v>
      </c>
      <c r="G37" s="97">
        <f>IF(Option1="No",0,IF($A37&lt;ImplementationYear,0,IF($A37&gt;(ImplementationYear+(Appraisal_Period-1)),0,Health!$D$21*$B37)))</f>
        <v>0</v>
      </c>
      <c r="H37" s="97">
        <f>IF(Option1="No",0,IF($A37&lt;ImplementationYear,0,IF($A37&gt;(ImplementationYear+(Appraisal_Period-1)),0,Health!$D$22*$B37)))</f>
        <v>0</v>
      </c>
      <c r="I37" s="97">
        <f>IF(Option1="No",0,IF($A37&lt;ImplementationYear,0,IF($A37&gt;(ImplementationYear+(Appraisal_Period-1)),0,SUM('Travel time'!$D$22:$D$23)*$B37)))</f>
        <v>0</v>
      </c>
      <c r="J37" s="97">
        <f>IF(Option1="No",0,IF($A37&lt;ImplementationYear,0,IF($A37&gt;(ImplementationYear+(Appraisal_Period-1)),0,SUM('Travel time'!$D$20:$D$21)*$B37)))</f>
        <v>0</v>
      </c>
      <c r="K37" s="97">
        <f>IF(Option1="No",0,IF($A37&lt;ImplementationYear,0,IF($A37&gt;(ImplementationYear+(Appraisal_Period-1)),0,SUM(Quality!$D$22:$D$23)*$B37)))</f>
        <v>0</v>
      </c>
      <c r="L37" s="97">
        <f>IF(Option1="No",0,IF($A37&lt;ImplementationYear,0,IF($A37&gt;(ImplementationYear+(Appraisal_Period-1)),0,SUM(Quality!$D$20:$D$21)*$B37)))</f>
        <v>0</v>
      </c>
      <c r="M37" s="97">
        <f>IF(Option1="No",0,IF($A37&lt;ImplementationYear,0,IF($A37&gt;(ImplementationYear+(Appraisal_Period-1)),0,'Mode change'!$D$36*$B37)))</f>
        <v>0</v>
      </c>
      <c r="N37" s="97">
        <f>IF(Option1="No",0,IF($A37&lt;ImplementationYear,0,IF($A37&gt;(ImplementationYear+(Appraisal_Period-1)),0,'Mode change'!$D$37*$B37)))</f>
        <v>0</v>
      </c>
      <c r="O37" s="97">
        <f>IF(Option1="No",0,IF($A37&lt;ImplementationYear,0,IF($A37&gt;(ImplementationYear+(Appraisal_Period-1)),0,'Road safety'!$D$22*$B37)))</f>
        <v>0</v>
      </c>
      <c r="P37" s="97">
        <f>IF(Option1="No",0,IF($A37&lt;ImplementationYear,0,IF($A37&gt;(ImplementationYear+(Appraisal_Period-1)),0,'Reduction in car usage'!$D$46*$B37)))</f>
        <v>0</v>
      </c>
      <c r="Q37" s="97">
        <f>IF(Option1="No",0,IF($A37&lt;ImplementationYear,0,IF($A37&gt;(ImplementationYear+(Appraisal_Period-1)),0,'Reduction in car usage'!$D$47*$B37)))</f>
        <v>0</v>
      </c>
      <c r="R37" s="97">
        <f>IF(Option1="No",0,IF($A37&lt;ImplementationYear,0,IF($A37&gt;(ImplementationYear+(Appraisal_Period-1)),0,'Reduction in car usage'!$D$48*$B37)))</f>
        <v>0</v>
      </c>
      <c r="S37" s="92"/>
      <c r="T37" s="94">
        <f>IF(Option2="No",0,IF($A37=ImplementationYear,('Project details'!$L$10-'Project details'!$D$10)*VLOOKUP(Year_cost_estimate,'Time-series parameters'!$B$11:$C$89,2,FALSE)*$B37*(1+Contingency),0))</f>
        <v>0</v>
      </c>
      <c r="U37" s="94">
        <f>IF(Option2="No",0,IF($A37&lt;ImplementationYear,0,IF($A37&gt;(ImplementationYear+(Appraisal_Period-1)),0,('Project details'!$L$11-'Project details'!$D$11)*VLOOKUP(Year_cost_estimate,'Time-series parameters'!$B$11:$C$89,2,0))*$B37))</f>
        <v>0</v>
      </c>
      <c r="V37" s="94">
        <f>IF(Option2="No",0,IF($A37=ImplementationYear,('Project details'!$L$12-'Project details'!$D$12)*VLOOKUP(Year_cost_estimate,'Time-series parameters'!$B$11:$C$89,2,FALSE)*$B37,0))</f>
        <v>0</v>
      </c>
      <c r="W37" s="97">
        <f>IF(Option2="No",0,IF($A37&lt;ImplementationYear,0,IF($A37&gt;(ImplementationYear+(Appraisal_Period-1)),0,Health!$E$21*$B37)))</f>
        <v>0</v>
      </c>
      <c r="X37" s="97">
        <f>IF(Option2="No",0,IF($A37&lt;ImplementationYear,0,IF($A37&gt;(ImplementationYear+(Appraisal_Period-1)),0,Health!$E$22*$B37)))</f>
        <v>0</v>
      </c>
      <c r="Y37" s="97">
        <f>IF(Option2="No",0,IF($A37&lt;ImplementationYear,0,IF($A37&gt;(ImplementationYear+(Appraisal_Period-1)),0,SUM('Travel time'!$E$22:$E$23)*$B37)))</f>
        <v>0</v>
      </c>
      <c r="Z37" s="97">
        <f>IF(Option2="No",0,IF($A37&lt;ImplementationYear,0,IF($A37&gt;(ImplementationYear+(Appraisal_Period-1)),0,SUM('Travel time'!$E$20:$E$21)*$B37)))</f>
        <v>0</v>
      </c>
      <c r="AA37" s="97">
        <f>IF(Option2="No",0,IF($A37&lt;ImplementationYear,0,IF($A37&gt;(ImplementationYear+(Appraisal_Period-1)),0,SUM(Quality!$E$22:$E$23)*$B37)))</f>
        <v>0</v>
      </c>
      <c r="AB37" s="97">
        <f>IF(Option2="No",0,IF($A37&lt;ImplementationYear,0,IF($A37&gt;(ImplementationYear+(Appraisal_Period-1)),0,SUM(Quality!$E$20:$E$21)*$B37)))</f>
        <v>0</v>
      </c>
      <c r="AC37" s="97">
        <f>IF(Option2="No",0,IF($A37&lt;ImplementationYear,0,IF($A37&gt;(ImplementationYear+(Appraisal_Period-1)),0,'Mode change'!$E$36*$B37)))</f>
        <v>0</v>
      </c>
      <c r="AD37" s="97">
        <f>IF(Option2="No",0,IF($A37&lt;ImplementationYear,0,IF($A37&gt;(ImplementationYear+(Appraisal_Period-1)),0,'Mode change'!$E$37*$B37)))</f>
        <v>0</v>
      </c>
      <c r="AE37" s="97">
        <f>IF(Option2="No",0,IF($A37&lt;ImplementationYear,0,IF($A37&gt;(ImplementationYear+(Appraisal_Period-1)),0,'Road safety'!$E$22*$B37)))</f>
        <v>0</v>
      </c>
      <c r="AF37" s="97">
        <f>IF(Option2="No",0,IF($A37&lt;ImplementationYear,0,IF($A37&gt;(ImplementationYear+(Appraisal_Period-1)),0,'Reduction in car usage'!$E$46*$B37)))</f>
        <v>0</v>
      </c>
      <c r="AG37" s="97">
        <f>IF(Option2="No",0,IF($A37&lt;ImplementationYear,0,IF($A37&gt;(ImplementationYear+(Appraisal_Period-1)),0,'Reduction in car usage'!$E$47*$B37)))</f>
        <v>0</v>
      </c>
      <c r="AH37" s="97">
        <f>IF(Option2="No",0,IF($A37&lt;ImplementationYear,0,IF($A37&gt;(ImplementationYear+(Appraisal_Period-1)),0,'Reduction in car usage'!$E$48*$B37)))</f>
        <v>0</v>
      </c>
      <c r="AJ37" s="94">
        <f>IF(Option3="No",0,IF($A37=ImplementationYear,('Project details'!$P$10-'Project details'!$D$10)*VLOOKUP(Year_cost_estimate,'Time-series parameters'!$B$11:$C$89,2,FALSE)*$B37*(1+Contingency),0))</f>
        <v>0</v>
      </c>
      <c r="AK37" s="94">
        <f>IF(Option3="No",0,IF($A37&lt;ImplementationYear,0,IF($A37&gt;(ImplementationYear+(Appraisal_Period-1)),0,('Project details'!$P$11-'Project details'!$D$11)*VLOOKUP(Year_cost_estimate,'Time-series parameters'!$B$11:$C$89,2,0))*$B37))</f>
        <v>0</v>
      </c>
      <c r="AL37" s="94">
        <f>IF(Option3="No",0,IF($A37=ImplementationYear,('Project details'!$P$12-'Project details'!$D$12)*VLOOKUP(Year_cost_estimate,'Time-series parameters'!$B$11:$C$89,2,FALSE)*$B37,0))</f>
        <v>0</v>
      </c>
      <c r="AM37" s="97">
        <f>IF(Option3="No",0,IF($A37&lt;ImplementationYear,0,IF($A37&gt;(ImplementationYear+(Appraisal_Period-1)),0,Health!$F$21*$B37)))</f>
        <v>0</v>
      </c>
      <c r="AN37" s="97">
        <f>IF(Option3="No",0,IF($A37&lt;ImplementationYear,0,IF($A37&gt;(ImplementationYear+(Appraisal_Period-1)),0,Health!$F$22*$B37)))</f>
        <v>0</v>
      </c>
      <c r="AO37" s="97">
        <f>IF(Option3="No",0,IF($A37&lt;ImplementationYear,0,IF($A37&gt;(ImplementationYear+(Appraisal_Period-1)),0,SUM('Travel time'!$F$22:$F$23)*$B37)))</f>
        <v>0</v>
      </c>
      <c r="AP37" s="97">
        <f>IF(Option3="No",0,IF($A37&lt;ImplementationYear,0,IF($A37&gt;(ImplementationYear+(Appraisal_Period-1)),0,SUM('Travel time'!$F$20:$F$21)*$B37)))</f>
        <v>0</v>
      </c>
      <c r="AQ37" s="97">
        <f>IF(Option3="No",0,IF($A37&lt;ImplementationYear,0,IF($A37&gt;(ImplementationYear+(Appraisal_Period-1)),0,SUM(Quality!$F$22:$F$23)*$B37)))</f>
        <v>0</v>
      </c>
      <c r="AR37" s="97">
        <f>IF(Option3="No",0,IF($A37&lt;ImplementationYear,0,IF($A37&gt;(ImplementationYear+(Appraisal_Period-1)),0,SUM(Quality!$F$20:$F$21)*$B37)))</f>
        <v>0</v>
      </c>
      <c r="AS37" s="97">
        <f>IF(Option3="No",0,IF($A37&lt;ImplementationYear,0,IF($A37&gt;(ImplementationYear+(Appraisal_Period-1)),0,'Mode change'!$F$36*$B37)))</f>
        <v>0</v>
      </c>
      <c r="AT37" s="97">
        <f>IF(Option3="No",0,IF($A37&lt;ImplementationYear,0,IF($A37&gt;(ImplementationYear+(Appraisal_Period-1)),0,'Mode change'!$F$37*$B37)))</f>
        <v>0</v>
      </c>
      <c r="AU37" s="97">
        <f>IF(Option3="No",0,IF($A37&lt;ImplementationYear,0,IF($A37&gt;(ImplementationYear+(Appraisal_Period-1)),0,'Road safety'!$F$22*$B37)))</f>
        <v>0</v>
      </c>
      <c r="AV37" s="97">
        <f>IF(Option3="No",0,IF($A37&lt;ImplementationYear,0,IF($A37&gt;(ImplementationYear+(Appraisal_Period-1)),0,'Reduction in car usage'!$F$46*$B37)))</f>
        <v>0</v>
      </c>
      <c r="AW37" s="97">
        <f>IF(Option3="No",0,IF($A37&lt;ImplementationYear,0,IF($A37&gt;(ImplementationYear+(Appraisal_Period-1)),0,'Reduction in car usage'!$F$47*$B37)))</f>
        <v>0</v>
      </c>
      <c r="AX37" s="97">
        <f>IF(Option3="No",0,IF($A37&lt;ImplementationYear,0,IF($A37&gt;(ImplementationYear+(Appraisal_Period-1)),0,'Reduction in car usage'!$F$48*$B37)))</f>
        <v>0</v>
      </c>
    </row>
    <row r="38" spans="1:50">
      <c r="A38" s="335">
        <v>2033</v>
      </c>
      <c r="B38" s="62">
        <f>VLOOKUP($A38,'Time-series parameters'!$E$11:$H$89,3,FALSE)</f>
        <v>0.25633787466375962</v>
      </c>
      <c r="C38" s="89"/>
      <c r="D38" s="94">
        <f>IF(Option1="No",0,IF($A38=ImplementationYear,('Project details'!$H$10-'Project details'!$D$10)*VLOOKUP(Year_cost_estimate,'Time-series parameters'!$B$11:$C$89,2,FALSE)*$B38*(1+Contingency),0))</f>
        <v>0</v>
      </c>
      <c r="E38" s="94">
        <f>IF(Option1="No",0,IF($A38&lt;ImplementationYear,0,IF($A38&gt;(ImplementationYear+(Appraisal_Period-1)),0,('Project details'!$H$11-'Project details'!$D$11)*VLOOKUP(Year_cost_estimate,'Time-series parameters'!$B$11:$C$89,2,0))*$B38))</f>
        <v>0</v>
      </c>
      <c r="F38" s="94">
        <f>IF(Option1="No",0,IF($A38=ImplementationYear,('Project details'!$H$12-'Project details'!$D$12)*VLOOKUP(Year_cost_estimate,'Time-series parameters'!$B$11:$C$89,2,FALSE)*$B38,0))</f>
        <v>0</v>
      </c>
      <c r="G38" s="97">
        <f>IF(Option1="No",0,IF($A38&lt;ImplementationYear,0,IF($A38&gt;(ImplementationYear+(Appraisal_Period-1)),0,Health!$D$21*$B38)))</f>
        <v>0</v>
      </c>
      <c r="H38" s="97">
        <f>IF(Option1="No",0,IF($A38&lt;ImplementationYear,0,IF($A38&gt;(ImplementationYear+(Appraisal_Period-1)),0,Health!$D$22*$B38)))</f>
        <v>0</v>
      </c>
      <c r="I38" s="97">
        <f>IF(Option1="No",0,IF($A38&lt;ImplementationYear,0,IF($A38&gt;(ImplementationYear+(Appraisal_Period-1)),0,SUM('Travel time'!$D$22:$D$23)*$B38)))</f>
        <v>0</v>
      </c>
      <c r="J38" s="97">
        <f>IF(Option1="No",0,IF($A38&lt;ImplementationYear,0,IF($A38&gt;(ImplementationYear+(Appraisal_Period-1)),0,SUM('Travel time'!$D$20:$D$21)*$B38)))</f>
        <v>0</v>
      </c>
      <c r="K38" s="97">
        <f>IF(Option1="No",0,IF($A38&lt;ImplementationYear,0,IF($A38&gt;(ImplementationYear+(Appraisal_Period-1)),0,SUM(Quality!$D$22:$D$23)*$B38)))</f>
        <v>0</v>
      </c>
      <c r="L38" s="97">
        <f>IF(Option1="No",0,IF($A38&lt;ImplementationYear,0,IF($A38&gt;(ImplementationYear+(Appraisal_Period-1)),0,SUM(Quality!$D$20:$D$21)*$B38)))</f>
        <v>0</v>
      </c>
      <c r="M38" s="97">
        <f>IF(Option1="No",0,IF($A38&lt;ImplementationYear,0,IF($A38&gt;(ImplementationYear+(Appraisal_Period-1)),0,'Mode change'!$D$36*$B38)))</f>
        <v>0</v>
      </c>
      <c r="N38" s="97">
        <f>IF(Option1="No",0,IF($A38&lt;ImplementationYear,0,IF($A38&gt;(ImplementationYear+(Appraisal_Period-1)),0,'Mode change'!$D$37*$B38)))</f>
        <v>0</v>
      </c>
      <c r="O38" s="97">
        <f>IF(Option1="No",0,IF($A38&lt;ImplementationYear,0,IF($A38&gt;(ImplementationYear+(Appraisal_Period-1)),0,'Road safety'!$D$22*$B38)))</f>
        <v>0</v>
      </c>
      <c r="P38" s="97">
        <f>IF(Option1="No",0,IF($A38&lt;ImplementationYear,0,IF($A38&gt;(ImplementationYear+(Appraisal_Period-1)),0,'Reduction in car usage'!$D$46*$B38)))</f>
        <v>0</v>
      </c>
      <c r="Q38" s="97">
        <f>IF(Option1="No",0,IF($A38&lt;ImplementationYear,0,IF($A38&gt;(ImplementationYear+(Appraisal_Period-1)),0,'Reduction in car usage'!$D$47*$B38)))</f>
        <v>0</v>
      </c>
      <c r="R38" s="97">
        <f>IF(Option1="No",0,IF($A38&lt;ImplementationYear,0,IF($A38&gt;(ImplementationYear+(Appraisal_Period-1)),0,'Reduction in car usage'!$D$48*$B38)))</f>
        <v>0</v>
      </c>
      <c r="S38" s="92"/>
      <c r="T38" s="94">
        <f>IF(Option2="No",0,IF($A38=ImplementationYear,('Project details'!$L$10-'Project details'!$D$10)*VLOOKUP(Year_cost_estimate,'Time-series parameters'!$B$11:$C$89,2,FALSE)*$B38*(1+Contingency),0))</f>
        <v>0</v>
      </c>
      <c r="U38" s="94">
        <f>IF(Option2="No",0,IF($A38&lt;ImplementationYear,0,IF($A38&gt;(ImplementationYear+(Appraisal_Period-1)),0,('Project details'!$L$11-'Project details'!$D$11)*VLOOKUP(Year_cost_estimate,'Time-series parameters'!$B$11:$C$89,2,0))*$B38))</f>
        <v>0</v>
      </c>
      <c r="V38" s="94">
        <f>IF(Option2="No",0,IF($A38=ImplementationYear,('Project details'!$L$12-'Project details'!$D$12)*VLOOKUP(Year_cost_estimate,'Time-series parameters'!$B$11:$C$89,2,FALSE)*$B38,0))</f>
        <v>0</v>
      </c>
      <c r="W38" s="97">
        <f>IF(Option2="No",0,IF($A38&lt;ImplementationYear,0,IF($A38&gt;(ImplementationYear+(Appraisal_Period-1)),0,Health!$E$21*$B38)))</f>
        <v>0</v>
      </c>
      <c r="X38" s="97">
        <f>IF(Option2="No",0,IF($A38&lt;ImplementationYear,0,IF($A38&gt;(ImplementationYear+(Appraisal_Period-1)),0,Health!$E$22*$B38)))</f>
        <v>0</v>
      </c>
      <c r="Y38" s="97">
        <f>IF(Option2="No",0,IF($A38&lt;ImplementationYear,0,IF($A38&gt;(ImplementationYear+(Appraisal_Period-1)),0,SUM('Travel time'!$E$22:$E$23)*$B38)))</f>
        <v>0</v>
      </c>
      <c r="Z38" s="97">
        <f>IF(Option2="No",0,IF($A38&lt;ImplementationYear,0,IF($A38&gt;(ImplementationYear+(Appraisal_Period-1)),0,SUM('Travel time'!$E$20:$E$21)*$B38)))</f>
        <v>0</v>
      </c>
      <c r="AA38" s="97">
        <f>IF(Option2="No",0,IF($A38&lt;ImplementationYear,0,IF($A38&gt;(ImplementationYear+(Appraisal_Period-1)),0,SUM(Quality!$E$22:$E$23)*$B38)))</f>
        <v>0</v>
      </c>
      <c r="AB38" s="97">
        <f>IF(Option2="No",0,IF($A38&lt;ImplementationYear,0,IF($A38&gt;(ImplementationYear+(Appraisal_Period-1)),0,SUM(Quality!$E$20:$E$21)*$B38)))</f>
        <v>0</v>
      </c>
      <c r="AC38" s="97">
        <f>IF(Option2="No",0,IF($A38&lt;ImplementationYear,0,IF($A38&gt;(ImplementationYear+(Appraisal_Period-1)),0,'Mode change'!$E$36*$B38)))</f>
        <v>0</v>
      </c>
      <c r="AD38" s="97">
        <f>IF(Option2="No",0,IF($A38&lt;ImplementationYear,0,IF($A38&gt;(ImplementationYear+(Appraisal_Period-1)),0,'Mode change'!$E$37*$B38)))</f>
        <v>0</v>
      </c>
      <c r="AE38" s="97">
        <f>IF(Option2="No",0,IF($A38&lt;ImplementationYear,0,IF($A38&gt;(ImplementationYear+(Appraisal_Period-1)),0,'Road safety'!$E$22*$B38)))</f>
        <v>0</v>
      </c>
      <c r="AF38" s="97">
        <f>IF(Option2="No",0,IF($A38&lt;ImplementationYear,0,IF($A38&gt;(ImplementationYear+(Appraisal_Period-1)),0,'Reduction in car usage'!$E$46*$B38)))</f>
        <v>0</v>
      </c>
      <c r="AG38" s="97">
        <f>IF(Option2="No",0,IF($A38&lt;ImplementationYear,0,IF($A38&gt;(ImplementationYear+(Appraisal_Period-1)),0,'Reduction in car usage'!$E$47*$B38)))</f>
        <v>0</v>
      </c>
      <c r="AH38" s="97">
        <f>IF(Option2="No",0,IF($A38&lt;ImplementationYear,0,IF($A38&gt;(ImplementationYear+(Appraisal_Period-1)),0,'Reduction in car usage'!$E$48*$B38)))</f>
        <v>0</v>
      </c>
      <c r="AJ38" s="94">
        <f>IF(Option3="No",0,IF($A38=ImplementationYear,('Project details'!$P$10-'Project details'!$D$10)*VLOOKUP(Year_cost_estimate,'Time-series parameters'!$B$11:$C$89,2,FALSE)*$B38*(1+Contingency),0))</f>
        <v>0</v>
      </c>
      <c r="AK38" s="94">
        <f>IF(Option3="No",0,IF($A38&lt;ImplementationYear,0,IF($A38&gt;(ImplementationYear+(Appraisal_Period-1)),0,('Project details'!$P$11-'Project details'!$D$11)*VLOOKUP(Year_cost_estimate,'Time-series parameters'!$B$11:$C$89,2,0))*$B38))</f>
        <v>0</v>
      </c>
      <c r="AL38" s="94">
        <f>IF(Option3="No",0,IF($A38=ImplementationYear,('Project details'!$P$12-'Project details'!$D$12)*VLOOKUP(Year_cost_estimate,'Time-series parameters'!$B$11:$C$89,2,FALSE)*$B38,0))</f>
        <v>0</v>
      </c>
      <c r="AM38" s="97">
        <f>IF(Option3="No",0,IF($A38&lt;ImplementationYear,0,IF($A38&gt;(ImplementationYear+(Appraisal_Period-1)),0,Health!$F$21*$B38)))</f>
        <v>0</v>
      </c>
      <c r="AN38" s="97">
        <f>IF(Option3="No",0,IF($A38&lt;ImplementationYear,0,IF($A38&gt;(ImplementationYear+(Appraisal_Period-1)),0,Health!$F$22*$B38)))</f>
        <v>0</v>
      </c>
      <c r="AO38" s="97">
        <f>IF(Option3="No",0,IF($A38&lt;ImplementationYear,0,IF($A38&gt;(ImplementationYear+(Appraisal_Period-1)),0,SUM('Travel time'!$F$22:$F$23)*$B38)))</f>
        <v>0</v>
      </c>
      <c r="AP38" s="97">
        <f>IF(Option3="No",0,IF($A38&lt;ImplementationYear,0,IF($A38&gt;(ImplementationYear+(Appraisal_Period-1)),0,SUM('Travel time'!$F$20:$F$21)*$B38)))</f>
        <v>0</v>
      </c>
      <c r="AQ38" s="97">
        <f>IF(Option3="No",0,IF($A38&lt;ImplementationYear,0,IF($A38&gt;(ImplementationYear+(Appraisal_Period-1)),0,SUM(Quality!$F$22:$F$23)*$B38)))</f>
        <v>0</v>
      </c>
      <c r="AR38" s="97">
        <f>IF(Option3="No",0,IF($A38&lt;ImplementationYear,0,IF($A38&gt;(ImplementationYear+(Appraisal_Period-1)),0,SUM(Quality!$F$20:$F$21)*$B38)))</f>
        <v>0</v>
      </c>
      <c r="AS38" s="97">
        <f>IF(Option3="No",0,IF($A38&lt;ImplementationYear,0,IF($A38&gt;(ImplementationYear+(Appraisal_Period-1)),0,'Mode change'!$F$36*$B38)))</f>
        <v>0</v>
      </c>
      <c r="AT38" s="97">
        <f>IF(Option3="No",0,IF($A38&lt;ImplementationYear,0,IF($A38&gt;(ImplementationYear+(Appraisal_Period-1)),0,'Mode change'!$F$37*$B38)))</f>
        <v>0</v>
      </c>
      <c r="AU38" s="97">
        <f>IF(Option3="No",0,IF($A38&lt;ImplementationYear,0,IF($A38&gt;(ImplementationYear+(Appraisal_Period-1)),0,'Road safety'!$F$22*$B38)))</f>
        <v>0</v>
      </c>
      <c r="AV38" s="97">
        <f>IF(Option3="No",0,IF($A38&lt;ImplementationYear,0,IF($A38&gt;(ImplementationYear+(Appraisal_Period-1)),0,'Reduction in car usage'!$F$46*$B38)))</f>
        <v>0</v>
      </c>
      <c r="AW38" s="97">
        <f>IF(Option3="No",0,IF($A38&lt;ImplementationYear,0,IF($A38&gt;(ImplementationYear+(Appraisal_Period-1)),0,'Reduction in car usage'!$F$47*$B38)))</f>
        <v>0</v>
      </c>
      <c r="AX38" s="97">
        <f>IF(Option3="No",0,IF($A38&lt;ImplementationYear,0,IF($A38&gt;(ImplementationYear+(Appraisal_Period-1)),0,'Reduction in car usage'!$F$48*$B38)))</f>
        <v>0</v>
      </c>
    </row>
    <row r="39" spans="1:50">
      <c r="A39" s="335">
        <v>2034</v>
      </c>
      <c r="B39" s="62">
        <f>VLOOKUP($A39,'Time-series parameters'!$E$11:$H$89,3,FALSE)</f>
        <v>0.24095760218393406</v>
      </c>
      <c r="C39" s="89"/>
      <c r="D39" s="94">
        <f>IF(Option1="No",0,IF($A39=ImplementationYear,('Project details'!$H$10-'Project details'!$D$10)*VLOOKUP(Year_cost_estimate,'Time-series parameters'!$B$11:$C$89,2,FALSE)*$B39*(1+Contingency),0))</f>
        <v>0</v>
      </c>
      <c r="E39" s="94">
        <f>IF(Option1="No",0,IF($A39&lt;ImplementationYear,0,IF($A39&gt;(ImplementationYear+(Appraisal_Period-1)),0,('Project details'!$H$11-'Project details'!$D$11)*VLOOKUP(Year_cost_estimate,'Time-series parameters'!$B$11:$C$89,2,0))*$B39))</f>
        <v>0</v>
      </c>
      <c r="F39" s="94">
        <f>IF(Option1="No",0,IF($A39=ImplementationYear,('Project details'!$H$12-'Project details'!$D$12)*VLOOKUP(Year_cost_estimate,'Time-series parameters'!$B$11:$C$89,2,FALSE)*$B39,0))</f>
        <v>0</v>
      </c>
      <c r="G39" s="97">
        <f>IF(Option1="No",0,IF($A39&lt;ImplementationYear,0,IF($A39&gt;(ImplementationYear+(Appraisal_Period-1)),0,Health!$D$21*$B39)))</f>
        <v>0</v>
      </c>
      <c r="H39" s="97">
        <f>IF(Option1="No",0,IF($A39&lt;ImplementationYear,0,IF($A39&gt;(ImplementationYear+(Appraisal_Period-1)),0,Health!$D$22*$B39)))</f>
        <v>0</v>
      </c>
      <c r="I39" s="97">
        <f>IF(Option1="No",0,IF($A39&lt;ImplementationYear,0,IF($A39&gt;(ImplementationYear+(Appraisal_Period-1)),0,SUM('Travel time'!$D$22:$D$23)*$B39)))</f>
        <v>0</v>
      </c>
      <c r="J39" s="97">
        <f>IF(Option1="No",0,IF($A39&lt;ImplementationYear,0,IF($A39&gt;(ImplementationYear+(Appraisal_Period-1)),0,SUM('Travel time'!$D$20:$D$21)*$B39)))</f>
        <v>0</v>
      </c>
      <c r="K39" s="97">
        <f>IF(Option1="No",0,IF($A39&lt;ImplementationYear,0,IF($A39&gt;(ImplementationYear+(Appraisal_Period-1)),0,SUM(Quality!$D$22:$D$23)*$B39)))</f>
        <v>0</v>
      </c>
      <c r="L39" s="97">
        <f>IF(Option1="No",0,IF($A39&lt;ImplementationYear,0,IF($A39&gt;(ImplementationYear+(Appraisal_Period-1)),0,SUM(Quality!$D$20:$D$21)*$B39)))</f>
        <v>0</v>
      </c>
      <c r="M39" s="97">
        <f>IF(Option1="No",0,IF($A39&lt;ImplementationYear,0,IF($A39&gt;(ImplementationYear+(Appraisal_Period-1)),0,'Mode change'!$D$36*$B39)))</f>
        <v>0</v>
      </c>
      <c r="N39" s="97">
        <f>IF(Option1="No",0,IF($A39&lt;ImplementationYear,0,IF($A39&gt;(ImplementationYear+(Appraisal_Period-1)),0,'Mode change'!$D$37*$B39)))</f>
        <v>0</v>
      </c>
      <c r="O39" s="97">
        <f>IF(Option1="No",0,IF($A39&lt;ImplementationYear,0,IF($A39&gt;(ImplementationYear+(Appraisal_Period-1)),0,'Road safety'!$D$22*$B39)))</f>
        <v>0</v>
      </c>
      <c r="P39" s="97">
        <f>IF(Option1="No",0,IF($A39&lt;ImplementationYear,0,IF($A39&gt;(ImplementationYear+(Appraisal_Period-1)),0,'Reduction in car usage'!$D$46*$B39)))</f>
        <v>0</v>
      </c>
      <c r="Q39" s="97">
        <f>IF(Option1="No",0,IF($A39&lt;ImplementationYear,0,IF($A39&gt;(ImplementationYear+(Appraisal_Period-1)),0,'Reduction in car usage'!$D$47*$B39)))</f>
        <v>0</v>
      </c>
      <c r="R39" s="97">
        <f>IF(Option1="No",0,IF($A39&lt;ImplementationYear,0,IF($A39&gt;(ImplementationYear+(Appraisal_Period-1)),0,'Reduction in car usage'!$D$48*$B39)))</f>
        <v>0</v>
      </c>
      <c r="S39" s="92"/>
      <c r="T39" s="94">
        <f>IF(Option2="No",0,IF($A39=ImplementationYear,('Project details'!$L$10-'Project details'!$D$10)*VLOOKUP(Year_cost_estimate,'Time-series parameters'!$B$11:$C$89,2,FALSE)*$B39*(1+Contingency),0))</f>
        <v>0</v>
      </c>
      <c r="U39" s="94">
        <f>IF(Option2="No",0,IF($A39&lt;ImplementationYear,0,IF($A39&gt;(ImplementationYear+(Appraisal_Period-1)),0,('Project details'!$L$11-'Project details'!$D$11)*VLOOKUP(Year_cost_estimate,'Time-series parameters'!$B$11:$C$89,2,0))*$B39))</f>
        <v>0</v>
      </c>
      <c r="V39" s="94">
        <f>IF(Option2="No",0,IF($A39=ImplementationYear,('Project details'!$L$12-'Project details'!$D$12)*VLOOKUP(Year_cost_estimate,'Time-series parameters'!$B$11:$C$89,2,FALSE)*$B39,0))</f>
        <v>0</v>
      </c>
      <c r="W39" s="97">
        <f>IF(Option2="No",0,IF($A39&lt;ImplementationYear,0,IF($A39&gt;(ImplementationYear+(Appraisal_Period-1)),0,Health!$E$21*$B39)))</f>
        <v>0</v>
      </c>
      <c r="X39" s="97">
        <f>IF(Option2="No",0,IF($A39&lt;ImplementationYear,0,IF($A39&gt;(ImplementationYear+(Appraisal_Period-1)),0,Health!$E$22*$B39)))</f>
        <v>0</v>
      </c>
      <c r="Y39" s="97">
        <f>IF(Option2="No",0,IF($A39&lt;ImplementationYear,0,IF($A39&gt;(ImplementationYear+(Appraisal_Period-1)),0,SUM('Travel time'!$E$22:$E$23)*$B39)))</f>
        <v>0</v>
      </c>
      <c r="Z39" s="97">
        <f>IF(Option2="No",0,IF($A39&lt;ImplementationYear,0,IF($A39&gt;(ImplementationYear+(Appraisal_Period-1)),0,SUM('Travel time'!$E$20:$E$21)*$B39)))</f>
        <v>0</v>
      </c>
      <c r="AA39" s="97">
        <f>IF(Option2="No",0,IF($A39&lt;ImplementationYear,0,IF($A39&gt;(ImplementationYear+(Appraisal_Period-1)),0,SUM(Quality!$E$22:$E$23)*$B39)))</f>
        <v>0</v>
      </c>
      <c r="AB39" s="97">
        <f>IF(Option2="No",0,IF($A39&lt;ImplementationYear,0,IF($A39&gt;(ImplementationYear+(Appraisal_Period-1)),0,SUM(Quality!$E$20:$E$21)*$B39)))</f>
        <v>0</v>
      </c>
      <c r="AC39" s="97">
        <f>IF(Option2="No",0,IF($A39&lt;ImplementationYear,0,IF($A39&gt;(ImplementationYear+(Appraisal_Period-1)),0,'Mode change'!$E$36*$B39)))</f>
        <v>0</v>
      </c>
      <c r="AD39" s="97">
        <f>IF(Option2="No",0,IF($A39&lt;ImplementationYear,0,IF($A39&gt;(ImplementationYear+(Appraisal_Period-1)),0,'Mode change'!$E$37*$B39)))</f>
        <v>0</v>
      </c>
      <c r="AE39" s="97">
        <f>IF(Option2="No",0,IF($A39&lt;ImplementationYear,0,IF($A39&gt;(ImplementationYear+(Appraisal_Period-1)),0,'Road safety'!$E$22*$B39)))</f>
        <v>0</v>
      </c>
      <c r="AF39" s="97">
        <f>IF(Option2="No",0,IF($A39&lt;ImplementationYear,0,IF($A39&gt;(ImplementationYear+(Appraisal_Period-1)),0,'Reduction in car usage'!$E$46*$B39)))</f>
        <v>0</v>
      </c>
      <c r="AG39" s="97">
        <f>IF(Option2="No",0,IF($A39&lt;ImplementationYear,0,IF($A39&gt;(ImplementationYear+(Appraisal_Period-1)),0,'Reduction in car usage'!$E$47*$B39)))</f>
        <v>0</v>
      </c>
      <c r="AH39" s="97">
        <f>IF(Option2="No",0,IF($A39&lt;ImplementationYear,0,IF($A39&gt;(ImplementationYear+(Appraisal_Period-1)),0,'Reduction in car usage'!$E$48*$B39)))</f>
        <v>0</v>
      </c>
      <c r="AJ39" s="94">
        <f>IF(Option3="No",0,IF($A39=ImplementationYear,('Project details'!$P$10-'Project details'!$D$10)*VLOOKUP(Year_cost_estimate,'Time-series parameters'!$B$11:$C$89,2,FALSE)*$B39*(1+Contingency),0))</f>
        <v>0</v>
      </c>
      <c r="AK39" s="94">
        <f>IF(Option3="No",0,IF($A39&lt;ImplementationYear,0,IF($A39&gt;(ImplementationYear+(Appraisal_Period-1)),0,('Project details'!$P$11-'Project details'!$D$11)*VLOOKUP(Year_cost_estimate,'Time-series parameters'!$B$11:$C$89,2,0))*$B39))</f>
        <v>0</v>
      </c>
      <c r="AL39" s="94">
        <f>IF(Option3="No",0,IF($A39=ImplementationYear,('Project details'!$P$12-'Project details'!$D$12)*VLOOKUP(Year_cost_estimate,'Time-series parameters'!$B$11:$C$89,2,FALSE)*$B39,0))</f>
        <v>0</v>
      </c>
      <c r="AM39" s="97">
        <f>IF(Option3="No",0,IF($A39&lt;ImplementationYear,0,IF($A39&gt;(ImplementationYear+(Appraisal_Period-1)),0,Health!$F$21*$B39)))</f>
        <v>0</v>
      </c>
      <c r="AN39" s="97">
        <f>IF(Option3="No",0,IF($A39&lt;ImplementationYear,0,IF($A39&gt;(ImplementationYear+(Appraisal_Period-1)),0,Health!$F$22*$B39)))</f>
        <v>0</v>
      </c>
      <c r="AO39" s="97">
        <f>IF(Option3="No",0,IF($A39&lt;ImplementationYear,0,IF($A39&gt;(ImplementationYear+(Appraisal_Period-1)),0,SUM('Travel time'!$F$22:$F$23)*$B39)))</f>
        <v>0</v>
      </c>
      <c r="AP39" s="97">
        <f>IF(Option3="No",0,IF($A39&lt;ImplementationYear,0,IF($A39&gt;(ImplementationYear+(Appraisal_Period-1)),0,SUM('Travel time'!$F$20:$F$21)*$B39)))</f>
        <v>0</v>
      </c>
      <c r="AQ39" s="97">
        <f>IF(Option3="No",0,IF($A39&lt;ImplementationYear,0,IF($A39&gt;(ImplementationYear+(Appraisal_Period-1)),0,SUM(Quality!$F$22:$F$23)*$B39)))</f>
        <v>0</v>
      </c>
      <c r="AR39" s="97">
        <f>IF(Option3="No",0,IF($A39&lt;ImplementationYear,0,IF($A39&gt;(ImplementationYear+(Appraisal_Period-1)),0,SUM(Quality!$F$20:$F$21)*$B39)))</f>
        <v>0</v>
      </c>
      <c r="AS39" s="97">
        <f>IF(Option3="No",0,IF($A39&lt;ImplementationYear,0,IF($A39&gt;(ImplementationYear+(Appraisal_Period-1)),0,'Mode change'!$F$36*$B39)))</f>
        <v>0</v>
      </c>
      <c r="AT39" s="97">
        <f>IF(Option3="No",0,IF($A39&lt;ImplementationYear,0,IF($A39&gt;(ImplementationYear+(Appraisal_Period-1)),0,'Mode change'!$F$37*$B39)))</f>
        <v>0</v>
      </c>
      <c r="AU39" s="97">
        <f>IF(Option3="No",0,IF($A39&lt;ImplementationYear,0,IF($A39&gt;(ImplementationYear+(Appraisal_Period-1)),0,'Road safety'!$F$22*$B39)))</f>
        <v>0</v>
      </c>
      <c r="AV39" s="97">
        <f>IF(Option3="No",0,IF($A39&lt;ImplementationYear,0,IF($A39&gt;(ImplementationYear+(Appraisal_Period-1)),0,'Reduction in car usage'!$F$46*$B39)))</f>
        <v>0</v>
      </c>
      <c r="AW39" s="97">
        <f>IF(Option3="No",0,IF($A39&lt;ImplementationYear,0,IF($A39&gt;(ImplementationYear+(Appraisal_Period-1)),0,'Reduction in car usage'!$F$47*$B39)))</f>
        <v>0</v>
      </c>
      <c r="AX39" s="97">
        <f>IF(Option3="No",0,IF($A39&lt;ImplementationYear,0,IF($A39&gt;(ImplementationYear+(Appraisal_Period-1)),0,'Reduction in car usage'!$F$48*$B39)))</f>
        <v>0</v>
      </c>
    </row>
    <row r="40" spans="1:50">
      <c r="A40" s="335">
        <v>2035</v>
      </c>
      <c r="B40" s="62">
        <f>VLOOKUP($A40,'Time-series parameters'!$E$11:$H$89,3,FALSE)</f>
        <v>0.226500146052898</v>
      </c>
      <c r="C40" s="89"/>
      <c r="D40" s="94">
        <f>IF(Option1="No",0,IF($A40=ImplementationYear,('Project details'!$H$10-'Project details'!$D$10)*VLOOKUP(Year_cost_estimate,'Time-series parameters'!$B$11:$C$89,2,FALSE)*$B40*(1+Contingency),0))</f>
        <v>0</v>
      </c>
      <c r="E40" s="94">
        <f>IF(Option1="No",0,IF($A40&lt;ImplementationYear,0,IF($A40&gt;(ImplementationYear+(Appraisal_Period-1)),0,('Project details'!$H$11-'Project details'!$D$11)*VLOOKUP(Year_cost_estimate,'Time-series parameters'!$B$11:$C$89,2,0))*$B40))</f>
        <v>0</v>
      </c>
      <c r="F40" s="94">
        <f>IF(Option1="No",0,IF($A40=ImplementationYear,('Project details'!$H$12-'Project details'!$D$12)*VLOOKUP(Year_cost_estimate,'Time-series parameters'!$B$11:$C$89,2,FALSE)*$B40,0))</f>
        <v>0</v>
      </c>
      <c r="G40" s="97">
        <f>IF(Option1="No",0,IF($A40&lt;ImplementationYear,0,IF($A40&gt;(ImplementationYear+(Appraisal_Period-1)),0,Health!$D$21*$B40)))</f>
        <v>0</v>
      </c>
      <c r="H40" s="97">
        <f>IF(Option1="No",0,IF($A40&lt;ImplementationYear,0,IF($A40&gt;(ImplementationYear+(Appraisal_Period-1)),0,Health!$D$22*$B40)))</f>
        <v>0</v>
      </c>
      <c r="I40" s="97">
        <f>IF(Option1="No",0,IF($A40&lt;ImplementationYear,0,IF($A40&gt;(ImplementationYear+(Appraisal_Period-1)),0,SUM('Travel time'!$D$22:$D$23)*$B40)))</f>
        <v>0</v>
      </c>
      <c r="J40" s="97">
        <f>IF(Option1="No",0,IF($A40&lt;ImplementationYear,0,IF($A40&gt;(ImplementationYear+(Appraisal_Period-1)),0,SUM('Travel time'!$D$20:$D$21)*$B40)))</f>
        <v>0</v>
      </c>
      <c r="K40" s="97">
        <f>IF(Option1="No",0,IF($A40&lt;ImplementationYear,0,IF($A40&gt;(ImplementationYear+(Appraisal_Period-1)),0,SUM(Quality!$D$22:$D$23)*$B40)))</f>
        <v>0</v>
      </c>
      <c r="L40" s="97">
        <f>IF(Option1="No",0,IF($A40&lt;ImplementationYear,0,IF($A40&gt;(ImplementationYear+(Appraisal_Period-1)),0,SUM(Quality!$D$20:$D$21)*$B40)))</f>
        <v>0</v>
      </c>
      <c r="M40" s="97">
        <f>IF(Option1="No",0,IF($A40&lt;ImplementationYear,0,IF($A40&gt;(ImplementationYear+(Appraisal_Period-1)),0,'Mode change'!$D$36*$B40)))</f>
        <v>0</v>
      </c>
      <c r="N40" s="97">
        <f>IF(Option1="No",0,IF($A40&lt;ImplementationYear,0,IF($A40&gt;(ImplementationYear+(Appraisal_Period-1)),0,'Mode change'!$D$37*$B40)))</f>
        <v>0</v>
      </c>
      <c r="O40" s="97">
        <f>IF(Option1="No",0,IF($A40&lt;ImplementationYear,0,IF($A40&gt;(ImplementationYear+(Appraisal_Period-1)),0,'Road safety'!$D$22*$B40)))</f>
        <v>0</v>
      </c>
      <c r="P40" s="97">
        <f>IF(Option1="No",0,IF($A40&lt;ImplementationYear,0,IF($A40&gt;(ImplementationYear+(Appraisal_Period-1)),0,'Reduction in car usage'!$D$46*$B40)))</f>
        <v>0</v>
      </c>
      <c r="Q40" s="97">
        <f>IF(Option1="No",0,IF($A40&lt;ImplementationYear,0,IF($A40&gt;(ImplementationYear+(Appraisal_Period-1)),0,'Reduction in car usage'!$D$47*$B40)))</f>
        <v>0</v>
      </c>
      <c r="R40" s="97">
        <f>IF(Option1="No",0,IF($A40&lt;ImplementationYear,0,IF($A40&gt;(ImplementationYear+(Appraisal_Period-1)),0,'Reduction in car usage'!$D$48*$B40)))</f>
        <v>0</v>
      </c>
      <c r="S40" s="92"/>
      <c r="T40" s="94">
        <f>IF(Option2="No",0,IF($A40=ImplementationYear,('Project details'!$L$10-'Project details'!$D$10)*VLOOKUP(Year_cost_estimate,'Time-series parameters'!$B$11:$C$89,2,FALSE)*$B40*(1+Contingency),0))</f>
        <v>0</v>
      </c>
      <c r="U40" s="94">
        <f>IF(Option2="No",0,IF($A40&lt;ImplementationYear,0,IF($A40&gt;(ImplementationYear+(Appraisal_Period-1)),0,('Project details'!$L$11-'Project details'!$D$11)*VLOOKUP(Year_cost_estimate,'Time-series parameters'!$B$11:$C$89,2,0))*$B40))</f>
        <v>0</v>
      </c>
      <c r="V40" s="94">
        <f>IF(Option2="No",0,IF($A40=ImplementationYear,('Project details'!$L$12-'Project details'!$D$12)*VLOOKUP(Year_cost_estimate,'Time-series parameters'!$B$11:$C$89,2,FALSE)*$B40,0))</f>
        <v>0</v>
      </c>
      <c r="W40" s="97">
        <f>IF(Option2="No",0,IF($A40&lt;ImplementationYear,0,IF($A40&gt;(ImplementationYear+(Appraisal_Period-1)),0,Health!$E$21*$B40)))</f>
        <v>0</v>
      </c>
      <c r="X40" s="97">
        <f>IF(Option2="No",0,IF($A40&lt;ImplementationYear,0,IF($A40&gt;(ImplementationYear+(Appraisal_Period-1)),0,Health!$E$22*$B40)))</f>
        <v>0</v>
      </c>
      <c r="Y40" s="97">
        <f>IF(Option2="No",0,IF($A40&lt;ImplementationYear,0,IF($A40&gt;(ImplementationYear+(Appraisal_Period-1)),0,SUM('Travel time'!$E$22:$E$23)*$B40)))</f>
        <v>0</v>
      </c>
      <c r="Z40" s="97">
        <f>IF(Option2="No",0,IF($A40&lt;ImplementationYear,0,IF($A40&gt;(ImplementationYear+(Appraisal_Period-1)),0,SUM('Travel time'!$E$20:$E$21)*$B40)))</f>
        <v>0</v>
      </c>
      <c r="AA40" s="97">
        <f>IF(Option2="No",0,IF($A40&lt;ImplementationYear,0,IF($A40&gt;(ImplementationYear+(Appraisal_Period-1)),0,SUM(Quality!$E$22:$E$23)*$B40)))</f>
        <v>0</v>
      </c>
      <c r="AB40" s="97">
        <f>IF(Option2="No",0,IF($A40&lt;ImplementationYear,0,IF($A40&gt;(ImplementationYear+(Appraisal_Period-1)),0,SUM(Quality!$E$20:$E$21)*$B40)))</f>
        <v>0</v>
      </c>
      <c r="AC40" s="97">
        <f>IF(Option2="No",0,IF($A40&lt;ImplementationYear,0,IF($A40&gt;(ImplementationYear+(Appraisal_Period-1)),0,'Mode change'!$E$36*$B40)))</f>
        <v>0</v>
      </c>
      <c r="AD40" s="97">
        <f>IF(Option2="No",0,IF($A40&lt;ImplementationYear,0,IF($A40&gt;(ImplementationYear+(Appraisal_Period-1)),0,'Mode change'!$E$37*$B40)))</f>
        <v>0</v>
      </c>
      <c r="AE40" s="97">
        <f>IF(Option2="No",0,IF($A40&lt;ImplementationYear,0,IF($A40&gt;(ImplementationYear+(Appraisal_Period-1)),0,'Road safety'!$E$22*$B40)))</f>
        <v>0</v>
      </c>
      <c r="AF40" s="97">
        <f>IF(Option2="No",0,IF($A40&lt;ImplementationYear,0,IF($A40&gt;(ImplementationYear+(Appraisal_Period-1)),0,'Reduction in car usage'!$E$46*$B40)))</f>
        <v>0</v>
      </c>
      <c r="AG40" s="97">
        <f>IF(Option2="No",0,IF($A40&lt;ImplementationYear,0,IF($A40&gt;(ImplementationYear+(Appraisal_Period-1)),0,'Reduction in car usage'!$E$47*$B40)))</f>
        <v>0</v>
      </c>
      <c r="AH40" s="97">
        <f>IF(Option2="No",0,IF($A40&lt;ImplementationYear,0,IF($A40&gt;(ImplementationYear+(Appraisal_Period-1)),0,'Reduction in car usage'!$E$48*$B40)))</f>
        <v>0</v>
      </c>
      <c r="AJ40" s="94">
        <f>IF(Option3="No",0,IF($A40=ImplementationYear,('Project details'!$P$10-'Project details'!$D$10)*VLOOKUP(Year_cost_estimate,'Time-series parameters'!$B$11:$C$89,2,FALSE)*$B40*(1+Contingency),0))</f>
        <v>0</v>
      </c>
      <c r="AK40" s="94">
        <f>IF(Option3="No",0,IF($A40&lt;ImplementationYear,0,IF($A40&gt;(ImplementationYear+(Appraisal_Period-1)),0,('Project details'!$P$11-'Project details'!$D$11)*VLOOKUP(Year_cost_estimate,'Time-series parameters'!$B$11:$C$89,2,0))*$B40))</f>
        <v>0</v>
      </c>
      <c r="AL40" s="94">
        <f>IF(Option3="No",0,IF($A40=ImplementationYear,('Project details'!$P$12-'Project details'!$D$12)*VLOOKUP(Year_cost_estimate,'Time-series parameters'!$B$11:$C$89,2,FALSE)*$B40,0))</f>
        <v>0</v>
      </c>
      <c r="AM40" s="97">
        <f>IF(Option3="No",0,IF($A40&lt;ImplementationYear,0,IF($A40&gt;(ImplementationYear+(Appraisal_Period-1)),0,Health!$F$21*$B40)))</f>
        <v>0</v>
      </c>
      <c r="AN40" s="97">
        <f>IF(Option3="No",0,IF($A40&lt;ImplementationYear,0,IF($A40&gt;(ImplementationYear+(Appraisal_Period-1)),0,Health!$F$22*$B40)))</f>
        <v>0</v>
      </c>
      <c r="AO40" s="97">
        <f>IF(Option3="No",0,IF($A40&lt;ImplementationYear,0,IF($A40&gt;(ImplementationYear+(Appraisal_Period-1)),0,SUM('Travel time'!$F$22:$F$23)*$B40)))</f>
        <v>0</v>
      </c>
      <c r="AP40" s="97">
        <f>IF(Option3="No",0,IF($A40&lt;ImplementationYear,0,IF($A40&gt;(ImplementationYear+(Appraisal_Period-1)),0,SUM('Travel time'!$F$20:$F$21)*$B40)))</f>
        <v>0</v>
      </c>
      <c r="AQ40" s="97">
        <f>IF(Option3="No",0,IF($A40&lt;ImplementationYear,0,IF($A40&gt;(ImplementationYear+(Appraisal_Period-1)),0,SUM(Quality!$F$22:$F$23)*$B40)))</f>
        <v>0</v>
      </c>
      <c r="AR40" s="97">
        <f>IF(Option3="No",0,IF($A40&lt;ImplementationYear,0,IF($A40&gt;(ImplementationYear+(Appraisal_Period-1)),0,SUM(Quality!$F$20:$F$21)*$B40)))</f>
        <v>0</v>
      </c>
      <c r="AS40" s="97">
        <f>IF(Option3="No",0,IF($A40&lt;ImplementationYear,0,IF($A40&gt;(ImplementationYear+(Appraisal_Period-1)),0,'Mode change'!$F$36*$B40)))</f>
        <v>0</v>
      </c>
      <c r="AT40" s="97">
        <f>IF(Option3="No",0,IF($A40&lt;ImplementationYear,0,IF($A40&gt;(ImplementationYear+(Appraisal_Period-1)),0,'Mode change'!$F$37*$B40)))</f>
        <v>0</v>
      </c>
      <c r="AU40" s="97">
        <f>IF(Option3="No",0,IF($A40&lt;ImplementationYear,0,IF($A40&gt;(ImplementationYear+(Appraisal_Period-1)),0,'Road safety'!$F$22*$B40)))</f>
        <v>0</v>
      </c>
      <c r="AV40" s="97">
        <f>IF(Option3="No",0,IF($A40&lt;ImplementationYear,0,IF($A40&gt;(ImplementationYear+(Appraisal_Period-1)),0,'Reduction in car usage'!$F$46*$B40)))</f>
        <v>0</v>
      </c>
      <c r="AW40" s="97">
        <f>IF(Option3="No",0,IF($A40&lt;ImplementationYear,0,IF($A40&gt;(ImplementationYear+(Appraisal_Period-1)),0,'Reduction in car usage'!$F$47*$B40)))</f>
        <v>0</v>
      </c>
      <c r="AX40" s="97">
        <f>IF(Option3="No",0,IF($A40&lt;ImplementationYear,0,IF($A40&gt;(ImplementationYear+(Appraisal_Period-1)),0,'Reduction in car usage'!$F$48*$B40)))</f>
        <v>0</v>
      </c>
    </row>
    <row r="41" spans="1:50">
      <c r="A41" s="335">
        <v>2036</v>
      </c>
      <c r="B41" s="62">
        <f>VLOOKUP($A41,'Time-series parameters'!$E$11:$H$89,3,FALSE)</f>
        <v>0.21291013728972413</v>
      </c>
      <c r="C41" s="89"/>
      <c r="D41" s="94">
        <f>IF(Option1="No",0,IF($A41=ImplementationYear,('Project details'!$H$10-'Project details'!$D$10)*VLOOKUP(Year_cost_estimate,'Time-series parameters'!$B$11:$C$89,2,FALSE)*$B41*(1+Contingency),0))</f>
        <v>0</v>
      </c>
      <c r="E41" s="94">
        <f>IF(Option1="No",0,IF($A41&lt;ImplementationYear,0,IF($A41&gt;(ImplementationYear+(Appraisal_Period-1)),0,('Project details'!$H$11-'Project details'!$D$11)*VLOOKUP(Year_cost_estimate,'Time-series parameters'!$B$11:$C$89,2,0))*$B41))</f>
        <v>0</v>
      </c>
      <c r="F41" s="94">
        <f>IF(Option1="No",0,IF($A41=ImplementationYear,('Project details'!$H$12-'Project details'!$D$12)*VLOOKUP(Year_cost_estimate,'Time-series parameters'!$B$11:$C$89,2,FALSE)*$B41,0))</f>
        <v>0</v>
      </c>
      <c r="G41" s="97">
        <f>IF(Option1="No",0,IF($A41&lt;ImplementationYear,0,IF($A41&gt;(ImplementationYear+(Appraisal_Period-1)),0,Health!$D$21*$B41)))</f>
        <v>0</v>
      </c>
      <c r="H41" s="97">
        <f>IF(Option1="No",0,IF($A41&lt;ImplementationYear,0,IF($A41&gt;(ImplementationYear+(Appraisal_Period-1)),0,Health!$D$22*$B41)))</f>
        <v>0</v>
      </c>
      <c r="I41" s="97">
        <f>IF(Option1="No",0,IF($A41&lt;ImplementationYear,0,IF($A41&gt;(ImplementationYear+(Appraisal_Period-1)),0,SUM('Travel time'!$D$22:$D$23)*$B41)))</f>
        <v>0</v>
      </c>
      <c r="J41" s="97">
        <f>IF(Option1="No",0,IF($A41&lt;ImplementationYear,0,IF($A41&gt;(ImplementationYear+(Appraisal_Period-1)),0,SUM('Travel time'!$D$20:$D$21)*$B41)))</f>
        <v>0</v>
      </c>
      <c r="K41" s="97">
        <f>IF(Option1="No",0,IF($A41&lt;ImplementationYear,0,IF($A41&gt;(ImplementationYear+(Appraisal_Period-1)),0,SUM(Quality!$D$22:$D$23)*$B41)))</f>
        <v>0</v>
      </c>
      <c r="L41" s="97">
        <f>IF(Option1="No",0,IF($A41&lt;ImplementationYear,0,IF($A41&gt;(ImplementationYear+(Appraisal_Period-1)),0,SUM(Quality!$D$20:$D$21)*$B41)))</f>
        <v>0</v>
      </c>
      <c r="M41" s="97">
        <f>IF(Option1="No",0,IF($A41&lt;ImplementationYear,0,IF($A41&gt;(ImplementationYear+(Appraisal_Period-1)),0,'Mode change'!$D$36*$B41)))</f>
        <v>0</v>
      </c>
      <c r="N41" s="97">
        <f>IF(Option1="No",0,IF($A41&lt;ImplementationYear,0,IF($A41&gt;(ImplementationYear+(Appraisal_Period-1)),0,'Mode change'!$D$37*$B41)))</f>
        <v>0</v>
      </c>
      <c r="O41" s="97">
        <f>IF(Option1="No",0,IF($A41&lt;ImplementationYear,0,IF($A41&gt;(ImplementationYear+(Appraisal_Period-1)),0,'Road safety'!$D$22*$B41)))</f>
        <v>0</v>
      </c>
      <c r="P41" s="97">
        <f>IF(Option1="No",0,IF($A41&lt;ImplementationYear,0,IF($A41&gt;(ImplementationYear+(Appraisal_Period-1)),0,'Reduction in car usage'!$D$46*$B41)))</f>
        <v>0</v>
      </c>
      <c r="Q41" s="97">
        <f>IF(Option1="No",0,IF($A41&lt;ImplementationYear,0,IF($A41&gt;(ImplementationYear+(Appraisal_Period-1)),0,'Reduction in car usage'!$D$47*$B41)))</f>
        <v>0</v>
      </c>
      <c r="R41" s="97">
        <f>IF(Option1="No",0,IF($A41&lt;ImplementationYear,0,IF($A41&gt;(ImplementationYear+(Appraisal_Period-1)),0,'Reduction in car usage'!$D$48*$B41)))</f>
        <v>0</v>
      </c>
      <c r="S41" s="92"/>
      <c r="T41" s="94">
        <f>IF(Option2="No",0,IF($A41=ImplementationYear,('Project details'!$L$10-'Project details'!$D$10)*VLOOKUP(Year_cost_estimate,'Time-series parameters'!$B$11:$C$89,2,FALSE)*$B41*(1+Contingency),0))</f>
        <v>0</v>
      </c>
      <c r="U41" s="94">
        <f>IF(Option2="No",0,IF($A41&lt;ImplementationYear,0,IF($A41&gt;(ImplementationYear+(Appraisal_Period-1)),0,('Project details'!$L$11-'Project details'!$D$11)*VLOOKUP(Year_cost_estimate,'Time-series parameters'!$B$11:$C$89,2,0))*$B41))</f>
        <v>0</v>
      </c>
      <c r="V41" s="94">
        <f>IF(Option2="No",0,IF($A41=ImplementationYear,('Project details'!$L$12-'Project details'!$D$12)*VLOOKUP(Year_cost_estimate,'Time-series parameters'!$B$11:$C$89,2,FALSE)*$B41,0))</f>
        <v>0</v>
      </c>
      <c r="W41" s="97">
        <f>IF(Option2="No",0,IF($A41&lt;ImplementationYear,0,IF($A41&gt;(ImplementationYear+(Appraisal_Period-1)),0,Health!$E$21*$B41)))</f>
        <v>0</v>
      </c>
      <c r="X41" s="97">
        <f>IF(Option2="No",0,IF($A41&lt;ImplementationYear,0,IF($A41&gt;(ImplementationYear+(Appraisal_Period-1)),0,Health!$E$22*$B41)))</f>
        <v>0</v>
      </c>
      <c r="Y41" s="97">
        <f>IF(Option2="No",0,IF($A41&lt;ImplementationYear,0,IF($A41&gt;(ImplementationYear+(Appraisal_Period-1)),0,SUM('Travel time'!$E$22:$E$23)*$B41)))</f>
        <v>0</v>
      </c>
      <c r="Z41" s="97">
        <f>IF(Option2="No",0,IF($A41&lt;ImplementationYear,0,IF($A41&gt;(ImplementationYear+(Appraisal_Period-1)),0,SUM('Travel time'!$E$20:$E$21)*$B41)))</f>
        <v>0</v>
      </c>
      <c r="AA41" s="97">
        <f>IF(Option2="No",0,IF($A41&lt;ImplementationYear,0,IF($A41&gt;(ImplementationYear+(Appraisal_Period-1)),0,SUM(Quality!$E$22:$E$23)*$B41)))</f>
        <v>0</v>
      </c>
      <c r="AB41" s="97">
        <f>IF(Option2="No",0,IF($A41&lt;ImplementationYear,0,IF($A41&gt;(ImplementationYear+(Appraisal_Period-1)),0,SUM(Quality!$E$20:$E$21)*$B41)))</f>
        <v>0</v>
      </c>
      <c r="AC41" s="97">
        <f>IF(Option2="No",0,IF($A41&lt;ImplementationYear,0,IF($A41&gt;(ImplementationYear+(Appraisal_Period-1)),0,'Mode change'!$E$36*$B41)))</f>
        <v>0</v>
      </c>
      <c r="AD41" s="97">
        <f>IF(Option2="No",0,IF($A41&lt;ImplementationYear,0,IF($A41&gt;(ImplementationYear+(Appraisal_Period-1)),0,'Mode change'!$E$37*$B41)))</f>
        <v>0</v>
      </c>
      <c r="AE41" s="97">
        <f>IF(Option2="No",0,IF($A41&lt;ImplementationYear,0,IF($A41&gt;(ImplementationYear+(Appraisal_Period-1)),0,'Road safety'!$E$22*$B41)))</f>
        <v>0</v>
      </c>
      <c r="AF41" s="97">
        <f>IF(Option2="No",0,IF($A41&lt;ImplementationYear,0,IF($A41&gt;(ImplementationYear+(Appraisal_Period-1)),0,'Reduction in car usage'!$E$46*$B41)))</f>
        <v>0</v>
      </c>
      <c r="AG41" s="97">
        <f>IF(Option2="No",0,IF($A41&lt;ImplementationYear,0,IF($A41&gt;(ImplementationYear+(Appraisal_Period-1)),0,'Reduction in car usage'!$E$47*$B41)))</f>
        <v>0</v>
      </c>
      <c r="AH41" s="97">
        <f>IF(Option2="No",0,IF($A41&lt;ImplementationYear,0,IF($A41&gt;(ImplementationYear+(Appraisal_Period-1)),0,'Reduction in car usage'!$E$48*$B41)))</f>
        <v>0</v>
      </c>
      <c r="AJ41" s="94">
        <f>IF(Option3="No",0,IF($A41=ImplementationYear,('Project details'!$P$10-'Project details'!$D$10)*VLOOKUP(Year_cost_estimate,'Time-series parameters'!$B$11:$C$89,2,FALSE)*$B41*(1+Contingency),0))</f>
        <v>0</v>
      </c>
      <c r="AK41" s="94">
        <f>IF(Option3="No",0,IF($A41&lt;ImplementationYear,0,IF($A41&gt;(ImplementationYear+(Appraisal_Period-1)),0,('Project details'!$P$11-'Project details'!$D$11)*VLOOKUP(Year_cost_estimate,'Time-series parameters'!$B$11:$C$89,2,0))*$B41))</f>
        <v>0</v>
      </c>
      <c r="AL41" s="94">
        <f>IF(Option3="No",0,IF($A41=ImplementationYear,('Project details'!$P$12-'Project details'!$D$12)*VLOOKUP(Year_cost_estimate,'Time-series parameters'!$B$11:$C$89,2,FALSE)*$B41,0))</f>
        <v>0</v>
      </c>
      <c r="AM41" s="97">
        <f>IF(Option3="No",0,IF($A41&lt;ImplementationYear,0,IF($A41&gt;(ImplementationYear+(Appraisal_Period-1)),0,Health!$F$21*$B41)))</f>
        <v>0</v>
      </c>
      <c r="AN41" s="97">
        <f>IF(Option3="No",0,IF($A41&lt;ImplementationYear,0,IF($A41&gt;(ImplementationYear+(Appraisal_Period-1)),0,Health!$F$22*$B41)))</f>
        <v>0</v>
      </c>
      <c r="AO41" s="97">
        <f>IF(Option3="No",0,IF($A41&lt;ImplementationYear,0,IF($A41&gt;(ImplementationYear+(Appraisal_Period-1)),0,SUM('Travel time'!$F$22:$F$23)*$B41)))</f>
        <v>0</v>
      </c>
      <c r="AP41" s="97">
        <f>IF(Option3="No",0,IF($A41&lt;ImplementationYear,0,IF($A41&gt;(ImplementationYear+(Appraisal_Period-1)),0,SUM('Travel time'!$F$20:$F$21)*$B41)))</f>
        <v>0</v>
      </c>
      <c r="AQ41" s="97">
        <f>IF(Option3="No",0,IF($A41&lt;ImplementationYear,0,IF($A41&gt;(ImplementationYear+(Appraisal_Period-1)),0,SUM(Quality!$F$22:$F$23)*$B41)))</f>
        <v>0</v>
      </c>
      <c r="AR41" s="97">
        <f>IF(Option3="No",0,IF($A41&lt;ImplementationYear,0,IF($A41&gt;(ImplementationYear+(Appraisal_Period-1)),0,SUM(Quality!$F$20:$F$21)*$B41)))</f>
        <v>0</v>
      </c>
      <c r="AS41" s="97">
        <f>IF(Option3="No",0,IF($A41&lt;ImplementationYear,0,IF($A41&gt;(ImplementationYear+(Appraisal_Period-1)),0,'Mode change'!$F$36*$B41)))</f>
        <v>0</v>
      </c>
      <c r="AT41" s="97">
        <f>IF(Option3="No",0,IF($A41&lt;ImplementationYear,0,IF($A41&gt;(ImplementationYear+(Appraisal_Period-1)),0,'Mode change'!$F$37*$B41)))</f>
        <v>0</v>
      </c>
      <c r="AU41" s="97">
        <f>IF(Option3="No",0,IF($A41&lt;ImplementationYear,0,IF($A41&gt;(ImplementationYear+(Appraisal_Period-1)),0,'Road safety'!$F$22*$B41)))</f>
        <v>0</v>
      </c>
      <c r="AV41" s="97">
        <f>IF(Option3="No",0,IF($A41&lt;ImplementationYear,0,IF($A41&gt;(ImplementationYear+(Appraisal_Period-1)),0,'Reduction in car usage'!$F$46*$B41)))</f>
        <v>0</v>
      </c>
      <c r="AW41" s="97">
        <f>IF(Option3="No",0,IF($A41&lt;ImplementationYear,0,IF($A41&gt;(ImplementationYear+(Appraisal_Period-1)),0,'Reduction in car usage'!$F$47*$B41)))</f>
        <v>0</v>
      </c>
      <c r="AX41" s="97">
        <f>IF(Option3="No",0,IF($A41&lt;ImplementationYear,0,IF($A41&gt;(ImplementationYear+(Appraisal_Period-1)),0,'Reduction in car usage'!$F$48*$B41)))</f>
        <v>0</v>
      </c>
    </row>
    <row r="42" spans="1:50">
      <c r="A42" s="335">
        <v>2037</v>
      </c>
      <c r="B42" s="62">
        <f>VLOOKUP($A42,'Time-series parameters'!$E$11:$H$89,3,FALSE)</f>
        <v>0.20013552905234069</v>
      </c>
      <c r="C42" s="89"/>
      <c r="D42" s="94">
        <f>IF(Option1="No",0,IF($A42=ImplementationYear,('Project details'!$H$10-'Project details'!$D$10)*VLOOKUP(Year_cost_estimate,'Time-series parameters'!$B$11:$C$89,2,FALSE)*$B42*(1+Contingency),0))</f>
        <v>0</v>
      </c>
      <c r="E42" s="94">
        <f>IF(Option1="No",0,IF($A42&lt;ImplementationYear,0,IF($A42&gt;(ImplementationYear+(Appraisal_Period-1)),0,('Project details'!$H$11-'Project details'!$D$11)*VLOOKUP(Year_cost_estimate,'Time-series parameters'!$B$11:$C$89,2,0))*$B42))</f>
        <v>0</v>
      </c>
      <c r="F42" s="94">
        <f>IF(Option1="No",0,IF($A42=ImplementationYear,('Project details'!$H$12-'Project details'!$D$12)*VLOOKUP(Year_cost_estimate,'Time-series parameters'!$B$11:$C$89,2,FALSE)*$B42,0))</f>
        <v>0</v>
      </c>
      <c r="G42" s="97">
        <f>IF(Option1="No",0,IF($A42&lt;ImplementationYear,0,IF($A42&gt;(ImplementationYear+(Appraisal_Period-1)),0,Health!$D$21*$B42)))</f>
        <v>0</v>
      </c>
      <c r="H42" s="97">
        <f>IF(Option1="No",0,IF($A42&lt;ImplementationYear,0,IF($A42&gt;(ImplementationYear+(Appraisal_Period-1)),0,Health!$D$22*$B42)))</f>
        <v>0</v>
      </c>
      <c r="I42" s="97">
        <f>IF(Option1="No",0,IF($A42&lt;ImplementationYear,0,IF($A42&gt;(ImplementationYear+(Appraisal_Period-1)),0,SUM('Travel time'!$D$22:$D$23)*$B42)))</f>
        <v>0</v>
      </c>
      <c r="J42" s="97">
        <f>IF(Option1="No",0,IF($A42&lt;ImplementationYear,0,IF($A42&gt;(ImplementationYear+(Appraisal_Period-1)),0,SUM('Travel time'!$D$20:$D$21)*$B42)))</f>
        <v>0</v>
      </c>
      <c r="K42" s="97">
        <f>IF(Option1="No",0,IF($A42&lt;ImplementationYear,0,IF($A42&gt;(ImplementationYear+(Appraisal_Period-1)),0,SUM(Quality!$D$22:$D$23)*$B42)))</f>
        <v>0</v>
      </c>
      <c r="L42" s="97">
        <f>IF(Option1="No",0,IF($A42&lt;ImplementationYear,0,IF($A42&gt;(ImplementationYear+(Appraisal_Period-1)),0,SUM(Quality!$D$20:$D$21)*$B42)))</f>
        <v>0</v>
      </c>
      <c r="M42" s="97">
        <f>IF(Option1="No",0,IF($A42&lt;ImplementationYear,0,IF($A42&gt;(ImplementationYear+(Appraisal_Period-1)),0,'Mode change'!$D$36*$B42)))</f>
        <v>0</v>
      </c>
      <c r="N42" s="97">
        <f>IF(Option1="No",0,IF($A42&lt;ImplementationYear,0,IF($A42&gt;(ImplementationYear+(Appraisal_Period-1)),0,'Mode change'!$D$37*$B42)))</f>
        <v>0</v>
      </c>
      <c r="O42" s="97">
        <f>IF(Option1="No",0,IF($A42&lt;ImplementationYear,0,IF($A42&gt;(ImplementationYear+(Appraisal_Period-1)),0,'Road safety'!$D$22*$B42)))</f>
        <v>0</v>
      </c>
      <c r="P42" s="97">
        <f>IF(Option1="No",0,IF($A42&lt;ImplementationYear,0,IF($A42&gt;(ImplementationYear+(Appraisal_Period-1)),0,'Reduction in car usage'!$D$46*$B42)))</f>
        <v>0</v>
      </c>
      <c r="Q42" s="97">
        <f>IF(Option1="No",0,IF($A42&lt;ImplementationYear,0,IF($A42&gt;(ImplementationYear+(Appraisal_Period-1)),0,'Reduction in car usage'!$D$47*$B42)))</f>
        <v>0</v>
      </c>
      <c r="R42" s="97">
        <f>IF(Option1="No",0,IF($A42&lt;ImplementationYear,0,IF($A42&gt;(ImplementationYear+(Appraisal_Period-1)),0,'Reduction in car usage'!$D$48*$B42)))</f>
        <v>0</v>
      </c>
      <c r="S42" s="92"/>
      <c r="T42" s="94">
        <f>IF(Option2="No",0,IF($A42=ImplementationYear,('Project details'!$L$10-'Project details'!$D$10)*VLOOKUP(Year_cost_estimate,'Time-series parameters'!$B$11:$C$89,2,FALSE)*$B42*(1+Contingency),0))</f>
        <v>0</v>
      </c>
      <c r="U42" s="94">
        <f>IF(Option2="No",0,IF($A42&lt;ImplementationYear,0,IF($A42&gt;(ImplementationYear+(Appraisal_Period-1)),0,('Project details'!$L$11-'Project details'!$D$11)*VLOOKUP(Year_cost_estimate,'Time-series parameters'!$B$11:$C$89,2,0))*$B42))</f>
        <v>0</v>
      </c>
      <c r="V42" s="94">
        <f>IF(Option2="No",0,IF($A42=ImplementationYear,('Project details'!$L$12-'Project details'!$D$12)*VLOOKUP(Year_cost_estimate,'Time-series parameters'!$B$11:$C$89,2,FALSE)*$B42,0))</f>
        <v>0</v>
      </c>
      <c r="W42" s="97">
        <f>IF(Option2="No",0,IF($A42&lt;ImplementationYear,0,IF($A42&gt;(ImplementationYear+(Appraisal_Period-1)),0,Health!$E$21*$B42)))</f>
        <v>0</v>
      </c>
      <c r="X42" s="97">
        <f>IF(Option2="No",0,IF($A42&lt;ImplementationYear,0,IF($A42&gt;(ImplementationYear+(Appraisal_Period-1)),0,Health!$E$22*$B42)))</f>
        <v>0</v>
      </c>
      <c r="Y42" s="97">
        <f>IF(Option2="No",0,IF($A42&lt;ImplementationYear,0,IF($A42&gt;(ImplementationYear+(Appraisal_Period-1)),0,SUM('Travel time'!$E$22:$E$23)*$B42)))</f>
        <v>0</v>
      </c>
      <c r="Z42" s="97">
        <f>IF(Option2="No",0,IF($A42&lt;ImplementationYear,0,IF($A42&gt;(ImplementationYear+(Appraisal_Period-1)),0,SUM('Travel time'!$E$20:$E$21)*$B42)))</f>
        <v>0</v>
      </c>
      <c r="AA42" s="97">
        <f>IF(Option2="No",0,IF($A42&lt;ImplementationYear,0,IF($A42&gt;(ImplementationYear+(Appraisal_Period-1)),0,SUM(Quality!$E$22:$E$23)*$B42)))</f>
        <v>0</v>
      </c>
      <c r="AB42" s="97">
        <f>IF(Option2="No",0,IF($A42&lt;ImplementationYear,0,IF($A42&gt;(ImplementationYear+(Appraisal_Period-1)),0,SUM(Quality!$E$20:$E$21)*$B42)))</f>
        <v>0</v>
      </c>
      <c r="AC42" s="97">
        <f>IF(Option2="No",0,IF($A42&lt;ImplementationYear,0,IF($A42&gt;(ImplementationYear+(Appraisal_Period-1)),0,'Mode change'!$E$36*$B42)))</f>
        <v>0</v>
      </c>
      <c r="AD42" s="97">
        <f>IF(Option2="No",0,IF($A42&lt;ImplementationYear,0,IF($A42&gt;(ImplementationYear+(Appraisal_Period-1)),0,'Mode change'!$E$37*$B42)))</f>
        <v>0</v>
      </c>
      <c r="AE42" s="97">
        <f>IF(Option2="No",0,IF($A42&lt;ImplementationYear,0,IF($A42&gt;(ImplementationYear+(Appraisal_Period-1)),0,'Road safety'!$E$22*$B42)))</f>
        <v>0</v>
      </c>
      <c r="AF42" s="97">
        <f>IF(Option2="No",0,IF($A42&lt;ImplementationYear,0,IF($A42&gt;(ImplementationYear+(Appraisal_Period-1)),0,'Reduction in car usage'!$E$46*$B42)))</f>
        <v>0</v>
      </c>
      <c r="AG42" s="97">
        <f>IF(Option2="No",0,IF($A42&lt;ImplementationYear,0,IF($A42&gt;(ImplementationYear+(Appraisal_Period-1)),0,'Reduction in car usage'!$E$47*$B42)))</f>
        <v>0</v>
      </c>
      <c r="AH42" s="97">
        <f>IF(Option2="No",0,IF($A42&lt;ImplementationYear,0,IF($A42&gt;(ImplementationYear+(Appraisal_Period-1)),0,'Reduction in car usage'!$E$48*$B42)))</f>
        <v>0</v>
      </c>
      <c r="AJ42" s="94">
        <f>IF(Option3="No",0,IF($A42=ImplementationYear,('Project details'!$P$10-'Project details'!$D$10)*VLOOKUP(Year_cost_estimate,'Time-series parameters'!$B$11:$C$89,2,FALSE)*$B42*(1+Contingency),0))</f>
        <v>0</v>
      </c>
      <c r="AK42" s="94">
        <f>IF(Option3="No",0,IF($A42&lt;ImplementationYear,0,IF($A42&gt;(ImplementationYear+(Appraisal_Period-1)),0,('Project details'!$P$11-'Project details'!$D$11)*VLOOKUP(Year_cost_estimate,'Time-series parameters'!$B$11:$C$89,2,0))*$B42))</f>
        <v>0</v>
      </c>
      <c r="AL42" s="94">
        <f>IF(Option3="No",0,IF($A42=ImplementationYear,('Project details'!$P$12-'Project details'!$D$12)*VLOOKUP(Year_cost_estimate,'Time-series parameters'!$B$11:$C$89,2,FALSE)*$B42,0))</f>
        <v>0</v>
      </c>
      <c r="AM42" s="97">
        <f>IF(Option3="No",0,IF($A42&lt;ImplementationYear,0,IF($A42&gt;(ImplementationYear+(Appraisal_Period-1)),0,Health!$F$21*$B42)))</f>
        <v>0</v>
      </c>
      <c r="AN42" s="97">
        <f>IF(Option3="No",0,IF($A42&lt;ImplementationYear,0,IF($A42&gt;(ImplementationYear+(Appraisal_Period-1)),0,Health!$F$22*$B42)))</f>
        <v>0</v>
      </c>
      <c r="AO42" s="97">
        <f>IF(Option3="No",0,IF($A42&lt;ImplementationYear,0,IF($A42&gt;(ImplementationYear+(Appraisal_Period-1)),0,SUM('Travel time'!$F$22:$F$23)*$B42)))</f>
        <v>0</v>
      </c>
      <c r="AP42" s="97">
        <f>IF(Option3="No",0,IF($A42&lt;ImplementationYear,0,IF($A42&gt;(ImplementationYear+(Appraisal_Period-1)),0,SUM('Travel time'!$F$20:$F$21)*$B42)))</f>
        <v>0</v>
      </c>
      <c r="AQ42" s="97">
        <f>IF(Option3="No",0,IF($A42&lt;ImplementationYear,0,IF($A42&gt;(ImplementationYear+(Appraisal_Period-1)),0,SUM(Quality!$F$22:$F$23)*$B42)))</f>
        <v>0</v>
      </c>
      <c r="AR42" s="97">
        <f>IF(Option3="No",0,IF($A42&lt;ImplementationYear,0,IF($A42&gt;(ImplementationYear+(Appraisal_Period-1)),0,SUM(Quality!$F$20:$F$21)*$B42)))</f>
        <v>0</v>
      </c>
      <c r="AS42" s="97">
        <f>IF(Option3="No",0,IF($A42&lt;ImplementationYear,0,IF($A42&gt;(ImplementationYear+(Appraisal_Period-1)),0,'Mode change'!$F$36*$B42)))</f>
        <v>0</v>
      </c>
      <c r="AT42" s="97">
        <f>IF(Option3="No",0,IF($A42&lt;ImplementationYear,0,IF($A42&gt;(ImplementationYear+(Appraisal_Period-1)),0,'Mode change'!$F$37*$B42)))</f>
        <v>0</v>
      </c>
      <c r="AU42" s="97">
        <f>IF(Option3="No",0,IF($A42&lt;ImplementationYear,0,IF($A42&gt;(ImplementationYear+(Appraisal_Period-1)),0,'Road safety'!$F$22*$B42)))</f>
        <v>0</v>
      </c>
      <c r="AV42" s="97">
        <f>IF(Option3="No",0,IF($A42&lt;ImplementationYear,0,IF($A42&gt;(ImplementationYear+(Appraisal_Period-1)),0,'Reduction in car usage'!$F$46*$B42)))</f>
        <v>0</v>
      </c>
      <c r="AW42" s="97">
        <f>IF(Option3="No",0,IF($A42&lt;ImplementationYear,0,IF($A42&gt;(ImplementationYear+(Appraisal_Period-1)),0,'Reduction in car usage'!$F$47*$B42)))</f>
        <v>0</v>
      </c>
      <c r="AX42" s="97">
        <f>IF(Option3="No",0,IF($A42&lt;ImplementationYear,0,IF($A42&gt;(ImplementationYear+(Appraisal_Period-1)),0,'Reduction in car usage'!$F$48*$B42)))</f>
        <v>0</v>
      </c>
    </row>
    <row r="43" spans="1:50">
      <c r="A43" s="335">
        <v>2038</v>
      </c>
      <c r="B43" s="62">
        <f>VLOOKUP($A43,'Time-series parameters'!$E$11:$H$89,3,FALSE)</f>
        <v>0.18812739730920025</v>
      </c>
      <c r="C43" s="89"/>
      <c r="D43" s="94">
        <f>IF(Option1="No",0,IF($A43=ImplementationYear,('Project details'!$H$10-'Project details'!$D$10)*VLOOKUP(Year_cost_estimate,'Time-series parameters'!$B$11:$C$89,2,FALSE)*$B43*(1+Contingency),0))</f>
        <v>0</v>
      </c>
      <c r="E43" s="94">
        <f>IF(Option1="No",0,IF($A43&lt;ImplementationYear,0,IF($A43&gt;(ImplementationYear+(Appraisal_Period-1)),0,('Project details'!$H$11-'Project details'!$D$11)*VLOOKUP(Year_cost_estimate,'Time-series parameters'!$B$11:$C$89,2,0))*$B43))</f>
        <v>0</v>
      </c>
      <c r="F43" s="94">
        <f>IF(Option1="No",0,IF($A43=ImplementationYear,('Project details'!$H$12-'Project details'!$D$12)*VLOOKUP(Year_cost_estimate,'Time-series parameters'!$B$11:$C$89,2,FALSE)*$B43,0))</f>
        <v>0</v>
      </c>
      <c r="G43" s="97">
        <f>IF(Option1="No",0,IF($A43&lt;ImplementationYear,0,IF($A43&gt;(ImplementationYear+(Appraisal_Period-1)),0,Health!$D$21*$B43)))</f>
        <v>0</v>
      </c>
      <c r="H43" s="97">
        <f>IF(Option1="No",0,IF($A43&lt;ImplementationYear,0,IF($A43&gt;(ImplementationYear+(Appraisal_Period-1)),0,Health!$D$22*$B43)))</f>
        <v>0</v>
      </c>
      <c r="I43" s="97">
        <f>IF(Option1="No",0,IF($A43&lt;ImplementationYear,0,IF($A43&gt;(ImplementationYear+(Appraisal_Period-1)),0,SUM('Travel time'!$D$22:$D$23)*$B43)))</f>
        <v>0</v>
      </c>
      <c r="J43" s="97">
        <f>IF(Option1="No",0,IF($A43&lt;ImplementationYear,0,IF($A43&gt;(ImplementationYear+(Appraisal_Period-1)),0,SUM('Travel time'!$D$20:$D$21)*$B43)))</f>
        <v>0</v>
      </c>
      <c r="K43" s="97">
        <f>IF(Option1="No",0,IF($A43&lt;ImplementationYear,0,IF($A43&gt;(ImplementationYear+(Appraisal_Period-1)),0,SUM(Quality!$D$22:$D$23)*$B43)))</f>
        <v>0</v>
      </c>
      <c r="L43" s="97">
        <f>IF(Option1="No",0,IF($A43&lt;ImplementationYear,0,IF($A43&gt;(ImplementationYear+(Appraisal_Period-1)),0,SUM(Quality!$D$20:$D$21)*$B43)))</f>
        <v>0</v>
      </c>
      <c r="M43" s="97">
        <f>IF(Option1="No",0,IF($A43&lt;ImplementationYear,0,IF($A43&gt;(ImplementationYear+(Appraisal_Period-1)),0,'Mode change'!$D$36*$B43)))</f>
        <v>0</v>
      </c>
      <c r="N43" s="97">
        <f>IF(Option1="No",0,IF($A43&lt;ImplementationYear,0,IF($A43&gt;(ImplementationYear+(Appraisal_Period-1)),0,'Mode change'!$D$37*$B43)))</f>
        <v>0</v>
      </c>
      <c r="O43" s="97">
        <f>IF(Option1="No",0,IF($A43&lt;ImplementationYear,0,IF($A43&gt;(ImplementationYear+(Appraisal_Period-1)),0,'Road safety'!$D$22*$B43)))</f>
        <v>0</v>
      </c>
      <c r="P43" s="97">
        <f>IF(Option1="No",0,IF($A43&lt;ImplementationYear,0,IF($A43&gt;(ImplementationYear+(Appraisal_Period-1)),0,'Reduction in car usage'!$D$46*$B43)))</f>
        <v>0</v>
      </c>
      <c r="Q43" s="97">
        <f>IF(Option1="No",0,IF($A43&lt;ImplementationYear,0,IF($A43&gt;(ImplementationYear+(Appraisal_Period-1)),0,'Reduction in car usage'!$D$47*$B43)))</f>
        <v>0</v>
      </c>
      <c r="R43" s="97">
        <f>IF(Option1="No",0,IF($A43&lt;ImplementationYear,0,IF($A43&gt;(ImplementationYear+(Appraisal_Period-1)),0,'Reduction in car usage'!$D$48*$B43)))</f>
        <v>0</v>
      </c>
      <c r="S43" s="92"/>
      <c r="T43" s="94">
        <f>IF(Option2="No",0,IF($A43=ImplementationYear,('Project details'!$L$10-'Project details'!$D$10)*VLOOKUP(Year_cost_estimate,'Time-series parameters'!$B$11:$C$89,2,FALSE)*$B43*(1+Contingency),0))</f>
        <v>0</v>
      </c>
      <c r="U43" s="94">
        <f>IF(Option2="No",0,IF($A43&lt;ImplementationYear,0,IF($A43&gt;(ImplementationYear+(Appraisal_Period-1)),0,('Project details'!$L$11-'Project details'!$D$11)*VLOOKUP(Year_cost_estimate,'Time-series parameters'!$B$11:$C$89,2,0))*$B43))</f>
        <v>0</v>
      </c>
      <c r="V43" s="94">
        <f>IF(Option2="No",0,IF($A43=ImplementationYear,('Project details'!$L$12-'Project details'!$D$12)*VLOOKUP(Year_cost_estimate,'Time-series parameters'!$B$11:$C$89,2,FALSE)*$B43,0))</f>
        <v>0</v>
      </c>
      <c r="W43" s="97">
        <f>IF(Option2="No",0,IF($A43&lt;ImplementationYear,0,IF($A43&gt;(ImplementationYear+(Appraisal_Period-1)),0,Health!$E$21*$B43)))</f>
        <v>0</v>
      </c>
      <c r="X43" s="97">
        <f>IF(Option2="No",0,IF($A43&lt;ImplementationYear,0,IF($A43&gt;(ImplementationYear+(Appraisal_Period-1)),0,Health!$E$22*$B43)))</f>
        <v>0</v>
      </c>
      <c r="Y43" s="97">
        <f>IF(Option2="No",0,IF($A43&lt;ImplementationYear,0,IF($A43&gt;(ImplementationYear+(Appraisal_Period-1)),0,SUM('Travel time'!$E$22:$E$23)*$B43)))</f>
        <v>0</v>
      </c>
      <c r="Z43" s="97">
        <f>IF(Option2="No",0,IF($A43&lt;ImplementationYear,0,IF($A43&gt;(ImplementationYear+(Appraisal_Period-1)),0,SUM('Travel time'!$E$20:$E$21)*$B43)))</f>
        <v>0</v>
      </c>
      <c r="AA43" s="97">
        <f>IF(Option2="No",0,IF($A43&lt;ImplementationYear,0,IF($A43&gt;(ImplementationYear+(Appraisal_Period-1)),0,SUM(Quality!$E$22:$E$23)*$B43)))</f>
        <v>0</v>
      </c>
      <c r="AB43" s="97">
        <f>IF(Option2="No",0,IF($A43&lt;ImplementationYear,0,IF($A43&gt;(ImplementationYear+(Appraisal_Period-1)),0,SUM(Quality!$E$20:$E$21)*$B43)))</f>
        <v>0</v>
      </c>
      <c r="AC43" s="97">
        <f>IF(Option2="No",0,IF($A43&lt;ImplementationYear,0,IF($A43&gt;(ImplementationYear+(Appraisal_Period-1)),0,'Mode change'!$E$36*$B43)))</f>
        <v>0</v>
      </c>
      <c r="AD43" s="97">
        <f>IF(Option2="No",0,IF($A43&lt;ImplementationYear,0,IF($A43&gt;(ImplementationYear+(Appraisal_Period-1)),0,'Mode change'!$E$37*$B43)))</f>
        <v>0</v>
      </c>
      <c r="AE43" s="97">
        <f>IF(Option2="No",0,IF($A43&lt;ImplementationYear,0,IF($A43&gt;(ImplementationYear+(Appraisal_Period-1)),0,'Road safety'!$E$22*$B43)))</f>
        <v>0</v>
      </c>
      <c r="AF43" s="97">
        <f>IF(Option2="No",0,IF($A43&lt;ImplementationYear,0,IF($A43&gt;(ImplementationYear+(Appraisal_Period-1)),0,'Reduction in car usage'!$E$46*$B43)))</f>
        <v>0</v>
      </c>
      <c r="AG43" s="97">
        <f>IF(Option2="No",0,IF($A43&lt;ImplementationYear,0,IF($A43&gt;(ImplementationYear+(Appraisal_Period-1)),0,'Reduction in car usage'!$E$47*$B43)))</f>
        <v>0</v>
      </c>
      <c r="AH43" s="97">
        <f>IF(Option2="No",0,IF($A43&lt;ImplementationYear,0,IF($A43&gt;(ImplementationYear+(Appraisal_Period-1)),0,'Reduction in car usage'!$E$48*$B43)))</f>
        <v>0</v>
      </c>
      <c r="AJ43" s="94">
        <f>IF(Option3="No",0,IF($A43=ImplementationYear,('Project details'!$P$10-'Project details'!$D$10)*VLOOKUP(Year_cost_estimate,'Time-series parameters'!$B$11:$C$89,2,FALSE)*$B43*(1+Contingency),0))</f>
        <v>0</v>
      </c>
      <c r="AK43" s="94">
        <f>IF(Option3="No",0,IF($A43&lt;ImplementationYear,0,IF($A43&gt;(ImplementationYear+(Appraisal_Period-1)),0,('Project details'!$P$11-'Project details'!$D$11)*VLOOKUP(Year_cost_estimate,'Time-series parameters'!$B$11:$C$89,2,0))*$B43))</f>
        <v>0</v>
      </c>
      <c r="AL43" s="94">
        <f>IF(Option3="No",0,IF($A43=ImplementationYear,('Project details'!$P$12-'Project details'!$D$12)*VLOOKUP(Year_cost_estimate,'Time-series parameters'!$B$11:$C$89,2,FALSE)*$B43,0))</f>
        <v>0</v>
      </c>
      <c r="AM43" s="97">
        <f>IF(Option3="No",0,IF($A43&lt;ImplementationYear,0,IF($A43&gt;(ImplementationYear+(Appraisal_Period-1)),0,Health!$F$21*$B43)))</f>
        <v>0</v>
      </c>
      <c r="AN43" s="97">
        <f>IF(Option3="No",0,IF($A43&lt;ImplementationYear,0,IF($A43&gt;(ImplementationYear+(Appraisal_Period-1)),0,Health!$F$22*$B43)))</f>
        <v>0</v>
      </c>
      <c r="AO43" s="97">
        <f>IF(Option3="No",0,IF($A43&lt;ImplementationYear,0,IF($A43&gt;(ImplementationYear+(Appraisal_Period-1)),0,SUM('Travel time'!$F$22:$F$23)*$B43)))</f>
        <v>0</v>
      </c>
      <c r="AP43" s="97">
        <f>IF(Option3="No",0,IF($A43&lt;ImplementationYear,0,IF($A43&gt;(ImplementationYear+(Appraisal_Period-1)),0,SUM('Travel time'!$F$20:$F$21)*$B43)))</f>
        <v>0</v>
      </c>
      <c r="AQ43" s="97">
        <f>IF(Option3="No",0,IF($A43&lt;ImplementationYear,0,IF($A43&gt;(ImplementationYear+(Appraisal_Period-1)),0,SUM(Quality!$F$22:$F$23)*$B43)))</f>
        <v>0</v>
      </c>
      <c r="AR43" s="97">
        <f>IF(Option3="No",0,IF($A43&lt;ImplementationYear,0,IF($A43&gt;(ImplementationYear+(Appraisal_Period-1)),0,SUM(Quality!$F$20:$F$21)*$B43)))</f>
        <v>0</v>
      </c>
      <c r="AS43" s="97">
        <f>IF(Option3="No",0,IF($A43&lt;ImplementationYear,0,IF($A43&gt;(ImplementationYear+(Appraisal_Period-1)),0,'Mode change'!$F$36*$B43)))</f>
        <v>0</v>
      </c>
      <c r="AT43" s="97">
        <f>IF(Option3="No",0,IF($A43&lt;ImplementationYear,0,IF($A43&gt;(ImplementationYear+(Appraisal_Period-1)),0,'Mode change'!$F$37*$B43)))</f>
        <v>0</v>
      </c>
      <c r="AU43" s="97">
        <f>IF(Option3="No",0,IF($A43&lt;ImplementationYear,0,IF($A43&gt;(ImplementationYear+(Appraisal_Period-1)),0,'Road safety'!$F$22*$B43)))</f>
        <v>0</v>
      </c>
      <c r="AV43" s="97">
        <f>IF(Option3="No",0,IF($A43&lt;ImplementationYear,0,IF($A43&gt;(ImplementationYear+(Appraisal_Period-1)),0,'Reduction in car usage'!$F$46*$B43)))</f>
        <v>0</v>
      </c>
      <c r="AW43" s="97">
        <f>IF(Option3="No",0,IF($A43&lt;ImplementationYear,0,IF($A43&gt;(ImplementationYear+(Appraisal_Period-1)),0,'Reduction in car usage'!$F$47*$B43)))</f>
        <v>0</v>
      </c>
      <c r="AX43" s="97">
        <f>IF(Option3="No",0,IF($A43&lt;ImplementationYear,0,IF($A43&gt;(ImplementationYear+(Appraisal_Period-1)),0,'Reduction in car usage'!$F$48*$B43)))</f>
        <v>0</v>
      </c>
    </row>
    <row r="44" spans="1:50">
      <c r="A44" s="335">
        <v>2039</v>
      </c>
      <c r="B44" s="62">
        <f>VLOOKUP($A44,'Time-series parameters'!$E$11:$H$89,3,FALSE)</f>
        <v>0.17683975347064823</v>
      </c>
      <c r="C44" s="89"/>
      <c r="D44" s="94">
        <f>IF(Option1="No",0,IF($A44=ImplementationYear,('Project details'!$H$10-'Project details'!$D$10)*VLOOKUP(Year_cost_estimate,'Time-series parameters'!$B$11:$C$89,2,FALSE)*$B44*(1+Contingency),0))</f>
        <v>0</v>
      </c>
      <c r="E44" s="94">
        <f>IF(Option1="No",0,IF($A44&lt;ImplementationYear,0,IF($A44&gt;(ImplementationYear+(Appraisal_Period-1)),0,('Project details'!$H$11-'Project details'!$D$11)*VLOOKUP(Year_cost_estimate,'Time-series parameters'!$B$11:$C$89,2,0))*$B44))</f>
        <v>0</v>
      </c>
      <c r="F44" s="94">
        <f>IF(Option1="No",0,IF($A44=ImplementationYear,('Project details'!$H$12-'Project details'!$D$12)*VLOOKUP(Year_cost_estimate,'Time-series parameters'!$B$11:$C$89,2,FALSE)*$B44,0))</f>
        <v>0</v>
      </c>
      <c r="G44" s="97">
        <f>IF(Option1="No",0,IF($A44&lt;ImplementationYear,0,IF($A44&gt;(ImplementationYear+(Appraisal_Period-1)),0,Health!$D$21*$B44)))</f>
        <v>0</v>
      </c>
      <c r="H44" s="97">
        <f>IF(Option1="No",0,IF($A44&lt;ImplementationYear,0,IF($A44&gt;(ImplementationYear+(Appraisal_Period-1)),0,Health!$D$22*$B44)))</f>
        <v>0</v>
      </c>
      <c r="I44" s="97">
        <f>IF(Option1="No",0,IF($A44&lt;ImplementationYear,0,IF($A44&gt;(ImplementationYear+(Appraisal_Period-1)),0,SUM('Travel time'!$D$22:$D$23)*$B44)))</f>
        <v>0</v>
      </c>
      <c r="J44" s="97">
        <f>IF(Option1="No",0,IF($A44&lt;ImplementationYear,0,IF($A44&gt;(ImplementationYear+(Appraisal_Period-1)),0,SUM('Travel time'!$D$20:$D$21)*$B44)))</f>
        <v>0</v>
      </c>
      <c r="K44" s="97">
        <f>IF(Option1="No",0,IF($A44&lt;ImplementationYear,0,IF($A44&gt;(ImplementationYear+(Appraisal_Period-1)),0,SUM(Quality!$D$22:$D$23)*$B44)))</f>
        <v>0</v>
      </c>
      <c r="L44" s="97">
        <f>IF(Option1="No",0,IF($A44&lt;ImplementationYear,0,IF($A44&gt;(ImplementationYear+(Appraisal_Period-1)),0,SUM(Quality!$D$20:$D$21)*$B44)))</f>
        <v>0</v>
      </c>
      <c r="M44" s="97">
        <f>IF(Option1="No",0,IF($A44&lt;ImplementationYear,0,IF($A44&gt;(ImplementationYear+(Appraisal_Period-1)),0,'Mode change'!$D$36*$B44)))</f>
        <v>0</v>
      </c>
      <c r="N44" s="97">
        <f>IF(Option1="No",0,IF($A44&lt;ImplementationYear,0,IF($A44&gt;(ImplementationYear+(Appraisal_Period-1)),0,'Mode change'!$D$37*$B44)))</f>
        <v>0</v>
      </c>
      <c r="O44" s="97">
        <f>IF(Option1="No",0,IF($A44&lt;ImplementationYear,0,IF($A44&gt;(ImplementationYear+(Appraisal_Period-1)),0,'Road safety'!$D$22*$B44)))</f>
        <v>0</v>
      </c>
      <c r="P44" s="97">
        <f>IF(Option1="No",0,IF($A44&lt;ImplementationYear,0,IF($A44&gt;(ImplementationYear+(Appraisal_Period-1)),0,'Reduction in car usage'!$D$46*$B44)))</f>
        <v>0</v>
      </c>
      <c r="Q44" s="97">
        <f>IF(Option1="No",0,IF($A44&lt;ImplementationYear,0,IF($A44&gt;(ImplementationYear+(Appraisal_Period-1)),0,'Reduction in car usage'!$D$47*$B44)))</f>
        <v>0</v>
      </c>
      <c r="R44" s="97">
        <f>IF(Option1="No",0,IF($A44&lt;ImplementationYear,0,IF($A44&gt;(ImplementationYear+(Appraisal_Period-1)),0,'Reduction in car usage'!$D$48*$B44)))</f>
        <v>0</v>
      </c>
      <c r="S44" s="92"/>
      <c r="T44" s="94">
        <f>IF(Option2="No",0,IF($A44=ImplementationYear,('Project details'!$L$10-'Project details'!$D$10)*VLOOKUP(Year_cost_estimate,'Time-series parameters'!$B$11:$C$89,2,FALSE)*$B44*(1+Contingency),0))</f>
        <v>0</v>
      </c>
      <c r="U44" s="94">
        <f>IF(Option2="No",0,IF($A44&lt;ImplementationYear,0,IF($A44&gt;(ImplementationYear+(Appraisal_Period-1)),0,('Project details'!$L$11-'Project details'!$D$11)*VLOOKUP(Year_cost_estimate,'Time-series parameters'!$B$11:$C$89,2,0))*$B44))</f>
        <v>0</v>
      </c>
      <c r="V44" s="94">
        <f>IF(Option2="No",0,IF($A44=ImplementationYear,('Project details'!$L$12-'Project details'!$D$12)*VLOOKUP(Year_cost_estimate,'Time-series parameters'!$B$11:$C$89,2,FALSE)*$B44,0))</f>
        <v>0</v>
      </c>
      <c r="W44" s="97">
        <f>IF(Option2="No",0,IF($A44&lt;ImplementationYear,0,IF($A44&gt;(ImplementationYear+(Appraisal_Period-1)),0,Health!$E$21*$B44)))</f>
        <v>0</v>
      </c>
      <c r="X44" s="97">
        <f>IF(Option2="No",0,IF($A44&lt;ImplementationYear,0,IF($A44&gt;(ImplementationYear+(Appraisal_Period-1)),0,Health!$E$22*$B44)))</f>
        <v>0</v>
      </c>
      <c r="Y44" s="97">
        <f>IF(Option2="No",0,IF($A44&lt;ImplementationYear,0,IF($A44&gt;(ImplementationYear+(Appraisal_Period-1)),0,SUM('Travel time'!$E$22:$E$23)*$B44)))</f>
        <v>0</v>
      </c>
      <c r="Z44" s="97">
        <f>IF(Option2="No",0,IF($A44&lt;ImplementationYear,0,IF($A44&gt;(ImplementationYear+(Appraisal_Period-1)),0,SUM('Travel time'!$E$20:$E$21)*$B44)))</f>
        <v>0</v>
      </c>
      <c r="AA44" s="97">
        <f>IF(Option2="No",0,IF($A44&lt;ImplementationYear,0,IF($A44&gt;(ImplementationYear+(Appraisal_Period-1)),0,SUM(Quality!$E$22:$E$23)*$B44)))</f>
        <v>0</v>
      </c>
      <c r="AB44" s="97">
        <f>IF(Option2="No",0,IF($A44&lt;ImplementationYear,0,IF($A44&gt;(ImplementationYear+(Appraisal_Period-1)),0,SUM(Quality!$E$20:$E$21)*$B44)))</f>
        <v>0</v>
      </c>
      <c r="AC44" s="97">
        <f>IF(Option2="No",0,IF($A44&lt;ImplementationYear,0,IF($A44&gt;(ImplementationYear+(Appraisal_Period-1)),0,'Mode change'!$E$36*$B44)))</f>
        <v>0</v>
      </c>
      <c r="AD44" s="97">
        <f>IF(Option2="No",0,IF($A44&lt;ImplementationYear,0,IF($A44&gt;(ImplementationYear+(Appraisal_Period-1)),0,'Mode change'!$E$37*$B44)))</f>
        <v>0</v>
      </c>
      <c r="AE44" s="97">
        <f>IF(Option2="No",0,IF($A44&lt;ImplementationYear,0,IF($A44&gt;(ImplementationYear+(Appraisal_Period-1)),0,'Road safety'!$E$22*$B44)))</f>
        <v>0</v>
      </c>
      <c r="AF44" s="97">
        <f>IF(Option2="No",0,IF($A44&lt;ImplementationYear,0,IF($A44&gt;(ImplementationYear+(Appraisal_Period-1)),0,'Reduction in car usage'!$E$46*$B44)))</f>
        <v>0</v>
      </c>
      <c r="AG44" s="97">
        <f>IF(Option2="No",0,IF($A44&lt;ImplementationYear,0,IF($A44&gt;(ImplementationYear+(Appraisal_Period-1)),0,'Reduction in car usage'!$E$47*$B44)))</f>
        <v>0</v>
      </c>
      <c r="AH44" s="97">
        <f>IF(Option2="No",0,IF($A44&lt;ImplementationYear,0,IF($A44&gt;(ImplementationYear+(Appraisal_Period-1)),0,'Reduction in car usage'!$E$48*$B44)))</f>
        <v>0</v>
      </c>
      <c r="AJ44" s="94">
        <f>IF(Option3="No",0,IF($A44=ImplementationYear,('Project details'!$P$10-'Project details'!$D$10)*VLOOKUP(Year_cost_estimate,'Time-series parameters'!$B$11:$C$89,2,FALSE)*$B44*(1+Contingency),0))</f>
        <v>0</v>
      </c>
      <c r="AK44" s="94">
        <f>IF(Option3="No",0,IF($A44&lt;ImplementationYear,0,IF($A44&gt;(ImplementationYear+(Appraisal_Period-1)),0,('Project details'!$P$11-'Project details'!$D$11)*VLOOKUP(Year_cost_estimate,'Time-series parameters'!$B$11:$C$89,2,0))*$B44))</f>
        <v>0</v>
      </c>
      <c r="AL44" s="94">
        <f>IF(Option3="No",0,IF($A44=ImplementationYear,('Project details'!$P$12-'Project details'!$D$12)*VLOOKUP(Year_cost_estimate,'Time-series parameters'!$B$11:$C$89,2,FALSE)*$B44,0))</f>
        <v>0</v>
      </c>
      <c r="AM44" s="97">
        <f>IF(Option3="No",0,IF($A44&lt;ImplementationYear,0,IF($A44&gt;(ImplementationYear+(Appraisal_Period-1)),0,Health!$F$21*$B44)))</f>
        <v>0</v>
      </c>
      <c r="AN44" s="97">
        <f>IF(Option3="No",0,IF($A44&lt;ImplementationYear,0,IF($A44&gt;(ImplementationYear+(Appraisal_Period-1)),0,Health!$F$22*$B44)))</f>
        <v>0</v>
      </c>
      <c r="AO44" s="97">
        <f>IF(Option3="No",0,IF($A44&lt;ImplementationYear,0,IF($A44&gt;(ImplementationYear+(Appraisal_Period-1)),0,SUM('Travel time'!$F$22:$F$23)*$B44)))</f>
        <v>0</v>
      </c>
      <c r="AP44" s="97">
        <f>IF(Option3="No",0,IF($A44&lt;ImplementationYear,0,IF($A44&gt;(ImplementationYear+(Appraisal_Period-1)),0,SUM('Travel time'!$F$20:$F$21)*$B44)))</f>
        <v>0</v>
      </c>
      <c r="AQ44" s="97">
        <f>IF(Option3="No",0,IF($A44&lt;ImplementationYear,0,IF($A44&gt;(ImplementationYear+(Appraisal_Period-1)),0,SUM(Quality!$F$22:$F$23)*$B44)))</f>
        <v>0</v>
      </c>
      <c r="AR44" s="97">
        <f>IF(Option3="No",0,IF($A44&lt;ImplementationYear,0,IF($A44&gt;(ImplementationYear+(Appraisal_Period-1)),0,SUM(Quality!$F$20:$F$21)*$B44)))</f>
        <v>0</v>
      </c>
      <c r="AS44" s="97">
        <f>IF(Option3="No",0,IF($A44&lt;ImplementationYear,0,IF($A44&gt;(ImplementationYear+(Appraisal_Period-1)),0,'Mode change'!$F$36*$B44)))</f>
        <v>0</v>
      </c>
      <c r="AT44" s="97">
        <f>IF(Option3="No",0,IF($A44&lt;ImplementationYear,0,IF($A44&gt;(ImplementationYear+(Appraisal_Period-1)),0,'Mode change'!$F$37*$B44)))</f>
        <v>0</v>
      </c>
      <c r="AU44" s="97">
        <f>IF(Option3="No",0,IF($A44&lt;ImplementationYear,0,IF($A44&gt;(ImplementationYear+(Appraisal_Period-1)),0,'Road safety'!$F$22*$B44)))</f>
        <v>0</v>
      </c>
      <c r="AV44" s="97">
        <f>IF(Option3="No",0,IF($A44&lt;ImplementationYear,0,IF($A44&gt;(ImplementationYear+(Appraisal_Period-1)),0,'Reduction in car usage'!$F$46*$B44)))</f>
        <v>0</v>
      </c>
      <c r="AW44" s="97">
        <f>IF(Option3="No",0,IF($A44&lt;ImplementationYear,0,IF($A44&gt;(ImplementationYear+(Appraisal_Period-1)),0,'Reduction in car usage'!$F$47*$B44)))</f>
        <v>0</v>
      </c>
      <c r="AX44" s="97">
        <f>IF(Option3="No",0,IF($A44&lt;ImplementationYear,0,IF($A44&gt;(ImplementationYear+(Appraisal_Period-1)),0,'Reduction in car usage'!$F$48*$B44)))</f>
        <v>0</v>
      </c>
    </row>
    <row r="45" spans="1:50">
      <c r="A45" s="335">
        <v>2040</v>
      </c>
      <c r="B45" s="62">
        <f>VLOOKUP($A45,'Time-series parameters'!$E$11:$H$89,3,FALSE)</f>
        <v>0.16622936826240933</v>
      </c>
      <c r="C45" s="89"/>
      <c r="D45" s="94">
        <f>IF(Option1="No",0,IF($A45=ImplementationYear,('Project details'!$H$10-'Project details'!$D$10)*VLOOKUP(Year_cost_estimate,'Time-series parameters'!$B$11:$C$89,2,FALSE)*$B45*(1+Contingency),0))</f>
        <v>0</v>
      </c>
      <c r="E45" s="94">
        <f>IF(Option1="No",0,IF($A45&lt;ImplementationYear,0,IF($A45&gt;(ImplementationYear+(Appraisal_Period-1)),0,('Project details'!$H$11-'Project details'!$D$11)*VLOOKUP(Year_cost_estimate,'Time-series parameters'!$B$11:$C$89,2,0))*$B45))</f>
        <v>0</v>
      </c>
      <c r="F45" s="94">
        <f>IF(Option1="No",0,IF($A45=ImplementationYear,('Project details'!$H$12-'Project details'!$D$12)*VLOOKUP(Year_cost_estimate,'Time-series parameters'!$B$11:$C$89,2,FALSE)*$B45,0))</f>
        <v>0</v>
      </c>
      <c r="G45" s="97">
        <f>IF(Option1="No",0,IF($A45&lt;ImplementationYear,0,IF($A45&gt;(ImplementationYear+(Appraisal_Period-1)),0,Health!$D$21*$B45)))</f>
        <v>0</v>
      </c>
      <c r="H45" s="97">
        <f>IF(Option1="No",0,IF($A45&lt;ImplementationYear,0,IF($A45&gt;(ImplementationYear+(Appraisal_Period-1)),0,Health!$D$22*$B45)))</f>
        <v>0</v>
      </c>
      <c r="I45" s="97">
        <f>IF(Option1="No",0,IF($A45&lt;ImplementationYear,0,IF($A45&gt;(ImplementationYear+(Appraisal_Period-1)),0,SUM('Travel time'!$D$22:$D$23)*$B45)))</f>
        <v>0</v>
      </c>
      <c r="J45" s="97">
        <f>IF(Option1="No",0,IF($A45&lt;ImplementationYear,0,IF($A45&gt;(ImplementationYear+(Appraisal_Period-1)),0,SUM('Travel time'!$D$20:$D$21)*$B45)))</f>
        <v>0</v>
      </c>
      <c r="K45" s="97">
        <f>IF(Option1="No",0,IF($A45&lt;ImplementationYear,0,IF($A45&gt;(ImplementationYear+(Appraisal_Period-1)),0,SUM(Quality!$D$22:$D$23)*$B45)))</f>
        <v>0</v>
      </c>
      <c r="L45" s="97">
        <f>IF(Option1="No",0,IF($A45&lt;ImplementationYear,0,IF($A45&gt;(ImplementationYear+(Appraisal_Period-1)),0,SUM(Quality!$D$20:$D$21)*$B45)))</f>
        <v>0</v>
      </c>
      <c r="M45" s="97">
        <f>IF(Option1="No",0,IF($A45&lt;ImplementationYear,0,IF($A45&gt;(ImplementationYear+(Appraisal_Period-1)),0,'Mode change'!$D$36*$B45)))</f>
        <v>0</v>
      </c>
      <c r="N45" s="97">
        <f>IF(Option1="No",0,IF($A45&lt;ImplementationYear,0,IF($A45&gt;(ImplementationYear+(Appraisal_Period-1)),0,'Mode change'!$D$37*$B45)))</f>
        <v>0</v>
      </c>
      <c r="O45" s="97">
        <f>IF(Option1="No",0,IF($A45&lt;ImplementationYear,0,IF($A45&gt;(ImplementationYear+(Appraisal_Period-1)),0,'Road safety'!$D$22*$B45)))</f>
        <v>0</v>
      </c>
      <c r="P45" s="97">
        <f>IF(Option1="No",0,IF($A45&lt;ImplementationYear,0,IF($A45&gt;(ImplementationYear+(Appraisal_Period-1)),0,'Reduction in car usage'!$D$46*$B45)))</f>
        <v>0</v>
      </c>
      <c r="Q45" s="97">
        <f>IF(Option1="No",0,IF($A45&lt;ImplementationYear,0,IF($A45&gt;(ImplementationYear+(Appraisal_Period-1)),0,'Reduction in car usage'!$D$47*$B45)))</f>
        <v>0</v>
      </c>
      <c r="R45" s="97">
        <f>IF(Option1="No",0,IF($A45&lt;ImplementationYear,0,IF($A45&gt;(ImplementationYear+(Appraisal_Period-1)),0,'Reduction in car usage'!$D$48*$B45)))</f>
        <v>0</v>
      </c>
      <c r="S45" s="92"/>
      <c r="T45" s="94">
        <f>IF(Option2="No",0,IF($A45=ImplementationYear,('Project details'!$L$10-'Project details'!$D$10)*VLOOKUP(Year_cost_estimate,'Time-series parameters'!$B$11:$C$89,2,FALSE)*$B45*(1+Contingency),0))</f>
        <v>0</v>
      </c>
      <c r="U45" s="94">
        <f>IF(Option2="No",0,IF($A45&lt;ImplementationYear,0,IF($A45&gt;(ImplementationYear+(Appraisal_Period-1)),0,('Project details'!$L$11-'Project details'!$D$11)*VLOOKUP(Year_cost_estimate,'Time-series parameters'!$B$11:$C$89,2,0))*$B45))</f>
        <v>0</v>
      </c>
      <c r="V45" s="94">
        <f>IF(Option2="No",0,IF($A45=ImplementationYear,('Project details'!$L$12-'Project details'!$D$12)*VLOOKUP(Year_cost_estimate,'Time-series parameters'!$B$11:$C$89,2,FALSE)*$B45,0))</f>
        <v>0</v>
      </c>
      <c r="W45" s="97">
        <f>IF(Option2="No",0,IF($A45&lt;ImplementationYear,0,IF($A45&gt;(ImplementationYear+(Appraisal_Period-1)),0,Health!$E$21*$B45)))</f>
        <v>0</v>
      </c>
      <c r="X45" s="97">
        <f>IF(Option2="No",0,IF($A45&lt;ImplementationYear,0,IF($A45&gt;(ImplementationYear+(Appraisal_Period-1)),0,Health!$E$22*$B45)))</f>
        <v>0</v>
      </c>
      <c r="Y45" s="97">
        <f>IF(Option2="No",0,IF($A45&lt;ImplementationYear,0,IF($A45&gt;(ImplementationYear+(Appraisal_Period-1)),0,SUM('Travel time'!$E$22:$E$23)*$B45)))</f>
        <v>0</v>
      </c>
      <c r="Z45" s="97">
        <f>IF(Option2="No",0,IF($A45&lt;ImplementationYear,0,IF($A45&gt;(ImplementationYear+(Appraisal_Period-1)),0,SUM('Travel time'!$E$20:$E$21)*$B45)))</f>
        <v>0</v>
      </c>
      <c r="AA45" s="97">
        <f>IF(Option2="No",0,IF($A45&lt;ImplementationYear,0,IF($A45&gt;(ImplementationYear+(Appraisal_Period-1)),0,SUM(Quality!$E$22:$E$23)*$B45)))</f>
        <v>0</v>
      </c>
      <c r="AB45" s="97">
        <f>IF(Option2="No",0,IF($A45&lt;ImplementationYear,0,IF($A45&gt;(ImplementationYear+(Appraisal_Period-1)),0,SUM(Quality!$E$20:$E$21)*$B45)))</f>
        <v>0</v>
      </c>
      <c r="AC45" s="97">
        <f>IF(Option2="No",0,IF($A45&lt;ImplementationYear,0,IF($A45&gt;(ImplementationYear+(Appraisal_Period-1)),0,'Mode change'!$E$36*$B45)))</f>
        <v>0</v>
      </c>
      <c r="AD45" s="97">
        <f>IF(Option2="No",0,IF($A45&lt;ImplementationYear,0,IF($A45&gt;(ImplementationYear+(Appraisal_Period-1)),0,'Mode change'!$E$37*$B45)))</f>
        <v>0</v>
      </c>
      <c r="AE45" s="97">
        <f>IF(Option2="No",0,IF($A45&lt;ImplementationYear,0,IF($A45&gt;(ImplementationYear+(Appraisal_Period-1)),0,'Road safety'!$E$22*$B45)))</f>
        <v>0</v>
      </c>
      <c r="AF45" s="97">
        <f>IF(Option2="No",0,IF($A45&lt;ImplementationYear,0,IF($A45&gt;(ImplementationYear+(Appraisal_Period-1)),0,'Reduction in car usage'!$E$46*$B45)))</f>
        <v>0</v>
      </c>
      <c r="AG45" s="97">
        <f>IF(Option2="No",0,IF($A45&lt;ImplementationYear,0,IF($A45&gt;(ImplementationYear+(Appraisal_Period-1)),0,'Reduction in car usage'!$E$47*$B45)))</f>
        <v>0</v>
      </c>
      <c r="AH45" s="97">
        <f>IF(Option2="No",0,IF($A45&lt;ImplementationYear,0,IF($A45&gt;(ImplementationYear+(Appraisal_Period-1)),0,'Reduction in car usage'!$E$48*$B45)))</f>
        <v>0</v>
      </c>
      <c r="AJ45" s="94">
        <f>IF(Option3="No",0,IF($A45=ImplementationYear,('Project details'!$P$10-'Project details'!$D$10)*VLOOKUP(Year_cost_estimate,'Time-series parameters'!$B$11:$C$89,2,FALSE)*$B45*(1+Contingency),0))</f>
        <v>0</v>
      </c>
      <c r="AK45" s="94">
        <f>IF(Option3="No",0,IF($A45&lt;ImplementationYear,0,IF($A45&gt;(ImplementationYear+(Appraisal_Period-1)),0,('Project details'!$P$11-'Project details'!$D$11)*VLOOKUP(Year_cost_estimate,'Time-series parameters'!$B$11:$C$89,2,0))*$B45))</f>
        <v>0</v>
      </c>
      <c r="AL45" s="94">
        <f>IF(Option3="No",0,IF($A45=ImplementationYear,('Project details'!$P$12-'Project details'!$D$12)*VLOOKUP(Year_cost_estimate,'Time-series parameters'!$B$11:$C$89,2,FALSE)*$B45,0))</f>
        <v>0</v>
      </c>
      <c r="AM45" s="97">
        <f>IF(Option3="No",0,IF($A45&lt;ImplementationYear,0,IF($A45&gt;(ImplementationYear+(Appraisal_Period-1)),0,Health!$F$21*$B45)))</f>
        <v>0</v>
      </c>
      <c r="AN45" s="97">
        <f>IF(Option3="No",0,IF($A45&lt;ImplementationYear,0,IF($A45&gt;(ImplementationYear+(Appraisal_Period-1)),0,Health!$F$22*$B45)))</f>
        <v>0</v>
      </c>
      <c r="AO45" s="97">
        <f>IF(Option3="No",0,IF($A45&lt;ImplementationYear,0,IF($A45&gt;(ImplementationYear+(Appraisal_Period-1)),0,SUM('Travel time'!$F$22:$F$23)*$B45)))</f>
        <v>0</v>
      </c>
      <c r="AP45" s="97">
        <f>IF(Option3="No",0,IF($A45&lt;ImplementationYear,0,IF($A45&gt;(ImplementationYear+(Appraisal_Period-1)),0,SUM('Travel time'!$F$20:$F$21)*$B45)))</f>
        <v>0</v>
      </c>
      <c r="AQ45" s="97">
        <f>IF(Option3="No",0,IF($A45&lt;ImplementationYear,0,IF($A45&gt;(ImplementationYear+(Appraisal_Period-1)),0,SUM(Quality!$F$22:$F$23)*$B45)))</f>
        <v>0</v>
      </c>
      <c r="AR45" s="97">
        <f>IF(Option3="No",0,IF($A45&lt;ImplementationYear,0,IF($A45&gt;(ImplementationYear+(Appraisal_Period-1)),0,SUM(Quality!$F$20:$F$21)*$B45)))</f>
        <v>0</v>
      </c>
      <c r="AS45" s="97">
        <f>IF(Option3="No",0,IF($A45&lt;ImplementationYear,0,IF($A45&gt;(ImplementationYear+(Appraisal_Period-1)),0,'Mode change'!$F$36*$B45)))</f>
        <v>0</v>
      </c>
      <c r="AT45" s="97">
        <f>IF(Option3="No",0,IF($A45&lt;ImplementationYear,0,IF($A45&gt;(ImplementationYear+(Appraisal_Period-1)),0,'Mode change'!$F$37*$B45)))</f>
        <v>0</v>
      </c>
      <c r="AU45" s="97">
        <f>IF(Option3="No",0,IF($A45&lt;ImplementationYear,0,IF($A45&gt;(ImplementationYear+(Appraisal_Period-1)),0,'Road safety'!$F$22*$B45)))</f>
        <v>0</v>
      </c>
      <c r="AV45" s="97">
        <f>IF(Option3="No",0,IF($A45&lt;ImplementationYear,0,IF($A45&gt;(ImplementationYear+(Appraisal_Period-1)),0,'Reduction in car usage'!$F$46*$B45)))</f>
        <v>0</v>
      </c>
      <c r="AW45" s="97">
        <f>IF(Option3="No",0,IF($A45&lt;ImplementationYear,0,IF($A45&gt;(ImplementationYear+(Appraisal_Period-1)),0,'Reduction in car usage'!$F$47*$B45)))</f>
        <v>0</v>
      </c>
      <c r="AX45" s="97">
        <f>IF(Option3="No",0,IF($A45&lt;ImplementationYear,0,IF($A45&gt;(ImplementationYear+(Appraisal_Period-1)),0,'Reduction in car usage'!$F$48*$B45)))</f>
        <v>0</v>
      </c>
    </row>
    <row r="46" spans="1:50">
      <c r="A46" s="335">
        <v>2041</v>
      </c>
      <c r="B46" s="62">
        <f>VLOOKUP($A46,'Time-series parameters'!$E$11:$H$89,3,FALSE)</f>
        <v>0.15625560616666478</v>
      </c>
      <c r="C46" s="89"/>
      <c r="D46" s="94">
        <f>IF(Option1="No",0,IF($A46=ImplementationYear,('Project details'!$H$10-'Project details'!$D$10)*VLOOKUP(Year_cost_estimate,'Time-series parameters'!$B$11:$C$89,2,FALSE)*$B46*(1+Contingency),0))</f>
        <v>0</v>
      </c>
      <c r="E46" s="94">
        <f>IF(Option1="No",0,IF($A46&lt;ImplementationYear,0,IF($A46&gt;(ImplementationYear+(Appraisal_Period-1)),0,('Project details'!$H$11-'Project details'!$D$11)*VLOOKUP(Year_cost_estimate,'Time-series parameters'!$B$11:$C$89,2,0))*$B46))</f>
        <v>0</v>
      </c>
      <c r="F46" s="94">
        <f>IF(Option1="No",0,IF($A46=ImplementationYear,('Project details'!$H$12-'Project details'!$D$12)*VLOOKUP(Year_cost_estimate,'Time-series parameters'!$B$11:$C$89,2,FALSE)*$B46,0))</f>
        <v>0</v>
      </c>
      <c r="G46" s="97">
        <f>IF(Option1="No",0,IF($A46&lt;ImplementationYear,0,IF($A46&gt;(ImplementationYear+(Appraisal_Period-1)),0,Health!$D$21*$B46)))</f>
        <v>0</v>
      </c>
      <c r="H46" s="97">
        <f>IF(Option1="No",0,IF($A46&lt;ImplementationYear,0,IF($A46&gt;(ImplementationYear+(Appraisal_Period-1)),0,Health!$D$22*$B46)))</f>
        <v>0</v>
      </c>
      <c r="I46" s="97">
        <f>IF(Option1="No",0,IF($A46&lt;ImplementationYear,0,IF($A46&gt;(ImplementationYear+(Appraisal_Period-1)),0,SUM('Travel time'!$D$22:$D$23)*$B46)))</f>
        <v>0</v>
      </c>
      <c r="J46" s="97">
        <f>IF(Option1="No",0,IF($A46&lt;ImplementationYear,0,IF($A46&gt;(ImplementationYear+(Appraisal_Period-1)),0,SUM('Travel time'!$D$20:$D$21)*$B46)))</f>
        <v>0</v>
      </c>
      <c r="K46" s="97">
        <f>IF(Option1="No",0,IF($A46&lt;ImplementationYear,0,IF($A46&gt;(ImplementationYear+(Appraisal_Period-1)),0,SUM(Quality!$D$22:$D$23)*$B46)))</f>
        <v>0</v>
      </c>
      <c r="L46" s="97">
        <f>IF(Option1="No",0,IF($A46&lt;ImplementationYear,0,IF($A46&gt;(ImplementationYear+(Appraisal_Period-1)),0,SUM(Quality!$D$20:$D$21)*$B46)))</f>
        <v>0</v>
      </c>
      <c r="M46" s="97">
        <f>IF(Option1="No",0,IF($A46&lt;ImplementationYear,0,IF($A46&gt;(ImplementationYear+(Appraisal_Period-1)),0,'Mode change'!$D$36*$B46)))</f>
        <v>0</v>
      </c>
      <c r="N46" s="97">
        <f>IF(Option1="No",0,IF($A46&lt;ImplementationYear,0,IF($A46&gt;(ImplementationYear+(Appraisal_Period-1)),0,'Mode change'!$D$37*$B46)))</f>
        <v>0</v>
      </c>
      <c r="O46" s="97">
        <f>IF(Option1="No",0,IF($A46&lt;ImplementationYear,0,IF($A46&gt;(ImplementationYear+(Appraisal_Period-1)),0,'Road safety'!$D$22*$B46)))</f>
        <v>0</v>
      </c>
      <c r="P46" s="97">
        <f>IF(Option1="No",0,IF($A46&lt;ImplementationYear,0,IF($A46&gt;(ImplementationYear+(Appraisal_Period-1)),0,'Reduction in car usage'!$D$46*$B46)))</f>
        <v>0</v>
      </c>
      <c r="Q46" s="97">
        <f>IF(Option1="No",0,IF($A46&lt;ImplementationYear,0,IF($A46&gt;(ImplementationYear+(Appraisal_Period-1)),0,'Reduction in car usage'!$D$47*$B46)))</f>
        <v>0</v>
      </c>
      <c r="R46" s="97">
        <f>IF(Option1="No",0,IF($A46&lt;ImplementationYear,0,IF($A46&gt;(ImplementationYear+(Appraisal_Period-1)),0,'Reduction in car usage'!$D$48*$B46)))</f>
        <v>0</v>
      </c>
      <c r="S46" s="92"/>
      <c r="T46" s="94">
        <f>IF(Option2="No",0,IF($A46=ImplementationYear,('Project details'!$L$10-'Project details'!$D$10)*VLOOKUP(Year_cost_estimate,'Time-series parameters'!$B$11:$C$89,2,FALSE)*$B46*(1+Contingency),0))</f>
        <v>0</v>
      </c>
      <c r="U46" s="94">
        <f>IF(Option2="No",0,IF($A46&lt;ImplementationYear,0,IF($A46&gt;(ImplementationYear+(Appraisal_Period-1)),0,('Project details'!$L$11-'Project details'!$D$11)*VLOOKUP(Year_cost_estimate,'Time-series parameters'!$B$11:$C$89,2,0))*$B46))</f>
        <v>0</v>
      </c>
      <c r="V46" s="94">
        <f>IF(Option2="No",0,IF($A46=ImplementationYear,('Project details'!$L$12-'Project details'!$D$12)*VLOOKUP(Year_cost_estimate,'Time-series parameters'!$B$11:$C$89,2,FALSE)*$B46,0))</f>
        <v>0</v>
      </c>
      <c r="W46" s="97">
        <f>IF(Option2="No",0,IF($A46&lt;ImplementationYear,0,IF($A46&gt;(ImplementationYear+(Appraisal_Period-1)),0,Health!$E$21*$B46)))</f>
        <v>0</v>
      </c>
      <c r="X46" s="97">
        <f>IF(Option2="No",0,IF($A46&lt;ImplementationYear,0,IF($A46&gt;(ImplementationYear+(Appraisal_Period-1)),0,Health!$E$22*$B46)))</f>
        <v>0</v>
      </c>
      <c r="Y46" s="97">
        <f>IF(Option2="No",0,IF($A46&lt;ImplementationYear,0,IF($A46&gt;(ImplementationYear+(Appraisal_Period-1)),0,SUM('Travel time'!$E$22:$E$23)*$B46)))</f>
        <v>0</v>
      </c>
      <c r="Z46" s="97">
        <f>IF(Option2="No",0,IF($A46&lt;ImplementationYear,0,IF($A46&gt;(ImplementationYear+(Appraisal_Period-1)),0,SUM('Travel time'!$E$20:$E$21)*$B46)))</f>
        <v>0</v>
      </c>
      <c r="AA46" s="97">
        <f>IF(Option2="No",0,IF($A46&lt;ImplementationYear,0,IF($A46&gt;(ImplementationYear+(Appraisal_Period-1)),0,SUM(Quality!$E$22:$E$23)*$B46)))</f>
        <v>0</v>
      </c>
      <c r="AB46" s="97">
        <f>IF(Option2="No",0,IF($A46&lt;ImplementationYear,0,IF($A46&gt;(ImplementationYear+(Appraisal_Period-1)),0,SUM(Quality!$E$20:$E$21)*$B46)))</f>
        <v>0</v>
      </c>
      <c r="AC46" s="97">
        <f>IF(Option2="No",0,IF($A46&lt;ImplementationYear,0,IF($A46&gt;(ImplementationYear+(Appraisal_Period-1)),0,'Mode change'!$E$36*$B46)))</f>
        <v>0</v>
      </c>
      <c r="AD46" s="97">
        <f>IF(Option2="No",0,IF($A46&lt;ImplementationYear,0,IF($A46&gt;(ImplementationYear+(Appraisal_Period-1)),0,'Mode change'!$E$37*$B46)))</f>
        <v>0</v>
      </c>
      <c r="AE46" s="97">
        <f>IF(Option2="No",0,IF($A46&lt;ImplementationYear,0,IF($A46&gt;(ImplementationYear+(Appraisal_Period-1)),0,'Road safety'!$E$22*$B46)))</f>
        <v>0</v>
      </c>
      <c r="AF46" s="97">
        <f>IF(Option2="No",0,IF($A46&lt;ImplementationYear,0,IF($A46&gt;(ImplementationYear+(Appraisal_Period-1)),0,'Reduction in car usage'!$E$46*$B46)))</f>
        <v>0</v>
      </c>
      <c r="AG46" s="97">
        <f>IF(Option2="No",0,IF($A46&lt;ImplementationYear,0,IF($A46&gt;(ImplementationYear+(Appraisal_Period-1)),0,'Reduction in car usage'!$E$47*$B46)))</f>
        <v>0</v>
      </c>
      <c r="AH46" s="97">
        <f>IF(Option2="No",0,IF($A46&lt;ImplementationYear,0,IF($A46&gt;(ImplementationYear+(Appraisal_Period-1)),0,'Reduction in car usage'!$E$48*$B46)))</f>
        <v>0</v>
      </c>
      <c r="AJ46" s="94">
        <f>IF(Option3="No",0,IF($A46=ImplementationYear,('Project details'!$P$10-'Project details'!$D$10)*VLOOKUP(Year_cost_estimate,'Time-series parameters'!$B$11:$C$89,2,FALSE)*$B46*(1+Contingency),0))</f>
        <v>0</v>
      </c>
      <c r="AK46" s="94">
        <f>IF(Option3="No",0,IF($A46&lt;ImplementationYear,0,IF($A46&gt;(ImplementationYear+(Appraisal_Period-1)),0,('Project details'!$P$11-'Project details'!$D$11)*VLOOKUP(Year_cost_estimate,'Time-series parameters'!$B$11:$C$89,2,0))*$B46))</f>
        <v>0</v>
      </c>
      <c r="AL46" s="94">
        <f>IF(Option3="No",0,IF($A46=ImplementationYear,('Project details'!$P$12-'Project details'!$D$12)*VLOOKUP(Year_cost_estimate,'Time-series parameters'!$B$11:$C$89,2,FALSE)*$B46,0))</f>
        <v>0</v>
      </c>
      <c r="AM46" s="97">
        <f>IF(Option3="No",0,IF($A46&lt;ImplementationYear,0,IF($A46&gt;(ImplementationYear+(Appraisal_Period-1)),0,Health!$F$21*$B46)))</f>
        <v>0</v>
      </c>
      <c r="AN46" s="97">
        <f>IF(Option3="No",0,IF($A46&lt;ImplementationYear,0,IF($A46&gt;(ImplementationYear+(Appraisal_Period-1)),0,Health!$F$22*$B46)))</f>
        <v>0</v>
      </c>
      <c r="AO46" s="97">
        <f>IF(Option3="No",0,IF($A46&lt;ImplementationYear,0,IF($A46&gt;(ImplementationYear+(Appraisal_Period-1)),0,SUM('Travel time'!$F$22:$F$23)*$B46)))</f>
        <v>0</v>
      </c>
      <c r="AP46" s="97">
        <f>IF(Option3="No",0,IF($A46&lt;ImplementationYear,0,IF($A46&gt;(ImplementationYear+(Appraisal_Period-1)),0,SUM('Travel time'!$F$20:$F$21)*$B46)))</f>
        <v>0</v>
      </c>
      <c r="AQ46" s="97">
        <f>IF(Option3="No",0,IF($A46&lt;ImplementationYear,0,IF($A46&gt;(ImplementationYear+(Appraisal_Period-1)),0,SUM(Quality!$F$22:$F$23)*$B46)))</f>
        <v>0</v>
      </c>
      <c r="AR46" s="97">
        <f>IF(Option3="No",0,IF($A46&lt;ImplementationYear,0,IF($A46&gt;(ImplementationYear+(Appraisal_Period-1)),0,SUM(Quality!$F$20:$F$21)*$B46)))</f>
        <v>0</v>
      </c>
      <c r="AS46" s="97">
        <f>IF(Option3="No",0,IF($A46&lt;ImplementationYear,0,IF($A46&gt;(ImplementationYear+(Appraisal_Period-1)),0,'Mode change'!$F$36*$B46)))</f>
        <v>0</v>
      </c>
      <c r="AT46" s="97">
        <f>IF(Option3="No",0,IF($A46&lt;ImplementationYear,0,IF($A46&gt;(ImplementationYear+(Appraisal_Period-1)),0,'Mode change'!$F$37*$B46)))</f>
        <v>0</v>
      </c>
      <c r="AU46" s="97">
        <f>IF(Option3="No",0,IF($A46&lt;ImplementationYear,0,IF($A46&gt;(ImplementationYear+(Appraisal_Period-1)),0,'Road safety'!$F$22*$B46)))</f>
        <v>0</v>
      </c>
      <c r="AV46" s="97">
        <f>IF(Option3="No",0,IF($A46&lt;ImplementationYear,0,IF($A46&gt;(ImplementationYear+(Appraisal_Period-1)),0,'Reduction in car usage'!$F$46*$B46)))</f>
        <v>0</v>
      </c>
      <c r="AW46" s="97">
        <f>IF(Option3="No",0,IF($A46&lt;ImplementationYear,0,IF($A46&gt;(ImplementationYear+(Appraisal_Period-1)),0,'Reduction in car usage'!$F$47*$B46)))</f>
        <v>0</v>
      </c>
      <c r="AX46" s="97">
        <f>IF(Option3="No",0,IF($A46&lt;ImplementationYear,0,IF($A46&gt;(ImplementationYear+(Appraisal_Period-1)),0,'Reduction in car usage'!$F$48*$B46)))</f>
        <v>0</v>
      </c>
    </row>
    <row r="47" spans="1:50">
      <c r="A47" s="335">
        <v>2042</v>
      </c>
      <c r="B47" s="62">
        <f>VLOOKUP($A47,'Time-series parameters'!$E$11:$H$89,3,FALSE)</f>
        <v>0.14688026979666491</v>
      </c>
      <c r="C47" s="89"/>
      <c r="D47" s="94">
        <f>IF(Option1="No",0,IF($A47=ImplementationYear,('Project details'!$H$10-'Project details'!$D$10)*VLOOKUP(Year_cost_estimate,'Time-series parameters'!$B$11:$C$89,2,FALSE)*$B47*(1+Contingency),0))</f>
        <v>0</v>
      </c>
      <c r="E47" s="94">
        <f>IF(Option1="No",0,IF($A47&lt;ImplementationYear,0,IF($A47&gt;(ImplementationYear+(Appraisal_Period-1)),0,('Project details'!$H$11-'Project details'!$D$11)*VLOOKUP(Year_cost_estimate,'Time-series parameters'!$B$11:$C$89,2,0))*$B47))</f>
        <v>0</v>
      </c>
      <c r="F47" s="94">
        <f>IF(Option1="No",0,IF($A47=ImplementationYear,('Project details'!$H$12-'Project details'!$D$12)*VLOOKUP(Year_cost_estimate,'Time-series parameters'!$B$11:$C$89,2,FALSE)*$B47,0))</f>
        <v>0</v>
      </c>
      <c r="G47" s="97">
        <f>IF(Option1="No",0,IF($A47&lt;ImplementationYear,0,IF($A47&gt;(ImplementationYear+(Appraisal_Period-1)),0,Health!$D$21*$B47)))</f>
        <v>0</v>
      </c>
      <c r="H47" s="97">
        <f>IF(Option1="No",0,IF($A47&lt;ImplementationYear,0,IF($A47&gt;(ImplementationYear+(Appraisal_Period-1)),0,Health!$D$22*$B47)))</f>
        <v>0</v>
      </c>
      <c r="I47" s="97">
        <f>IF(Option1="No",0,IF($A47&lt;ImplementationYear,0,IF($A47&gt;(ImplementationYear+(Appraisal_Period-1)),0,SUM('Travel time'!$D$22:$D$23)*$B47)))</f>
        <v>0</v>
      </c>
      <c r="J47" s="97">
        <f>IF(Option1="No",0,IF($A47&lt;ImplementationYear,0,IF($A47&gt;(ImplementationYear+(Appraisal_Period-1)),0,SUM('Travel time'!$D$20:$D$21)*$B47)))</f>
        <v>0</v>
      </c>
      <c r="K47" s="97">
        <f>IF(Option1="No",0,IF($A47&lt;ImplementationYear,0,IF($A47&gt;(ImplementationYear+(Appraisal_Period-1)),0,SUM(Quality!$D$22:$D$23)*$B47)))</f>
        <v>0</v>
      </c>
      <c r="L47" s="97">
        <f>IF(Option1="No",0,IF($A47&lt;ImplementationYear,0,IF($A47&gt;(ImplementationYear+(Appraisal_Period-1)),0,SUM(Quality!$D$20:$D$21)*$B47)))</f>
        <v>0</v>
      </c>
      <c r="M47" s="97">
        <f>IF(Option1="No",0,IF($A47&lt;ImplementationYear,0,IF($A47&gt;(ImplementationYear+(Appraisal_Period-1)),0,'Mode change'!$D$36*$B47)))</f>
        <v>0</v>
      </c>
      <c r="N47" s="97">
        <f>IF(Option1="No",0,IF($A47&lt;ImplementationYear,0,IF($A47&gt;(ImplementationYear+(Appraisal_Period-1)),0,'Mode change'!$D$37*$B47)))</f>
        <v>0</v>
      </c>
      <c r="O47" s="97">
        <f>IF(Option1="No",0,IF($A47&lt;ImplementationYear,0,IF($A47&gt;(ImplementationYear+(Appraisal_Period-1)),0,'Road safety'!$D$22*$B47)))</f>
        <v>0</v>
      </c>
      <c r="P47" s="97">
        <f>IF(Option1="No",0,IF($A47&lt;ImplementationYear,0,IF($A47&gt;(ImplementationYear+(Appraisal_Period-1)),0,'Reduction in car usage'!$D$46*$B47)))</f>
        <v>0</v>
      </c>
      <c r="Q47" s="97">
        <f>IF(Option1="No",0,IF($A47&lt;ImplementationYear,0,IF($A47&gt;(ImplementationYear+(Appraisal_Period-1)),0,'Reduction in car usage'!$D$47*$B47)))</f>
        <v>0</v>
      </c>
      <c r="R47" s="97">
        <f>IF(Option1="No",0,IF($A47&lt;ImplementationYear,0,IF($A47&gt;(ImplementationYear+(Appraisal_Period-1)),0,'Reduction in car usage'!$D$48*$B47)))</f>
        <v>0</v>
      </c>
      <c r="S47" s="92"/>
      <c r="T47" s="94">
        <f>IF(Option2="No",0,IF($A47=ImplementationYear,('Project details'!$L$10-'Project details'!$D$10)*VLOOKUP(Year_cost_estimate,'Time-series parameters'!$B$11:$C$89,2,FALSE)*$B47*(1+Contingency),0))</f>
        <v>0</v>
      </c>
      <c r="U47" s="94">
        <f>IF(Option2="No",0,IF($A47&lt;ImplementationYear,0,IF($A47&gt;(ImplementationYear+(Appraisal_Period-1)),0,('Project details'!$L$11-'Project details'!$D$11)*VLOOKUP(Year_cost_estimate,'Time-series parameters'!$B$11:$C$89,2,0))*$B47))</f>
        <v>0</v>
      </c>
      <c r="V47" s="94">
        <f>IF(Option2="No",0,IF($A47=ImplementationYear,('Project details'!$L$12-'Project details'!$D$12)*VLOOKUP(Year_cost_estimate,'Time-series parameters'!$B$11:$C$89,2,FALSE)*$B47,0))</f>
        <v>0</v>
      </c>
      <c r="W47" s="97">
        <f>IF(Option2="No",0,IF($A47&lt;ImplementationYear,0,IF($A47&gt;(ImplementationYear+(Appraisal_Period-1)),0,Health!$E$21*$B47)))</f>
        <v>0</v>
      </c>
      <c r="X47" s="97">
        <f>IF(Option2="No",0,IF($A47&lt;ImplementationYear,0,IF($A47&gt;(ImplementationYear+(Appraisal_Period-1)),0,Health!$E$22*$B47)))</f>
        <v>0</v>
      </c>
      <c r="Y47" s="97">
        <f>IF(Option2="No",0,IF($A47&lt;ImplementationYear,0,IF($A47&gt;(ImplementationYear+(Appraisal_Period-1)),0,SUM('Travel time'!$E$22:$E$23)*$B47)))</f>
        <v>0</v>
      </c>
      <c r="Z47" s="97">
        <f>IF(Option2="No",0,IF($A47&lt;ImplementationYear,0,IF($A47&gt;(ImplementationYear+(Appraisal_Period-1)),0,SUM('Travel time'!$E$20:$E$21)*$B47)))</f>
        <v>0</v>
      </c>
      <c r="AA47" s="97">
        <f>IF(Option2="No",0,IF($A47&lt;ImplementationYear,0,IF($A47&gt;(ImplementationYear+(Appraisal_Period-1)),0,SUM(Quality!$E$22:$E$23)*$B47)))</f>
        <v>0</v>
      </c>
      <c r="AB47" s="97">
        <f>IF(Option2="No",0,IF($A47&lt;ImplementationYear,0,IF($A47&gt;(ImplementationYear+(Appraisal_Period-1)),0,SUM(Quality!$E$20:$E$21)*$B47)))</f>
        <v>0</v>
      </c>
      <c r="AC47" s="97">
        <f>IF(Option2="No",0,IF($A47&lt;ImplementationYear,0,IF($A47&gt;(ImplementationYear+(Appraisal_Period-1)),0,'Mode change'!$E$36*$B47)))</f>
        <v>0</v>
      </c>
      <c r="AD47" s="97">
        <f>IF(Option2="No",0,IF($A47&lt;ImplementationYear,0,IF($A47&gt;(ImplementationYear+(Appraisal_Period-1)),0,'Mode change'!$E$37*$B47)))</f>
        <v>0</v>
      </c>
      <c r="AE47" s="97">
        <f>IF(Option2="No",0,IF($A47&lt;ImplementationYear,0,IF($A47&gt;(ImplementationYear+(Appraisal_Period-1)),0,'Road safety'!$E$22*$B47)))</f>
        <v>0</v>
      </c>
      <c r="AF47" s="97">
        <f>IF(Option2="No",0,IF($A47&lt;ImplementationYear,0,IF($A47&gt;(ImplementationYear+(Appraisal_Period-1)),0,'Reduction in car usage'!$E$46*$B47)))</f>
        <v>0</v>
      </c>
      <c r="AG47" s="97">
        <f>IF(Option2="No",0,IF($A47&lt;ImplementationYear,0,IF($A47&gt;(ImplementationYear+(Appraisal_Period-1)),0,'Reduction in car usage'!$E$47*$B47)))</f>
        <v>0</v>
      </c>
      <c r="AH47" s="97">
        <f>IF(Option2="No",0,IF($A47&lt;ImplementationYear,0,IF($A47&gt;(ImplementationYear+(Appraisal_Period-1)),0,'Reduction in car usage'!$E$48*$B47)))</f>
        <v>0</v>
      </c>
      <c r="AJ47" s="94">
        <f>IF(Option3="No",0,IF($A47=ImplementationYear,('Project details'!$P$10-'Project details'!$D$10)*VLOOKUP(Year_cost_estimate,'Time-series parameters'!$B$11:$C$89,2,FALSE)*$B47*(1+Contingency),0))</f>
        <v>0</v>
      </c>
      <c r="AK47" s="94">
        <f>IF(Option3="No",0,IF($A47&lt;ImplementationYear,0,IF($A47&gt;(ImplementationYear+(Appraisal_Period-1)),0,('Project details'!$P$11-'Project details'!$D$11)*VLOOKUP(Year_cost_estimate,'Time-series parameters'!$B$11:$C$89,2,0))*$B47))</f>
        <v>0</v>
      </c>
      <c r="AL47" s="94">
        <f>IF(Option3="No",0,IF($A47=ImplementationYear,('Project details'!$P$12-'Project details'!$D$12)*VLOOKUP(Year_cost_estimate,'Time-series parameters'!$B$11:$C$89,2,FALSE)*$B47,0))</f>
        <v>0</v>
      </c>
      <c r="AM47" s="97">
        <f>IF(Option3="No",0,IF($A47&lt;ImplementationYear,0,IF($A47&gt;(ImplementationYear+(Appraisal_Period-1)),0,Health!$F$21*$B47)))</f>
        <v>0</v>
      </c>
      <c r="AN47" s="97">
        <f>IF(Option3="No",0,IF($A47&lt;ImplementationYear,0,IF($A47&gt;(ImplementationYear+(Appraisal_Period-1)),0,Health!$F$22*$B47)))</f>
        <v>0</v>
      </c>
      <c r="AO47" s="97">
        <f>IF(Option3="No",0,IF($A47&lt;ImplementationYear,0,IF($A47&gt;(ImplementationYear+(Appraisal_Period-1)),0,SUM('Travel time'!$F$22:$F$23)*$B47)))</f>
        <v>0</v>
      </c>
      <c r="AP47" s="97">
        <f>IF(Option3="No",0,IF($A47&lt;ImplementationYear,0,IF($A47&gt;(ImplementationYear+(Appraisal_Period-1)),0,SUM('Travel time'!$F$20:$F$21)*$B47)))</f>
        <v>0</v>
      </c>
      <c r="AQ47" s="97">
        <f>IF(Option3="No",0,IF($A47&lt;ImplementationYear,0,IF($A47&gt;(ImplementationYear+(Appraisal_Period-1)),0,SUM(Quality!$F$22:$F$23)*$B47)))</f>
        <v>0</v>
      </c>
      <c r="AR47" s="97">
        <f>IF(Option3="No",0,IF($A47&lt;ImplementationYear,0,IF($A47&gt;(ImplementationYear+(Appraisal_Period-1)),0,SUM(Quality!$F$20:$F$21)*$B47)))</f>
        <v>0</v>
      </c>
      <c r="AS47" s="97">
        <f>IF(Option3="No",0,IF($A47&lt;ImplementationYear,0,IF($A47&gt;(ImplementationYear+(Appraisal_Period-1)),0,'Mode change'!$F$36*$B47)))</f>
        <v>0</v>
      </c>
      <c r="AT47" s="97">
        <f>IF(Option3="No",0,IF($A47&lt;ImplementationYear,0,IF($A47&gt;(ImplementationYear+(Appraisal_Period-1)),0,'Mode change'!$F$37*$B47)))</f>
        <v>0</v>
      </c>
      <c r="AU47" s="97">
        <f>IF(Option3="No",0,IF($A47&lt;ImplementationYear,0,IF($A47&gt;(ImplementationYear+(Appraisal_Period-1)),0,'Road safety'!$F$22*$B47)))</f>
        <v>0</v>
      </c>
      <c r="AV47" s="97">
        <f>IF(Option3="No",0,IF($A47&lt;ImplementationYear,0,IF($A47&gt;(ImplementationYear+(Appraisal_Period-1)),0,'Reduction in car usage'!$F$46*$B47)))</f>
        <v>0</v>
      </c>
      <c r="AW47" s="97">
        <f>IF(Option3="No",0,IF($A47&lt;ImplementationYear,0,IF($A47&gt;(ImplementationYear+(Appraisal_Period-1)),0,'Reduction in car usage'!$F$47*$B47)))</f>
        <v>0</v>
      </c>
      <c r="AX47" s="97">
        <f>IF(Option3="No",0,IF($A47&lt;ImplementationYear,0,IF($A47&gt;(ImplementationYear+(Appraisal_Period-1)),0,'Reduction in car usage'!$F$48*$B47)))</f>
        <v>0</v>
      </c>
    </row>
    <row r="48" spans="1:50">
      <c r="A48" s="335">
        <v>2043</v>
      </c>
      <c r="B48" s="62">
        <f>VLOOKUP($A48,'Time-series parameters'!$E$11:$H$89,3,FALSE)</f>
        <v>0.13806745360886502</v>
      </c>
      <c r="C48" s="89"/>
      <c r="D48" s="94">
        <f>IF(Option1="No",0,IF($A48=ImplementationYear,('Project details'!$H$10-'Project details'!$D$10)*VLOOKUP(Year_cost_estimate,'Time-series parameters'!$B$11:$C$89,2,FALSE)*$B48*(1+Contingency),0))</f>
        <v>0</v>
      </c>
      <c r="E48" s="94">
        <f>IF(Option1="No",0,IF($A48&lt;ImplementationYear,0,IF($A48&gt;(ImplementationYear+(Appraisal_Period-1)),0,('Project details'!$H$11-'Project details'!$D$11)*VLOOKUP(Year_cost_estimate,'Time-series parameters'!$B$11:$C$89,2,0))*$B48))</f>
        <v>0</v>
      </c>
      <c r="F48" s="94">
        <f>IF(Option1="No",0,IF($A48=ImplementationYear,('Project details'!$H$12-'Project details'!$D$12)*VLOOKUP(Year_cost_estimate,'Time-series parameters'!$B$11:$C$89,2,FALSE)*$B48,0))</f>
        <v>0</v>
      </c>
      <c r="G48" s="97">
        <f>IF(Option1="No",0,IF($A48&lt;ImplementationYear,0,IF($A48&gt;(ImplementationYear+(Appraisal_Period-1)),0,Health!$D$21*$B48)))</f>
        <v>0</v>
      </c>
      <c r="H48" s="97">
        <f>IF(Option1="No",0,IF($A48&lt;ImplementationYear,0,IF($A48&gt;(ImplementationYear+(Appraisal_Period-1)),0,Health!$D$22*$B48)))</f>
        <v>0</v>
      </c>
      <c r="I48" s="97">
        <f>IF(Option1="No",0,IF($A48&lt;ImplementationYear,0,IF($A48&gt;(ImplementationYear+(Appraisal_Period-1)),0,SUM('Travel time'!$D$22:$D$23)*$B48)))</f>
        <v>0</v>
      </c>
      <c r="J48" s="97">
        <f>IF(Option1="No",0,IF($A48&lt;ImplementationYear,0,IF($A48&gt;(ImplementationYear+(Appraisal_Period-1)),0,SUM('Travel time'!$D$20:$D$21)*$B48)))</f>
        <v>0</v>
      </c>
      <c r="K48" s="97">
        <f>IF(Option1="No",0,IF($A48&lt;ImplementationYear,0,IF($A48&gt;(ImplementationYear+(Appraisal_Period-1)),0,SUM(Quality!$D$22:$D$23)*$B48)))</f>
        <v>0</v>
      </c>
      <c r="L48" s="97">
        <f>IF(Option1="No",0,IF($A48&lt;ImplementationYear,0,IF($A48&gt;(ImplementationYear+(Appraisal_Period-1)),0,SUM(Quality!$D$20:$D$21)*$B48)))</f>
        <v>0</v>
      </c>
      <c r="M48" s="97">
        <f>IF(Option1="No",0,IF($A48&lt;ImplementationYear,0,IF($A48&gt;(ImplementationYear+(Appraisal_Period-1)),0,'Mode change'!$D$36*$B48)))</f>
        <v>0</v>
      </c>
      <c r="N48" s="97">
        <f>IF(Option1="No",0,IF($A48&lt;ImplementationYear,0,IF($A48&gt;(ImplementationYear+(Appraisal_Period-1)),0,'Mode change'!$D$37*$B48)))</f>
        <v>0</v>
      </c>
      <c r="O48" s="97">
        <f>IF(Option1="No",0,IF($A48&lt;ImplementationYear,0,IF($A48&gt;(ImplementationYear+(Appraisal_Period-1)),0,'Road safety'!$D$22*$B48)))</f>
        <v>0</v>
      </c>
      <c r="P48" s="97">
        <f>IF(Option1="No",0,IF($A48&lt;ImplementationYear,0,IF($A48&gt;(ImplementationYear+(Appraisal_Period-1)),0,'Reduction in car usage'!$D$46*$B48)))</f>
        <v>0</v>
      </c>
      <c r="Q48" s="97">
        <f>IF(Option1="No",0,IF($A48&lt;ImplementationYear,0,IF($A48&gt;(ImplementationYear+(Appraisal_Period-1)),0,'Reduction in car usage'!$D$47*$B48)))</f>
        <v>0</v>
      </c>
      <c r="R48" s="97">
        <f>IF(Option1="No",0,IF($A48&lt;ImplementationYear,0,IF($A48&gt;(ImplementationYear+(Appraisal_Period-1)),0,'Reduction in car usage'!$D$48*$B48)))</f>
        <v>0</v>
      </c>
      <c r="S48" s="92"/>
      <c r="T48" s="94">
        <f>IF(Option2="No",0,IF($A48=ImplementationYear,('Project details'!$L$10-'Project details'!$D$10)*VLOOKUP(Year_cost_estimate,'Time-series parameters'!$B$11:$C$89,2,FALSE)*$B48*(1+Contingency),0))</f>
        <v>0</v>
      </c>
      <c r="U48" s="94">
        <f>IF(Option2="No",0,IF($A48&lt;ImplementationYear,0,IF($A48&gt;(ImplementationYear+(Appraisal_Period-1)),0,('Project details'!$L$11-'Project details'!$D$11)*VLOOKUP(Year_cost_estimate,'Time-series parameters'!$B$11:$C$89,2,0))*$B48))</f>
        <v>0</v>
      </c>
      <c r="V48" s="94">
        <f>IF(Option2="No",0,IF($A48=ImplementationYear,('Project details'!$L$12-'Project details'!$D$12)*VLOOKUP(Year_cost_estimate,'Time-series parameters'!$B$11:$C$89,2,FALSE)*$B48,0))</f>
        <v>0</v>
      </c>
      <c r="W48" s="97">
        <f>IF(Option2="No",0,IF($A48&lt;ImplementationYear,0,IF($A48&gt;(ImplementationYear+(Appraisal_Period-1)),0,Health!$E$21*$B48)))</f>
        <v>0</v>
      </c>
      <c r="X48" s="97">
        <f>IF(Option2="No",0,IF($A48&lt;ImplementationYear,0,IF($A48&gt;(ImplementationYear+(Appraisal_Period-1)),0,Health!$E$22*$B48)))</f>
        <v>0</v>
      </c>
      <c r="Y48" s="97">
        <f>IF(Option2="No",0,IF($A48&lt;ImplementationYear,0,IF($A48&gt;(ImplementationYear+(Appraisal_Period-1)),0,SUM('Travel time'!$E$22:$E$23)*$B48)))</f>
        <v>0</v>
      </c>
      <c r="Z48" s="97">
        <f>IF(Option2="No",0,IF($A48&lt;ImplementationYear,0,IF($A48&gt;(ImplementationYear+(Appraisal_Period-1)),0,SUM('Travel time'!$E$20:$E$21)*$B48)))</f>
        <v>0</v>
      </c>
      <c r="AA48" s="97">
        <f>IF(Option2="No",0,IF($A48&lt;ImplementationYear,0,IF($A48&gt;(ImplementationYear+(Appraisal_Period-1)),0,SUM(Quality!$E$22:$E$23)*$B48)))</f>
        <v>0</v>
      </c>
      <c r="AB48" s="97">
        <f>IF(Option2="No",0,IF($A48&lt;ImplementationYear,0,IF($A48&gt;(ImplementationYear+(Appraisal_Period-1)),0,SUM(Quality!$E$20:$E$21)*$B48)))</f>
        <v>0</v>
      </c>
      <c r="AC48" s="97">
        <f>IF(Option2="No",0,IF($A48&lt;ImplementationYear,0,IF($A48&gt;(ImplementationYear+(Appraisal_Period-1)),0,'Mode change'!$E$36*$B48)))</f>
        <v>0</v>
      </c>
      <c r="AD48" s="97">
        <f>IF(Option2="No",0,IF($A48&lt;ImplementationYear,0,IF($A48&gt;(ImplementationYear+(Appraisal_Period-1)),0,'Mode change'!$E$37*$B48)))</f>
        <v>0</v>
      </c>
      <c r="AE48" s="97">
        <f>IF(Option2="No",0,IF($A48&lt;ImplementationYear,0,IF($A48&gt;(ImplementationYear+(Appraisal_Period-1)),0,'Road safety'!$E$22*$B48)))</f>
        <v>0</v>
      </c>
      <c r="AF48" s="97">
        <f>IF(Option2="No",0,IF($A48&lt;ImplementationYear,0,IF($A48&gt;(ImplementationYear+(Appraisal_Period-1)),0,'Reduction in car usage'!$E$46*$B48)))</f>
        <v>0</v>
      </c>
      <c r="AG48" s="97">
        <f>IF(Option2="No",0,IF($A48&lt;ImplementationYear,0,IF($A48&gt;(ImplementationYear+(Appraisal_Period-1)),0,'Reduction in car usage'!$E$47*$B48)))</f>
        <v>0</v>
      </c>
      <c r="AH48" s="97">
        <f>IF(Option2="No",0,IF($A48&lt;ImplementationYear,0,IF($A48&gt;(ImplementationYear+(Appraisal_Period-1)),0,'Reduction in car usage'!$E$48*$B48)))</f>
        <v>0</v>
      </c>
      <c r="AJ48" s="94">
        <f>IF(Option3="No",0,IF($A48=ImplementationYear,('Project details'!$P$10-'Project details'!$D$10)*VLOOKUP(Year_cost_estimate,'Time-series parameters'!$B$11:$C$89,2,FALSE)*$B48*(1+Contingency),0))</f>
        <v>0</v>
      </c>
      <c r="AK48" s="94">
        <f>IF(Option3="No",0,IF($A48&lt;ImplementationYear,0,IF($A48&gt;(ImplementationYear+(Appraisal_Period-1)),0,('Project details'!$P$11-'Project details'!$D$11)*VLOOKUP(Year_cost_estimate,'Time-series parameters'!$B$11:$C$89,2,0))*$B48))</f>
        <v>0</v>
      </c>
      <c r="AL48" s="94">
        <f>IF(Option3="No",0,IF($A48=ImplementationYear,('Project details'!$P$12-'Project details'!$D$12)*VLOOKUP(Year_cost_estimate,'Time-series parameters'!$B$11:$C$89,2,FALSE)*$B48,0))</f>
        <v>0</v>
      </c>
      <c r="AM48" s="97">
        <f>IF(Option3="No",0,IF($A48&lt;ImplementationYear,0,IF($A48&gt;(ImplementationYear+(Appraisal_Period-1)),0,Health!$F$21*$B48)))</f>
        <v>0</v>
      </c>
      <c r="AN48" s="97">
        <f>IF(Option3="No",0,IF($A48&lt;ImplementationYear,0,IF($A48&gt;(ImplementationYear+(Appraisal_Period-1)),0,Health!$F$22*$B48)))</f>
        <v>0</v>
      </c>
      <c r="AO48" s="97">
        <f>IF(Option3="No",0,IF($A48&lt;ImplementationYear,0,IF($A48&gt;(ImplementationYear+(Appraisal_Period-1)),0,SUM('Travel time'!$F$22:$F$23)*$B48)))</f>
        <v>0</v>
      </c>
      <c r="AP48" s="97">
        <f>IF(Option3="No",0,IF($A48&lt;ImplementationYear,0,IF($A48&gt;(ImplementationYear+(Appraisal_Period-1)),0,SUM('Travel time'!$F$20:$F$21)*$B48)))</f>
        <v>0</v>
      </c>
      <c r="AQ48" s="97">
        <f>IF(Option3="No",0,IF($A48&lt;ImplementationYear,0,IF($A48&gt;(ImplementationYear+(Appraisal_Period-1)),0,SUM(Quality!$F$22:$F$23)*$B48)))</f>
        <v>0</v>
      </c>
      <c r="AR48" s="97">
        <f>IF(Option3="No",0,IF($A48&lt;ImplementationYear,0,IF($A48&gt;(ImplementationYear+(Appraisal_Period-1)),0,SUM(Quality!$F$20:$F$21)*$B48)))</f>
        <v>0</v>
      </c>
      <c r="AS48" s="97">
        <f>IF(Option3="No",0,IF($A48&lt;ImplementationYear,0,IF($A48&gt;(ImplementationYear+(Appraisal_Period-1)),0,'Mode change'!$F$36*$B48)))</f>
        <v>0</v>
      </c>
      <c r="AT48" s="97">
        <f>IF(Option3="No",0,IF($A48&lt;ImplementationYear,0,IF($A48&gt;(ImplementationYear+(Appraisal_Period-1)),0,'Mode change'!$F$37*$B48)))</f>
        <v>0</v>
      </c>
      <c r="AU48" s="97">
        <f>IF(Option3="No",0,IF($A48&lt;ImplementationYear,0,IF($A48&gt;(ImplementationYear+(Appraisal_Period-1)),0,'Road safety'!$F$22*$B48)))</f>
        <v>0</v>
      </c>
      <c r="AV48" s="97">
        <f>IF(Option3="No",0,IF($A48&lt;ImplementationYear,0,IF($A48&gt;(ImplementationYear+(Appraisal_Period-1)),0,'Reduction in car usage'!$F$46*$B48)))</f>
        <v>0</v>
      </c>
      <c r="AW48" s="97">
        <f>IF(Option3="No",0,IF($A48&lt;ImplementationYear,0,IF($A48&gt;(ImplementationYear+(Appraisal_Period-1)),0,'Reduction in car usage'!$F$47*$B48)))</f>
        <v>0</v>
      </c>
      <c r="AX48" s="97">
        <f>IF(Option3="No",0,IF($A48&lt;ImplementationYear,0,IF($A48&gt;(ImplementationYear+(Appraisal_Period-1)),0,'Reduction in car usage'!$F$48*$B48)))</f>
        <v>0</v>
      </c>
    </row>
    <row r="49" spans="1:50">
      <c r="A49" s="335">
        <v>2044</v>
      </c>
      <c r="B49" s="62">
        <f>VLOOKUP($A49,'Time-series parameters'!$E$11:$H$89,3,FALSE)</f>
        <v>0.12978340639233313</v>
      </c>
      <c r="C49" s="89"/>
      <c r="D49" s="94">
        <f>IF(Option1="No",0,IF($A49=ImplementationYear,('Project details'!$H$10-'Project details'!$D$10)*VLOOKUP(Year_cost_estimate,'Time-series parameters'!$B$11:$C$89,2,FALSE)*$B49*(1+Contingency),0))</f>
        <v>0</v>
      </c>
      <c r="E49" s="94">
        <f>IF(Option1="No",0,IF($A49&lt;ImplementationYear,0,IF($A49&gt;(ImplementationYear+(Appraisal_Period-1)),0,('Project details'!$H$11-'Project details'!$D$11)*VLOOKUP(Year_cost_estimate,'Time-series parameters'!$B$11:$C$89,2,0))*$B49))</f>
        <v>0</v>
      </c>
      <c r="F49" s="94">
        <f>IF(Option1="No",0,IF($A49=ImplementationYear,('Project details'!$H$12-'Project details'!$D$12)*VLOOKUP(Year_cost_estimate,'Time-series parameters'!$B$11:$C$89,2,FALSE)*$B49,0))</f>
        <v>0</v>
      </c>
      <c r="G49" s="97">
        <f>IF(Option1="No",0,IF($A49&lt;ImplementationYear,0,IF($A49&gt;(ImplementationYear+(Appraisal_Period-1)),0,Health!$D$21*$B49)))</f>
        <v>0</v>
      </c>
      <c r="H49" s="97">
        <f>IF(Option1="No",0,IF($A49&lt;ImplementationYear,0,IF($A49&gt;(ImplementationYear+(Appraisal_Period-1)),0,Health!$D$22*$B49)))</f>
        <v>0</v>
      </c>
      <c r="I49" s="97">
        <f>IF(Option1="No",0,IF($A49&lt;ImplementationYear,0,IF($A49&gt;(ImplementationYear+(Appraisal_Period-1)),0,SUM('Travel time'!$D$22:$D$23)*$B49)))</f>
        <v>0</v>
      </c>
      <c r="J49" s="97">
        <f>IF(Option1="No",0,IF($A49&lt;ImplementationYear,0,IF($A49&gt;(ImplementationYear+(Appraisal_Period-1)),0,SUM('Travel time'!$D$20:$D$21)*$B49)))</f>
        <v>0</v>
      </c>
      <c r="K49" s="97">
        <f>IF(Option1="No",0,IF($A49&lt;ImplementationYear,0,IF($A49&gt;(ImplementationYear+(Appraisal_Period-1)),0,SUM(Quality!$D$22:$D$23)*$B49)))</f>
        <v>0</v>
      </c>
      <c r="L49" s="97">
        <f>IF(Option1="No",0,IF($A49&lt;ImplementationYear,0,IF($A49&gt;(ImplementationYear+(Appraisal_Period-1)),0,SUM(Quality!$D$20:$D$21)*$B49)))</f>
        <v>0</v>
      </c>
      <c r="M49" s="97">
        <f>IF(Option1="No",0,IF($A49&lt;ImplementationYear,0,IF($A49&gt;(ImplementationYear+(Appraisal_Period-1)),0,'Mode change'!$D$36*$B49)))</f>
        <v>0</v>
      </c>
      <c r="N49" s="97">
        <f>IF(Option1="No",0,IF($A49&lt;ImplementationYear,0,IF($A49&gt;(ImplementationYear+(Appraisal_Period-1)),0,'Mode change'!$D$37*$B49)))</f>
        <v>0</v>
      </c>
      <c r="O49" s="97">
        <f>IF(Option1="No",0,IF($A49&lt;ImplementationYear,0,IF($A49&gt;(ImplementationYear+(Appraisal_Period-1)),0,'Road safety'!$D$22*$B49)))</f>
        <v>0</v>
      </c>
      <c r="P49" s="97">
        <f>IF(Option1="No",0,IF($A49&lt;ImplementationYear,0,IF($A49&gt;(ImplementationYear+(Appraisal_Period-1)),0,'Reduction in car usage'!$D$46*$B49)))</f>
        <v>0</v>
      </c>
      <c r="Q49" s="97">
        <f>IF(Option1="No",0,IF($A49&lt;ImplementationYear,0,IF($A49&gt;(ImplementationYear+(Appraisal_Period-1)),0,'Reduction in car usage'!$D$47*$B49)))</f>
        <v>0</v>
      </c>
      <c r="R49" s="97">
        <f>IF(Option1="No",0,IF($A49&lt;ImplementationYear,0,IF($A49&gt;(ImplementationYear+(Appraisal_Period-1)),0,'Reduction in car usage'!$D$48*$B49)))</f>
        <v>0</v>
      </c>
      <c r="S49" s="92"/>
      <c r="T49" s="94">
        <f>IF(Option2="No",0,IF($A49=ImplementationYear,('Project details'!$L$10-'Project details'!$D$10)*VLOOKUP(Year_cost_estimate,'Time-series parameters'!$B$11:$C$89,2,FALSE)*$B49*(1+Contingency),0))</f>
        <v>0</v>
      </c>
      <c r="U49" s="94">
        <f>IF(Option2="No",0,IF($A49&lt;ImplementationYear,0,IF($A49&gt;(ImplementationYear+(Appraisal_Period-1)),0,('Project details'!$L$11-'Project details'!$D$11)*VLOOKUP(Year_cost_estimate,'Time-series parameters'!$B$11:$C$89,2,0))*$B49))</f>
        <v>0</v>
      </c>
      <c r="V49" s="94">
        <f>IF(Option2="No",0,IF($A49=ImplementationYear,('Project details'!$L$12-'Project details'!$D$12)*VLOOKUP(Year_cost_estimate,'Time-series parameters'!$B$11:$C$89,2,FALSE)*$B49,0))</f>
        <v>0</v>
      </c>
      <c r="W49" s="97">
        <f>IF(Option2="No",0,IF($A49&lt;ImplementationYear,0,IF($A49&gt;(ImplementationYear+(Appraisal_Period-1)),0,Health!$E$21*$B49)))</f>
        <v>0</v>
      </c>
      <c r="X49" s="97">
        <f>IF(Option2="No",0,IF($A49&lt;ImplementationYear,0,IF($A49&gt;(ImplementationYear+(Appraisal_Period-1)),0,Health!$E$22*$B49)))</f>
        <v>0</v>
      </c>
      <c r="Y49" s="97">
        <f>IF(Option2="No",0,IF($A49&lt;ImplementationYear,0,IF($A49&gt;(ImplementationYear+(Appraisal_Period-1)),0,SUM('Travel time'!$E$22:$E$23)*$B49)))</f>
        <v>0</v>
      </c>
      <c r="Z49" s="97">
        <f>IF(Option2="No",0,IF($A49&lt;ImplementationYear,0,IF($A49&gt;(ImplementationYear+(Appraisal_Period-1)),0,SUM('Travel time'!$E$20:$E$21)*$B49)))</f>
        <v>0</v>
      </c>
      <c r="AA49" s="97">
        <f>IF(Option2="No",0,IF($A49&lt;ImplementationYear,0,IF($A49&gt;(ImplementationYear+(Appraisal_Period-1)),0,SUM(Quality!$E$22:$E$23)*$B49)))</f>
        <v>0</v>
      </c>
      <c r="AB49" s="97">
        <f>IF(Option2="No",0,IF($A49&lt;ImplementationYear,0,IF($A49&gt;(ImplementationYear+(Appraisal_Period-1)),0,SUM(Quality!$E$20:$E$21)*$B49)))</f>
        <v>0</v>
      </c>
      <c r="AC49" s="97">
        <f>IF(Option2="No",0,IF($A49&lt;ImplementationYear,0,IF($A49&gt;(ImplementationYear+(Appraisal_Period-1)),0,'Mode change'!$E$36*$B49)))</f>
        <v>0</v>
      </c>
      <c r="AD49" s="97">
        <f>IF(Option2="No",0,IF($A49&lt;ImplementationYear,0,IF($A49&gt;(ImplementationYear+(Appraisal_Period-1)),0,'Mode change'!$E$37*$B49)))</f>
        <v>0</v>
      </c>
      <c r="AE49" s="97">
        <f>IF(Option2="No",0,IF($A49&lt;ImplementationYear,0,IF($A49&gt;(ImplementationYear+(Appraisal_Period-1)),0,'Road safety'!$E$22*$B49)))</f>
        <v>0</v>
      </c>
      <c r="AF49" s="97">
        <f>IF(Option2="No",0,IF($A49&lt;ImplementationYear,0,IF($A49&gt;(ImplementationYear+(Appraisal_Period-1)),0,'Reduction in car usage'!$E$46*$B49)))</f>
        <v>0</v>
      </c>
      <c r="AG49" s="97">
        <f>IF(Option2="No",0,IF($A49&lt;ImplementationYear,0,IF($A49&gt;(ImplementationYear+(Appraisal_Period-1)),0,'Reduction in car usage'!$E$47*$B49)))</f>
        <v>0</v>
      </c>
      <c r="AH49" s="97">
        <f>IF(Option2="No",0,IF($A49&lt;ImplementationYear,0,IF($A49&gt;(ImplementationYear+(Appraisal_Period-1)),0,'Reduction in car usage'!$E$48*$B49)))</f>
        <v>0</v>
      </c>
      <c r="AJ49" s="94">
        <f>IF(Option3="No",0,IF($A49=ImplementationYear,('Project details'!$P$10-'Project details'!$D$10)*VLOOKUP(Year_cost_estimate,'Time-series parameters'!$B$11:$C$89,2,FALSE)*$B49*(1+Contingency),0))</f>
        <v>0</v>
      </c>
      <c r="AK49" s="94">
        <f>IF(Option3="No",0,IF($A49&lt;ImplementationYear,0,IF($A49&gt;(ImplementationYear+(Appraisal_Period-1)),0,('Project details'!$P$11-'Project details'!$D$11)*VLOOKUP(Year_cost_estimate,'Time-series parameters'!$B$11:$C$89,2,0))*$B49))</f>
        <v>0</v>
      </c>
      <c r="AL49" s="94">
        <f>IF(Option3="No",0,IF($A49=ImplementationYear,('Project details'!$P$12-'Project details'!$D$12)*VLOOKUP(Year_cost_estimate,'Time-series parameters'!$B$11:$C$89,2,FALSE)*$B49,0))</f>
        <v>0</v>
      </c>
      <c r="AM49" s="97">
        <f>IF(Option3="No",0,IF($A49&lt;ImplementationYear,0,IF($A49&gt;(ImplementationYear+(Appraisal_Period-1)),0,Health!$F$21*$B49)))</f>
        <v>0</v>
      </c>
      <c r="AN49" s="97">
        <f>IF(Option3="No",0,IF($A49&lt;ImplementationYear,0,IF($A49&gt;(ImplementationYear+(Appraisal_Period-1)),0,Health!$F$22*$B49)))</f>
        <v>0</v>
      </c>
      <c r="AO49" s="97">
        <f>IF(Option3="No",0,IF($A49&lt;ImplementationYear,0,IF($A49&gt;(ImplementationYear+(Appraisal_Period-1)),0,SUM('Travel time'!$F$22:$F$23)*$B49)))</f>
        <v>0</v>
      </c>
      <c r="AP49" s="97">
        <f>IF(Option3="No",0,IF($A49&lt;ImplementationYear,0,IF($A49&gt;(ImplementationYear+(Appraisal_Period-1)),0,SUM('Travel time'!$F$20:$F$21)*$B49)))</f>
        <v>0</v>
      </c>
      <c r="AQ49" s="97">
        <f>IF(Option3="No",0,IF($A49&lt;ImplementationYear,0,IF($A49&gt;(ImplementationYear+(Appraisal_Period-1)),0,SUM(Quality!$F$22:$F$23)*$B49)))</f>
        <v>0</v>
      </c>
      <c r="AR49" s="97">
        <f>IF(Option3="No",0,IF($A49&lt;ImplementationYear,0,IF($A49&gt;(ImplementationYear+(Appraisal_Period-1)),0,SUM(Quality!$F$20:$F$21)*$B49)))</f>
        <v>0</v>
      </c>
      <c r="AS49" s="97">
        <f>IF(Option3="No",0,IF($A49&lt;ImplementationYear,0,IF($A49&gt;(ImplementationYear+(Appraisal_Period-1)),0,'Mode change'!$F$36*$B49)))</f>
        <v>0</v>
      </c>
      <c r="AT49" s="97">
        <f>IF(Option3="No",0,IF($A49&lt;ImplementationYear,0,IF($A49&gt;(ImplementationYear+(Appraisal_Period-1)),0,'Mode change'!$F$37*$B49)))</f>
        <v>0</v>
      </c>
      <c r="AU49" s="97">
        <f>IF(Option3="No",0,IF($A49&lt;ImplementationYear,0,IF($A49&gt;(ImplementationYear+(Appraisal_Period-1)),0,'Road safety'!$F$22*$B49)))</f>
        <v>0</v>
      </c>
      <c r="AV49" s="97">
        <f>IF(Option3="No",0,IF($A49&lt;ImplementationYear,0,IF($A49&gt;(ImplementationYear+(Appraisal_Period-1)),0,'Reduction in car usage'!$F$46*$B49)))</f>
        <v>0</v>
      </c>
      <c r="AW49" s="97">
        <f>IF(Option3="No",0,IF($A49&lt;ImplementationYear,0,IF($A49&gt;(ImplementationYear+(Appraisal_Period-1)),0,'Reduction in car usage'!$F$47*$B49)))</f>
        <v>0</v>
      </c>
      <c r="AX49" s="97">
        <f>IF(Option3="No",0,IF($A49&lt;ImplementationYear,0,IF($A49&gt;(ImplementationYear+(Appraisal_Period-1)),0,'Reduction in car usage'!$F$48*$B49)))</f>
        <v>0</v>
      </c>
    </row>
    <row r="50" spans="1:50">
      <c r="A50" s="335">
        <v>2045</v>
      </c>
      <c r="B50" s="62">
        <f>VLOOKUP($A50,'Time-series parameters'!$E$11:$H$89,3,FALSE)</f>
        <v>0.12199640200879314</v>
      </c>
      <c r="C50" s="89"/>
      <c r="D50" s="94">
        <f>IF(Option1="No",0,IF($A50=ImplementationYear,('Project details'!$H$10-'Project details'!$D$10)*VLOOKUP(Year_cost_estimate,'Time-series parameters'!$B$11:$C$89,2,FALSE)*$B50*(1+Contingency),0))</f>
        <v>0</v>
      </c>
      <c r="E50" s="94">
        <f>IF(Option1="No",0,IF($A50&lt;ImplementationYear,0,IF($A50&gt;(ImplementationYear+(Appraisal_Period-1)),0,('Project details'!$H$11-'Project details'!$D$11)*VLOOKUP(Year_cost_estimate,'Time-series parameters'!$B$11:$C$89,2,0))*$B50))</f>
        <v>0</v>
      </c>
      <c r="F50" s="94">
        <f>IF(Option1="No",0,IF($A50=ImplementationYear,('Project details'!$H$12-'Project details'!$D$12)*VLOOKUP(Year_cost_estimate,'Time-series parameters'!$B$11:$C$89,2,FALSE)*$B50,0))</f>
        <v>0</v>
      </c>
      <c r="G50" s="97">
        <f>IF(Option1="No",0,IF($A50&lt;ImplementationYear,0,IF($A50&gt;(ImplementationYear+(Appraisal_Period-1)),0,Health!$D$21*$B50)))</f>
        <v>0</v>
      </c>
      <c r="H50" s="97">
        <f>IF(Option1="No",0,IF($A50&lt;ImplementationYear,0,IF($A50&gt;(ImplementationYear+(Appraisal_Period-1)),0,Health!$D$22*$B50)))</f>
        <v>0</v>
      </c>
      <c r="I50" s="97">
        <f>IF(Option1="No",0,IF($A50&lt;ImplementationYear,0,IF($A50&gt;(ImplementationYear+(Appraisal_Period-1)),0,SUM('Travel time'!$D$22:$D$23)*$B50)))</f>
        <v>0</v>
      </c>
      <c r="J50" s="97">
        <f>IF(Option1="No",0,IF($A50&lt;ImplementationYear,0,IF($A50&gt;(ImplementationYear+(Appraisal_Period-1)),0,SUM('Travel time'!$D$20:$D$21)*$B50)))</f>
        <v>0</v>
      </c>
      <c r="K50" s="97">
        <f>IF(Option1="No",0,IF($A50&lt;ImplementationYear,0,IF($A50&gt;(ImplementationYear+(Appraisal_Period-1)),0,SUM(Quality!$D$22:$D$23)*$B50)))</f>
        <v>0</v>
      </c>
      <c r="L50" s="97">
        <f>IF(Option1="No",0,IF($A50&lt;ImplementationYear,0,IF($A50&gt;(ImplementationYear+(Appraisal_Period-1)),0,SUM(Quality!$D$20:$D$21)*$B50)))</f>
        <v>0</v>
      </c>
      <c r="M50" s="97">
        <f>IF(Option1="No",0,IF($A50&lt;ImplementationYear,0,IF($A50&gt;(ImplementationYear+(Appraisal_Period-1)),0,'Mode change'!$D$36*$B50)))</f>
        <v>0</v>
      </c>
      <c r="N50" s="97">
        <f>IF(Option1="No",0,IF($A50&lt;ImplementationYear,0,IF($A50&gt;(ImplementationYear+(Appraisal_Period-1)),0,'Mode change'!$D$37*$B50)))</f>
        <v>0</v>
      </c>
      <c r="O50" s="97">
        <f>IF(Option1="No",0,IF($A50&lt;ImplementationYear,0,IF($A50&gt;(ImplementationYear+(Appraisal_Period-1)),0,'Road safety'!$D$22*$B50)))</f>
        <v>0</v>
      </c>
      <c r="P50" s="97">
        <f>IF(Option1="No",0,IF($A50&lt;ImplementationYear,0,IF($A50&gt;(ImplementationYear+(Appraisal_Period-1)),0,'Reduction in car usage'!$D$46*$B50)))</f>
        <v>0</v>
      </c>
      <c r="Q50" s="97">
        <f>IF(Option1="No",0,IF($A50&lt;ImplementationYear,0,IF($A50&gt;(ImplementationYear+(Appraisal_Period-1)),0,'Reduction in car usage'!$D$47*$B50)))</f>
        <v>0</v>
      </c>
      <c r="R50" s="97">
        <f>IF(Option1="No",0,IF($A50&lt;ImplementationYear,0,IF($A50&gt;(ImplementationYear+(Appraisal_Period-1)),0,'Reduction in car usage'!$D$48*$B50)))</f>
        <v>0</v>
      </c>
      <c r="S50" s="92"/>
      <c r="T50" s="94">
        <f>IF(Option2="No",0,IF($A50=ImplementationYear,('Project details'!$L$10-'Project details'!$D$10)*VLOOKUP(Year_cost_estimate,'Time-series parameters'!$B$11:$C$89,2,FALSE)*$B50*(1+Contingency),0))</f>
        <v>0</v>
      </c>
      <c r="U50" s="94">
        <f>IF(Option2="No",0,IF($A50&lt;ImplementationYear,0,IF($A50&gt;(ImplementationYear+(Appraisal_Period-1)),0,('Project details'!$L$11-'Project details'!$D$11)*VLOOKUP(Year_cost_estimate,'Time-series parameters'!$B$11:$C$89,2,0))*$B50))</f>
        <v>0</v>
      </c>
      <c r="V50" s="94">
        <f>IF(Option2="No",0,IF($A50=ImplementationYear,('Project details'!$L$12-'Project details'!$D$12)*VLOOKUP(Year_cost_estimate,'Time-series parameters'!$B$11:$C$89,2,FALSE)*$B50,0))</f>
        <v>0</v>
      </c>
      <c r="W50" s="97">
        <f>IF(Option2="No",0,IF($A50&lt;ImplementationYear,0,IF($A50&gt;(ImplementationYear+(Appraisal_Period-1)),0,Health!$E$21*$B50)))</f>
        <v>0</v>
      </c>
      <c r="X50" s="97">
        <f>IF(Option2="No",0,IF($A50&lt;ImplementationYear,0,IF($A50&gt;(ImplementationYear+(Appraisal_Period-1)),0,Health!$E$22*$B50)))</f>
        <v>0</v>
      </c>
      <c r="Y50" s="97">
        <f>IF(Option2="No",0,IF($A50&lt;ImplementationYear,0,IF($A50&gt;(ImplementationYear+(Appraisal_Period-1)),0,SUM('Travel time'!$E$22:$E$23)*$B50)))</f>
        <v>0</v>
      </c>
      <c r="Z50" s="97">
        <f>IF(Option2="No",0,IF($A50&lt;ImplementationYear,0,IF($A50&gt;(ImplementationYear+(Appraisal_Period-1)),0,SUM('Travel time'!$E$20:$E$21)*$B50)))</f>
        <v>0</v>
      </c>
      <c r="AA50" s="97">
        <f>IF(Option2="No",0,IF($A50&lt;ImplementationYear,0,IF($A50&gt;(ImplementationYear+(Appraisal_Period-1)),0,SUM(Quality!$E$22:$E$23)*$B50)))</f>
        <v>0</v>
      </c>
      <c r="AB50" s="97">
        <f>IF(Option2="No",0,IF($A50&lt;ImplementationYear,0,IF($A50&gt;(ImplementationYear+(Appraisal_Period-1)),0,SUM(Quality!$E$20:$E$21)*$B50)))</f>
        <v>0</v>
      </c>
      <c r="AC50" s="97">
        <f>IF(Option2="No",0,IF($A50&lt;ImplementationYear,0,IF($A50&gt;(ImplementationYear+(Appraisal_Period-1)),0,'Mode change'!$E$36*$B50)))</f>
        <v>0</v>
      </c>
      <c r="AD50" s="97">
        <f>IF(Option2="No",0,IF($A50&lt;ImplementationYear,0,IF($A50&gt;(ImplementationYear+(Appraisal_Period-1)),0,'Mode change'!$E$37*$B50)))</f>
        <v>0</v>
      </c>
      <c r="AE50" s="97">
        <f>IF(Option2="No",0,IF($A50&lt;ImplementationYear,0,IF($A50&gt;(ImplementationYear+(Appraisal_Period-1)),0,'Road safety'!$E$22*$B50)))</f>
        <v>0</v>
      </c>
      <c r="AF50" s="97">
        <f>IF(Option2="No",0,IF($A50&lt;ImplementationYear,0,IF($A50&gt;(ImplementationYear+(Appraisal_Period-1)),0,'Reduction in car usage'!$E$46*$B50)))</f>
        <v>0</v>
      </c>
      <c r="AG50" s="97">
        <f>IF(Option2="No",0,IF($A50&lt;ImplementationYear,0,IF($A50&gt;(ImplementationYear+(Appraisal_Period-1)),0,'Reduction in car usage'!$E$47*$B50)))</f>
        <v>0</v>
      </c>
      <c r="AH50" s="97">
        <f>IF(Option2="No",0,IF($A50&lt;ImplementationYear,0,IF($A50&gt;(ImplementationYear+(Appraisal_Period-1)),0,'Reduction in car usage'!$E$48*$B50)))</f>
        <v>0</v>
      </c>
      <c r="AJ50" s="94">
        <f>IF(Option3="No",0,IF($A50=ImplementationYear,('Project details'!$P$10-'Project details'!$D$10)*VLOOKUP(Year_cost_estimate,'Time-series parameters'!$B$11:$C$89,2,FALSE)*$B50*(1+Contingency),0))</f>
        <v>0</v>
      </c>
      <c r="AK50" s="94">
        <f>IF(Option3="No",0,IF($A50&lt;ImplementationYear,0,IF($A50&gt;(ImplementationYear+(Appraisal_Period-1)),0,('Project details'!$P$11-'Project details'!$D$11)*VLOOKUP(Year_cost_estimate,'Time-series parameters'!$B$11:$C$89,2,0))*$B50))</f>
        <v>0</v>
      </c>
      <c r="AL50" s="94">
        <f>IF(Option3="No",0,IF($A50=ImplementationYear,('Project details'!$P$12-'Project details'!$D$12)*VLOOKUP(Year_cost_estimate,'Time-series parameters'!$B$11:$C$89,2,FALSE)*$B50,0))</f>
        <v>0</v>
      </c>
      <c r="AM50" s="97">
        <f>IF(Option3="No",0,IF($A50&lt;ImplementationYear,0,IF($A50&gt;(ImplementationYear+(Appraisal_Period-1)),0,Health!$F$21*$B50)))</f>
        <v>0</v>
      </c>
      <c r="AN50" s="97">
        <f>IF(Option3="No",0,IF($A50&lt;ImplementationYear,0,IF($A50&gt;(ImplementationYear+(Appraisal_Period-1)),0,Health!$F$22*$B50)))</f>
        <v>0</v>
      </c>
      <c r="AO50" s="97">
        <f>IF(Option3="No",0,IF($A50&lt;ImplementationYear,0,IF($A50&gt;(ImplementationYear+(Appraisal_Period-1)),0,SUM('Travel time'!$F$22:$F$23)*$B50)))</f>
        <v>0</v>
      </c>
      <c r="AP50" s="97">
        <f>IF(Option3="No",0,IF($A50&lt;ImplementationYear,0,IF($A50&gt;(ImplementationYear+(Appraisal_Period-1)),0,SUM('Travel time'!$F$20:$F$21)*$B50)))</f>
        <v>0</v>
      </c>
      <c r="AQ50" s="97">
        <f>IF(Option3="No",0,IF($A50&lt;ImplementationYear,0,IF($A50&gt;(ImplementationYear+(Appraisal_Period-1)),0,SUM(Quality!$F$22:$F$23)*$B50)))</f>
        <v>0</v>
      </c>
      <c r="AR50" s="97">
        <f>IF(Option3="No",0,IF($A50&lt;ImplementationYear,0,IF($A50&gt;(ImplementationYear+(Appraisal_Period-1)),0,SUM(Quality!$F$20:$F$21)*$B50)))</f>
        <v>0</v>
      </c>
      <c r="AS50" s="97">
        <f>IF(Option3="No",0,IF($A50&lt;ImplementationYear,0,IF($A50&gt;(ImplementationYear+(Appraisal_Period-1)),0,'Mode change'!$F$36*$B50)))</f>
        <v>0</v>
      </c>
      <c r="AT50" s="97">
        <f>IF(Option3="No",0,IF($A50&lt;ImplementationYear,0,IF($A50&gt;(ImplementationYear+(Appraisal_Period-1)),0,'Mode change'!$F$37*$B50)))</f>
        <v>0</v>
      </c>
      <c r="AU50" s="97">
        <f>IF(Option3="No",0,IF($A50&lt;ImplementationYear,0,IF($A50&gt;(ImplementationYear+(Appraisal_Period-1)),0,'Road safety'!$F$22*$B50)))</f>
        <v>0</v>
      </c>
      <c r="AV50" s="97">
        <f>IF(Option3="No",0,IF($A50&lt;ImplementationYear,0,IF($A50&gt;(ImplementationYear+(Appraisal_Period-1)),0,'Reduction in car usage'!$F$46*$B50)))</f>
        <v>0</v>
      </c>
      <c r="AW50" s="97">
        <f>IF(Option3="No",0,IF($A50&lt;ImplementationYear,0,IF($A50&gt;(ImplementationYear+(Appraisal_Period-1)),0,'Reduction in car usage'!$F$47*$B50)))</f>
        <v>0</v>
      </c>
      <c r="AX50" s="97">
        <f>IF(Option3="No",0,IF($A50&lt;ImplementationYear,0,IF($A50&gt;(ImplementationYear+(Appraisal_Period-1)),0,'Reduction in car usage'!$F$48*$B50)))</f>
        <v>0</v>
      </c>
    </row>
    <row r="51" spans="1:50">
      <c r="A51" s="335">
        <v>2046</v>
      </c>
      <c r="B51" s="62">
        <f>VLOOKUP($A51,'Time-series parameters'!$E$11:$H$89,3,FALSE)</f>
        <v>0.11467661788826555</v>
      </c>
      <c r="C51" s="89"/>
      <c r="D51" s="94">
        <f>IF(Option1="No",0,IF($A51=ImplementationYear,('Project details'!$H$10-'Project details'!$D$10)*VLOOKUP(Year_cost_estimate,'Time-series parameters'!$B$11:$C$89,2,FALSE)*$B51*(1+Contingency),0))</f>
        <v>0</v>
      </c>
      <c r="E51" s="94">
        <f>IF(Option1="No",0,IF($A51&lt;ImplementationYear,0,IF($A51&gt;(ImplementationYear+(Appraisal_Period-1)),0,('Project details'!$H$11-'Project details'!$D$11)*VLOOKUP(Year_cost_estimate,'Time-series parameters'!$B$11:$C$89,2,0))*$B51))</f>
        <v>0</v>
      </c>
      <c r="F51" s="94">
        <f>IF(Option1="No",0,IF($A51=ImplementationYear,('Project details'!$H$12-'Project details'!$D$12)*VLOOKUP(Year_cost_estimate,'Time-series parameters'!$B$11:$C$89,2,FALSE)*$B51,0))</f>
        <v>0</v>
      </c>
      <c r="G51" s="97">
        <f>IF(Option1="No",0,IF($A51&lt;ImplementationYear,0,IF($A51&gt;(ImplementationYear+(Appraisal_Period-1)),0,Health!$D$21*$B51)))</f>
        <v>0</v>
      </c>
      <c r="H51" s="97">
        <f>IF(Option1="No",0,IF($A51&lt;ImplementationYear,0,IF($A51&gt;(ImplementationYear+(Appraisal_Period-1)),0,Health!$D$22*$B51)))</f>
        <v>0</v>
      </c>
      <c r="I51" s="97">
        <f>IF(Option1="No",0,IF($A51&lt;ImplementationYear,0,IF($A51&gt;(ImplementationYear+(Appraisal_Period-1)),0,SUM('Travel time'!$D$22:$D$23)*$B51)))</f>
        <v>0</v>
      </c>
      <c r="J51" s="97">
        <f>IF(Option1="No",0,IF($A51&lt;ImplementationYear,0,IF($A51&gt;(ImplementationYear+(Appraisal_Period-1)),0,SUM('Travel time'!$D$20:$D$21)*$B51)))</f>
        <v>0</v>
      </c>
      <c r="K51" s="97">
        <f>IF(Option1="No",0,IF($A51&lt;ImplementationYear,0,IF($A51&gt;(ImplementationYear+(Appraisal_Period-1)),0,SUM(Quality!$D$22:$D$23)*$B51)))</f>
        <v>0</v>
      </c>
      <c r="L51" s="97">
        <f>IF(Option1="No",0,IF($A51&lt;ImplementationYear,0,IF($A51&gt;(ImplementationYear+(Appraisal_Period-1)),0,SUM(Quality!$D$20:$D$21)*$B51)))</f>
        <v>0</v>
      </c>
      <c r="M51" s="97">
        <f>IF(Option1="No",0,IF($A51&lt;ImplementationYear,0,IF($A51&gt;(ImplementationYear+(Appraisal_Period-1)),0,'Mode change'!$D$36*$B51)))</f>
        <v>0</v>
      </c>
      <c r="N51" s="97">
        <f>IF(Option1="No",0,IF($A51&lt;ImplementationYear,0,IF($A51&gt;(ImplementationYear+(Appraisal_Period-1)),0,'Mode change'!$D$37*$B51)))</f>
        <v>0</v>
      </c>
      <c r="O51" s="97">
        <f>IF(Option1="No",0,IF($A51&lt;ImplementationYear,0,IF($A51&gt;(ImplementationYear+(Appraisal_Period-1)),0,'Road safety'!$D$22*$B51)))</f>
        <v>0</v>
      </c>
      <c r="P51" s="97">
        <f>IF(Option1="No",0,IF($A51&lt;ImplementationYear,0,IF($A51&gt;(ImplementationYear+(Appraisal_Period-1)),0,'Reduction in car usage'!$D$46*$B51)))</f>
        <v>0</v>
      </c>
      <c r="Q51" s="97">
        <f>IF(Option1="No",0,IF($A51&lt;ImplementationYear,0,IF($A51&gt;(ImplementationYear+(Appraisal_Period-1)),0,'Reduction in car usage'!$D$47*$B51)))</f>
        <v>0</v>
      </c>
      <c r="R51" s="97">
        <f>IF(Option1="No",0,IF($A51&lt;ImplementationYear,0,IF($A51&gt;(ImplementationYear+(Appraisal_Period-1)),0,'Reduction in car usage'!$D$48*$B51)))</f>
        <v>0</v>
      </c>
      <c r="S51" s="92"/>
      <c r="T51" s="94">
        <f>IF(Option2="No",0,IF($A51=ImplementationYear,('Project details'!$L$10-'Project details'!$D$10)*VLOOKUP(Year_cost_estimate,'Time-series parameters'!$B$11:$C$89,2,FALSE)*$B51*(1+Contingency),0))</f>
        <v>0</v>
      </c>
      <c r="U51" s="94">
        <f>IF(Option2="No",0,IF($A51&lt;ImplementationYear,0,IF($A51&gt;(ImplementationYear+(Appraisal_Period-1)),0,('Project details'!$L$11-'Project details'!$D$11)*VLOOKUP(Year_cost_estimate,'Time-series parameters'!$B$11:$C$89,2,0))*$B51))</f>
        <v>0</v>
      </c>
      <c r="V51" s="94">
        <f>IF(Option2="No",0,IF($A51=ImplementationYear,('Project details'!$L$12-'Project details'!$D$12)*VLOOKUP(Year_cost_estimate,'Time-series parameters'!$B$11:$C$89,2,FALSE)*$B51,0))</f>
        <v>0</v>
      </c>
      <c r="W51" s="97">
        <f>IF(Option2="No",0,IF($A51&lt;ImplementationYear,0,IF($A51&gt;(ImplementationYear+(Appraisal_Period-1)),0,Health!$E$21*$B51)))</f>
        <v>0</v>
      </c>
      <c r="X51" s="97">
        <f>IF(Option2="No",0,IF($A51&lt;ImplementationYear,0,IF($A51&gt;(ImplementationYear+(Appraisal_Period-1)),0,Health!$E$22*$B51)))</f>
        <v>0</v>
      </c>
      <c r="Y51" s="97">
        <f>IF(Option2="No",0,IF($A51&lt;ImplementationYear,0,IF($A51&gt;(ImplementationYear+(Appraisal_Period-1)),0,SUM('Travel time'!$E$22:$E$23)*$B51)))</f>
        <v>0</v>
      </c>
      <c r="Z51" s="97">
        <f>IF(Option2="No",0,IF($A51&lt;ImplementationYear,0,IF($A51&gt;(ImplementationYear+(Appraisal_Period-1)),0,SUM('Travel time'!$E$20:$E$21)*$B51)))</f>
        <v>0</v>
      </c>
      <c r="AA51" s="97">
        <f>IF(Option2="No",0,IF($A51&lt;ImplementationYear,0,IF($A51&gt;(ImplementationYear+(Appraisal_Period-1)),0,SUM(Quality!$E$22:$E$23)*$B51)))</f>
        <v>0</v>
      </c>
      <c r="AB51" s="97">
        <f>IF(Option2="No",0,IF($A51&lt;ImplementationYear,0,IF($A51&gt;(ImplementationYear+(Appraisal_Period-1)),0,SUM(Quality!$E$20:$E$21)*$B51)))</f>
        <v>0</v>
      </c>
      <c r="AC51" s="97">
        <f>IF(Option2="No",0,IF($A51&lt;ImplementationYear,0,IF($A51&gt;(ImplementationYear+(Appraisal_Period-1)),0,'Mode change'!$E$36*$B51)))</f>
        <v>0</v>
      </c>
      <c r="AD51" s="97">
        <f>IF(Option2="No",0,IF($A51&lt;ImplementationYear,0,IF($A51&gt;(ImplementationYear+(Appraisal_Period-1)),0,'Mode change'!$E$37*$B51)))</f>
        <v>0</v>
      </c>
      <c r="AE51" s="97">
        <f>IF(Option2="No",0,IF($A51&lt;ImplementationYear,0,IF($A51&gt;(ImplementationYear+(Appraisal_Period-1)),0,'Road safety'!$E$22*$B51)))</f>
        <v>0</v>
      </c>
      <c r="AF51" s="97">
        <f>IF(Option2="No",0,IF($A51&lt;ImplementationYear,0,IF($A51&gt;(ImplementationYear+(Appraisal_Period-1)),0,'Reduction in car usage'!$E$46*$B51)))</f>
        <v>0</v>
      </c>
      <c r="AG51" s="97">
        <f>IF(Option2="No",0,IF($A51&lt;ImplementationYear,0,IF($A51&gt;(ImplementationYear+(Appraisal_Period-1)),0,'Reduction in car usage'!$E$47*$B51)))</f>
        <v>0</v>
      </c>
      <c r="AH51" s="97">
        <f>IF(Option2="No",0,IF($A51&lt;ImplementationYear,0,IF($A51&gt;(ImplementationYear+(Appraisal_Period-1)),0,'Reduction in car usage'!$E$48*$B51)))</f>
        <v>0</v>
      </c>
      <c r="AJ51" s="94">
        <f>IF(Option3="No",0,IF($A51=ImplementationYear,('Project details'!$P$10-'Project details'!$D$10)*VLOOKUP(Year_cost_estimate,'Time-series parameters'!$B$11:$C$89,2,FALSE)*$B51*(1+Contingency),0))</f>
        <v>0</v>
      </c>
      <c r="AK51" s="94">
        <f>IF(Option3="No",0,IF($A51&lt;ImplementationYear,0,IF($A51&gt;(ImplementationYear+(Appraisal_Period-1)),0,('Project details'!$P$11-'Project details'!$D$11)*VLOOKUP(Year_cost_estimate,'Time-series parameters'!$B$11:$C$89,2,0))*$B51))</f>
        <v>0</v>
      </c>
      <c r="AL51" s="94">
        <f>IF(Option3="No",0,IF($A51=ImplementationYear,('Project details'!$P$12-'Project details'!$D$12)*VLOOKUP(Year_cost_estimate,'Time-series parameters'!$B$11:$C$89,2,FALSE)*$B51,0))</f>
        <v>0</v>
      </c>
      <c r="AM51" s="97">
        <f>IF(Option3="No",0,IF($A51&lt;ImplementationYear,0,IF($A51&gt;(ImplementationYear+(Appraisal_Period-1)),0,Health!$F$21*$B51)))</f>
        <v>0</v>
      </c>
      <c r="AN51" s="97">
        <f>IF(Option3="No",0,IF($A51&lt;ImplementationYear,0,IF($A51&gt;(ImplementationYear+(Appraisal_Period-1)),0,Health!$F$22*$B51)))</f>
        <v>0</v>
      </c>
      <c r="AO51" s="97">
        <f>IF(Option3="No",0,IF($A51&lt;ImplementationYear,0,IF($A51&gt;(ImplementationYear+(Appraisal_Period-1)),0,SUM('Travel time'!$F$22:$F$23)*$B51)))</f>
        <v>0</v>
      </c>
      <c r="AP51" s="97">
        <f>IF(Option3="No",0,IF($A51&lt;ImplementationYear,0,IF($A51&gt;(ImplementationYear+(Appraisal_Period-1)),0,SUM('Travel time'!$F$20:$F$21)*$B51)))</f>
        <v>0</v>
      </c>
      <c r="AQ51" s="97">
        <f>IF(Option3="No",0,IF($A51&lt;ImplementationYear,0,IF($A51&gt;(ImplementationYear+(Appraisal_Period-1)),0,SUM(Quality!$F$22:$F$23)*$B51)))</f>
        <v>0</v>
      </c>
      <c r="AR51" s="97">
        <f>IF(Option3="No",0,IF($A51&lt;ImplementationYear,0,IF($A51&gt;(ImplementationYear+(Appraisal_Period-1)),0,SUM(Quality!$F$20:$F$21)*$B51)))</f>
        <v>0</v>
      </c>
      <c r="AS51" s="97">
        <f>IF(Option3="No",0,IF($A51&lt;ImplementationYear,0,IF($A51&gt;(ImplementationYear+(Appraisal_Period-1)),0,'Mode change'!$F$36*$B51)))</f>
        <v>0</v>
      </c>
      <c r="AT51" s="97">
        <f>IF(Option3="No",0,IF($A51&lt;ImplementationYear,0,IF($A51&gt;(ImplementationYear+(Appraisal_Period-1)),0,'Mode change'!$F$37*$B51)))</f>
        <v>0</v>
      </c>
      <c r="AU51" s="97">
        <f>IF(Option3="No",0,IF($A51&lt;ImplementationYear,0,IF($A51&gt;(ImplementationYear+(Appraisal_Period-1)),0,'Road safety'!$F$22*$B51)))</f>
        <v>0</v>
      </c>
      <c r="AV51" s="97">
        <f>IF(Option3="No",0,IF($A51&lt;ImplementationYear,0,IF($A51&gt;(ImplementationYear+(Appraisal_Period-1)),0,'Reduction in car usage'!$F$46*$B51)))</f>
        <v>0</v>
      </c>
      <c r="AW51" s="97">
        <f>IF(Option3="No",0,IF($A51&lt;ImplementationYear,0,IF($A51&gt;(ImplementationYear+(Appraisal_Period-1)),0,'Reduction in car usage'!$F$47*$B51)))</f>
        <v>0</v>
      </c>
      <c r="AX51" s="97">
        <f>IF(Option3="No",0,IF($A51&lt;ImplementationYear,0,IF($A51&gt;(ImplementationYear+(Appraisal_Period-1)),0,'Reduction in car usage'!$F$48*$B51)))</f>
        <v>0</v>
      </c>
    </row>
    <row r="52" spans="1:50">
      <c r="A52" s="335">
        <v>2047</v>
      </c>
      <c r="B52" s="62">
        <f>VLOOKUP($A52,'Time-series parameters'!$E$11:$H$89,3,FALSE)</f>
        <v>0.10779602081496963</v>
      </c>
      <c r="C52" s="89"/>
      <c r="D52" s="94">
        <f>IF(Option1="No",0,IF($A52=ImplementationYear,('Project details'!$H$10-'Project details'!$D$10)*VLOOKUP(Year_cost_estimate,'Time-series parameters'!$B$11:$C$89,2,FALSE)*$B52*(1+Contingency),0))</f>
        <v>0</v>
      </c>
      <c r="E52" s="94">
        <f>IF(Option1="No",0,IF($A52&lt;ImplementationYear,0,IF($A52&gt;(ImplementationYear+(Appraisal_Period-1)),0,('Project details'!$H$11-'Project details'!$D$11)*VLOOKUP(Year_cost_estimate,'Time-series parameters'!$B$11:$C$89,2,0))*$B52))</f>
        <v>0</v>
      </c>
      <c r="F52" s="94">
        <f>IF(Option1="No",0,IF($A52=ImplementationYear,('Project details'!$H$12-'Project details'!$D$12)*VLOOKUP(Year_cost_estimate,'Time-series parameters'!$B$11:$C$89,2,FALSE)*$B52,0))</f>
        <v>0</v>
      </c>
      <c r="G52" s="97">
        <f>IF(Option1="No",0,IF($A52&lt;ImplementationYear,0,IF($A52&gt;(ImplementationYear+(Appraisal_Period-1)),0,Health!$D$21*$B52)))</f>
        <v>0</v>
      </c>
      <c r="H52" s="97">
        <f>IF(Option1="No",0,IF($A52&lt;ImplementationYear,0,IF($A52&gt;(ImplementationYear+(Appraisal_Period-1)),0,Health!$D$22*$B52)))</f>
        <v>0</v>
      </c>
      <c r="I52" s="97">
        <f>IF(Option1="No",0,IF($A52&lt;ImplementationYear,0,IF($A52&gt;(ImplementationYear+(Appraisal_Period-1)),0,SUM('Travel time'!$D$22:$D$23)*$B52)))</f>
        <v>0</v>
      </c>
      <c r="J52" s="97">
        <f>IF(Option1="No",0,IF($A52&lt;ImplementationYear,0,IF($A52&gt;(ImplementationYear+(Appraisal_Period-1)),0,SUM('Travel time'!$D$20:$D$21)*$B52)))</f>
        <v>0</v>
      </c>
      <c r="K52" s="97">
        <f>IF(Option1="No",0,IF($A52&lt;ImplementationYear,0,IF($A52&gt;(ImplementationYear+(Appraisal_Period-1)),0,SUM(Quality!$D$22:$D$23)*$B52)))</f>
        <v>0</v>
      </c>
      <c r="L52" s="97">
        <f>IF(Option1="No",0,IF($A52&lt;ImplementationYear,0,IF($A52&gt;(ImplementationYear+(Appraisal_Period-1)),0,SUM(Quality!$D$20:$D$21)*$B52)))</f>
        <v>0</v>
      </c>
      <c r="M52" s="97">
        <f>IF(Option1="No",0,IF($A52&lt;ImplementationYear,0,IF($A52&gt;(ImplementationYear+(Appraisal_Period-1)),0,'Mode change'!$D$36*$B52)))</f>
        <v>0</v>
      </c>
      <c r="N52" s="97">
        <f>IF(Option1="No",0,IF($A52&lt;ImplementationYear,0,IF($A52&gt;(ImplementationYear+(Appraisal_Period-1)),0,'Mode change'!$D$37*$B52)))</f>
        <v>0</v>
      </c>
      <c r="O52" s="97">
        <f>IF(Option1="No",0,IF($A52&lt;ImplementationYear,0,IF($A52&gt;(ImplementationYear+(Appraisal_Period-1)),0,'Road safety'!$D$22*$B52)))</f>
        <v>0</v>
      </c>
      <c r="P52" s="97">
        <f>IF(Option1="No",0,IF($A52&lt;ImplementationYear,0,IF($A52&gt;(ImplementationYear+(Appraisal_Period-1)),0,'Reduction in car usage'!$D$46*$B52)))</f>
        <v>0</v>
      </c>
      <c r="Q52" s="97">
        <f>IF(Option1="No",0,IF($A52&lt;ImplementationYear,0,IF($A52&gt;(ImplementationYear+(Appraisal_Period-1)),0,'Reduction in car usage'!$D$47*$B52)))</f>
        <v>0</v>
      </c>
      <c r="R52" s="97">
        <f>IF(Option1="No",0,IF($A52&lt;ImplementationYear,0,IF($A52&gt;(ImplementationYear+(Appraisal_Period-1)),0,'Reduction in car usage'!$D$48*$B52)))</f>
        <v>0</v>
      </c>
      <c r="S52" s="92"/>
      <c r="T52" s="94">
        <f>IF(Option2="No",0,IF($A52=ImplementationYear,('Project details'!$L$10-'Project details'!$D$10)*VLOOKUP(Year_cost_estimate,'Time-series parameters'!$B$11:$C$89,2,FALSE)*$B52*(1+Contingency),0))</f>
        <v>0</v>
      </c>
      <c r="U52" s="94">
        <f>IF(Option2="No",0,IF($A52&lt;ImplementationYear,0,IF($A52&gt;(ImplementationYear+(Appraisal_Period-1)),0,('Project details'!$L$11-'Project details'!$D$11)*VLOOKUP(Year_cost_estimate,'Time-series parameters'!$B$11:$C$89,2,0))*$B52))</f>
        <v>0</v>
      </c>
      <c r="V52" s="94">
        <f>IF(Option2="No",0,IF($A52=ImplementationYear,('Project details'!$L$12-'Project details'!$D$12)*VLOOKUP(Year_cost_estimate,'Time-series parameters'!$B$11:$C$89,2,FALSE)*$B52,0))</f>
        <v>0</v>
      </c>
      <c r="W52" s="97">
        <f>IF(Option2="No",0,IF($A52&lt;ImplementationYear,0,IF($A52&gt;(ImplementationYear+(Appraisal_Period-1)),0,Health!$E$21*$B52)))</f>
        <v>0</v>
      </c>
      <c r="X52" s="97">
        <f>IF(Option2="No",0,IF($A52&lt;ImplementationYear,0,IF($A52&gt;(ImplementationYear+(Appraisal_Period-1)),0,Health!$E$22*$B52)))</f>
        <v>0</v>
      </c>
      <c r="Y52" s="97">
        <f>IF(Option2="No",0,IF($A52&lt;ImplementationYear,0,IF($A52&gt;(ImplementationYear+(Appraisal_Period-1)),0,SUM('Travel time'!$E$22:$E$23)*$B52)))</f>
        <v>0</v>
      </c>
      <c r="Z52" s="97">
        <f>IF(Option2="No",0,IF($A52&lt;ImplementationYear,0,IF($A52&gt;(ImplementationYear+(Appraisal_Period-1)),0,SUM('Travel time'!$E$20:$E$21)*$B52)))</f>
        <v>0</v>
      </c>
      <c r="AA52" s="97">
        <f>IF(Option2="No",0,IF($A52&lt;ImplementationYear,0,IF($A52&gt;(ImplementationYear+(Appraisal_Period-1)),0,SUM(Quality!$E$22:$E$23)*$B52)))</f>
        <v>0</v>
      </c>
      <c r="AB52" s="97">
        <f>IF(Option2="No",0,IF($A52&lt;ImplementationYear,0,IF($A52&gt;(ImplementationYear+(Appraisal_Period-1)),0,SUM(Quality!$E$20:$E$21)*$B52)))</f>
        <v>0</v>
      </c>
      <c r="AC52" s="97">
        <f>IF(Option2="No",0,IF($A52&lt;ImplementationYear,0,IF($A52&gt;(ImplementationYear+(Appraisal_Period-1)),0,'Mode change'!$E$36*$B52)))</f>
        <v>0</v>
      </c>
      <c r="AD52" s="97">
        <f>IF(Option2="No",0,IF($A52&lt;ImplementationYear,0,IF($A52&gt;(ImplementationYear+(Appraisal_Period-1)),0,'Mode change'!$E$37*$B52)))</f>
        <v>0</v>
      </c>
      <c r="AE52" s="97">
        <f>IF(Option2="No",0,IF($A52&lt;ImplementationYear,0,IF($A52&gt;(ImplementationYear+(Appraisal_Period-1)),0,'Road safety'!$E$22*$B52)))</f>
        <v>0</v>
      </c>
      <c r="AF52" s="97">
        <f>IF(Option2="No",0,IF($A52&lt;ImplementationYear,0,IF($A52&gt;(ImplementationYear+(Appraisal_Period-1)),0,'Reduction in car usage'!$E$46*$B52)))</f>
        <v>0</v>
      </c>
      <c r="AG52" s="97">
        <f>IF(Option2="No",0,IF($A52&lt;ImplementationYear,0,IF($A52&gt;(ImplementationYear+(Appraisal_Period-1)),0,'Reduction in car usage'!$E$47*$B52)))</f>
        <v>0</v>
      </c>
      <c r="AH52" s="97">
        <f>IF(Option2="No",0,IF($A52&lt;ImplementationYear,0,IF($A52&gt;(ImplementationYear+(Appraisal_Period-1)),0,'Reduction in car usage'!$E$48*$B52)))</f>
        <v>0</v>
      </c>
      <c r="AJ52" s="94">
        <f>IF(Option3="No",0,IF($A52=ImplementationYear,('Project details'!$P$10-'Project details'!$D$10)*VLOOKUP(Year_cost_estimate,'Time-series parameters'!$B$11:$C$89,2,FALSE)*$B52*(1+Contingency),0))</f>
        <v>0</v>
      </c>
      <c r="AK52" s="94">
        <f>IF(Option3="No",0,IF($A52&lt;ImplementationYear,0,IF($A52&gt;(ImplementationYear+(Appraisal_Period-1)),0,('Project details'!$P$11-'Project details'!$D$11)*VLOOKUP(Year_cost_estimate,'Time-series parameters'!$B$11:$C$89,2,0))*$B52))</f>
        <v>0</v>
      </c>
      <c r="AL52" s="94">
        <f>IF(Option3="No",0,IF($A52=ImplementationYear,('Project details'!$P$12-'Project details'!$D$12)*VLOOKUP(Year_cost_estimate,'Time-series parameters'!$B$11:$C$89,2,FALSE)*$B52,0))</f>
        <v>0</v>
      </c>
      <c r="AM52" s="97">
        <f>IF(Option3="No",0,IF($A52&lt;ImplementationYear,0,IF($A52&gt;(ImplementationYear+(Appraisal_Period-1)),0,Health!$F$21*$B52)))</f>
        <v>0</v>
      </c>
      <c r="AN52" s="97">
        <f>IF(Option3="No",0,IF($A52&lt;ImplementationYear,0,IF($A52&gt;(ImplementationYear+(Appraisal_Period-1)),0,Health!$F$22*$B52)))</f>
        <v>0</v>
      </c>
      <c r="AO52" s="97">
        <f>IF(Option3="No",0,IF($A52&lt;ImplementationYear,0,IF($A52&gt;(ImplementationYear+(Appraisal_Period-1)),0,SUM('Travel time'!$F$22:$F$23)*$B52)))</f>
        <v>0</v>
      </c>
      <c r="AP52" s="97">
        <f>IF(Option3="No",0,IF($A52&lt;ImplementationYear,0,IF($A52&gt;(ImplementationYear+(Appraisal_Period-1)),0,SUM('Travel time'!$F$20:$F$21)*$B52)))</f>
        <v>0</v>
      </c>
      <c r="AQ52" s="97">
        <f>IF(Option3="No",0,IF($A52&lt;ImplementationYear,0,IF($A52&gt;(ImplementationYear+(Appraisal_Period-1)),0,SUM(Quality!$F$22:$F$23)*$B52)))</f>
        <v>0</v>
      </c>
      <c r="AR52" s="97">
        <f>IF(Option3="No",0,IF($A52&lt;ImplementationYear,0,IF($A52&gt;(ImplementationYear+(Appraisal_Period-1)),0,SUM(Quality!$F$20:$F$21)*$B52)))</f>
        <v>0</v>
      </c>
      <c r="AS52" s="97">
        <f>IF(Option3="No",0,IF($A52&lt;ImplementationYear,0,IF($A52&gt;(ImplementationYear+(Appraisal_Period-1)),0,'Mode change'!$F$36*$B52)))</f>
        <v>0</v>
      </c>
      <c r="AT52" s="97">
        <f>IF(Option3="No",0,IF($A52&lt;ImplementationYear,0,IF($A52&gt;(ImplementationYear+(Appraisal_Period-1)),0,'Mode change'!$F$37*$B52)))</f>
        <v>0</v>
      </c>
      <c r="AU52" s="97">
        <f>IF(Option3="No",0,IF($A52&lt;ImplementationYear,0,IF($A52&gt;(ImplementationYear+(Appraisal_Period-1)),0,'Road safety'!$F$22*$B52)))</f>
        <v>0</v>
      </c>
      <c r="AV52" s="97">
        <f>IF(Option3="No",0,IF($A52&lt;ImplementationYear,0,IF($A52&gt;(ImplementationYear+(Appraisal_Period-1)),0,'Reduction in car usage'!$F$46*$B52)))</f>
        <v>0</v>
      </c>
      <c r="AW52" s="97">
        <f>IF(Option3="No",0,IF($A52&lt;ImplementationYear,0,IF($A52&gt;(ImplementationYear+(Appraisal_Period-1)),0,'Reduction in car usage'!$F$47*$B52)))</f>
        <v>0</v>
      </c>
      <c r="AX52" s="97">
        <f>IF(Option3="No",0,IF($A52&lt;ImplementationYear,0,IF($A52&gt;(ImplementationYear+(Appraisal_Period-1)),0,'Reduction in car usage'!$F$48*$B52)))</f>
        <v>0</v>
      </c>
    </row>
    <row r="53" spans="1:50">
      <c r="A53" s="335">
        <v>2048</v>
      </c>
      <c r="B53" s="62">
        <f>VLOOKUP($A53,'Time-series parameters'!$E$11:$H$89,3,FALSE)</f>
        <v>0.10132825956607144</v>
      </c>
      <c r="C53" s="89"/>
      <c r="D53" s="94">
        <f>IF(Option1="No",0,IF($A53=ImplementationYear,('Project details'!$H$10-'Project details'!$D$10)*VLOOKUP(Year_cost_estimate,'Time-series parameters'!$B$11:$C$89,2,FALSE)*$B53*(1+Contingency),0))</f>
        <v>0</v>
      </c>
      <c r="E53" s="94">
        <f>IF(Option1="No",0,IF($A53&lt;ImplementationYear,0,IF($A53&gt;(ImplementationYear+(Appraisal_Period-1)),0,('Project details'!$H$11-'Project details'!$D$11)*VLOOKUP(Year_cost_estimate,'Time-series parameters'!$B$11:$C$89,2,0))*$B53))</f>
        <v>0</v>
      </c>
      <c r="F53" s="94">
        <f>IF(Option1="No",0,IF($A53=ImplementationYear,('Project details'!$H$12-'Project details'!$D$12)*VLOOKUP(Year_cost_estimate,'Time-series parameters'!$B$11:$C$89,2,FALSE)*$B53,0))</f>
        <v>0</v>
      </c>
      <c r="G53" s="97">
        <f>IF(Option1="No",0,IF($A53&lt;ImplementationYear,0,IF($A53&gt;(ImplementationYear+(Appraisal_Period-1)),0,Health!$D$21*$B53)))</f>
        <v>0</v>
      </c>
      <c r="H53" s="97">
        <f>IF(Option1="No",0,IF($A53&lt;ImplementationYear,0,IF($A53&gt;(ImplementationYear+(Appraisal_Period-1)),0,Health!$D$22*$B53)))</f>
        <v>0</v>
      </c>
      <c r="I53" s="97">
        <f>IF(Option1="No",0,IF($A53&lt;ImplementationYear,0,IF($A53&gt;(ImplementationYear+(Appraisal_Period-1)),0,SUM('Travel time'!$D$22:$D$23)*$B53)))</f>
        <v>0</v>
      </c>
      <c r="J53" s="97">
        <f>IF(Option1="No",0,IF($A53&lt;ImplementationYear,0,IF($A53&gt;(ImplementationYear+(Appraisal_Period-1)),0,SUM('Travel time'!$D$20:$D$21)*$B53)))</f>
        <v>0</v>
      </c>
      <c r="K53" s="97">
        <f>IF(Option1="No",0,IF($A53&lt;ImplementationYear,0,IF($A53&gt;(ImplementationYear+(Appraisal_Period-1)),0,SUM(Quality!$D$22:$D$23)*$B53)))</f>
        <v>0</v>
      </c>
      <c r="L53" s="97">
        <f>IF(Option1="No",0,IF($A53&lt;ImplementationYear,0,IF($A53&gt;(ImplementationYear+(Appraisal_Period-1)),0,SUM(Quality!$D$20:$D$21)*$B53)))</f>
        <v>0</v>
      </c>
      <c r="M53" s="97">
        <f>IF(Option1="No",0,IF($A53&lt;ImplementationYear,0,IF($A53&gt;(ImplementationYear+(Appraisal_Period-1)),0,'Mode change'!$D$36*$B53)))</f>
        <v>0</v>
      </c>
      <c r="N53" s="97">
        <f>IF(Option1="No",0,IF($A53&lt;ImplementationYear,0,IF($A53&gt;(ImplementationYear+(Appraisal_Period-1)),0,'Mode change'!$D$37*$B53)))</f>
        <v>0</v>
      </c>
      <c r="O53" s="97">
        <f>IF(Option1="No",0,IF($A53&lt;ImplementationYear,0,IF($A53&gt;(ImplementationYear+(Appraisal_Period-1)),0,'Road safety'!$D$22*$B53)))</f>
        <v>0</v>
      </c>
      <c r="P53" s="97">
        <f>IF(Option1="No",0,IF($A53&lt;ImplementationYear,0,IF($A53&gt;(ImplementationYear+(Appraisal_Period-1)),0,'Reduction in car usage'!$D$46*$B53)))</f>
        <v>0</v>
      </c>
      <c r="Q53" s="97">
        <f>IF(Option1="No",0,IF($A53&lt;ImplementationYear,0,IF($A53&gt;(ImplementationYear+(Appraisal_Period-1)),0,'Reduction in car usage'!$D$47*$B53)))</f>
        <v>0</v>
      </c>
      <c r="R53" s="97">
        <f>IF(Option1="No",0,IF($A53&lt;ImplementationYear,0,IF($A53&gt;(ImplementationYear+(Appraisal_Period-1)),0,'Reduction in car usage'!$D$48*$B53)))</f>
        <v>0</v>
      </c>
      <c r="S53" s="92"/>
      <c r="T53" s="94">
        <f>IF(Option2="No",0,IF($A53=ImplementationYear,('Project details'!$L$10-'Project details'!$D$10)*VLOOKUP(Year_cost_estimate,'Time-series parameters'!$B$11:$C$89,2,FALSE)*$B53*(1+Contingency),0))</f>
        <v>0</v>
      </c>
      <c r="U53" s="94">
        <f>IF(Option2="No",0,IF($A53&lt;ImplementationYear,0,IF($A53&gt;(ImplementationYear+(Appraisal_Period-1)),0,('Project details'!$L$11-'Project details'!$D$11)*VLOOKUP(Year_cost_estimate,'Time-series parameters'!$B$11:$C$89,2,0))*$B53))</f>
        <v>0</v>
      </c>
      <c r="V53" s="94">
        <f>IF(Option2="No",0,IF($A53=ImplementationYear,('Project details'!$L$12-'Project details'!$D$12)*VLOOKUP(Year_cost_estimate,'Time-series parameters'!$B$11:$C$89,2,FALSE)*$B53,0))</f>
        <v>0</v>
      </c>
      <c r="W53" s="97">
        <f>IF(Option2="No",0,IF($A53&lt;ImplementationYear,0,IF($A53&gt;(ImplementationYear+(Appraisal_Period-1)),0,Health!$E$21*$B53)))</f>
        <v>0</v>
      </c>
      <c r="X53" s="97">
        <f>IF(Option2="No",0,IF($A53&lt;ImplementationYear,0,IF($A53&gt;(ImplementationYear+(Appraisal_Period-1)),0,Health!$E$22*$B53)))</f>
        <v>0</v>
      </c>
      <c r="Y53" s="97">
        <f>IF(Option2="No",0,IF($A53&lt;ImplementationYear,0,IF($A53&gt;(ImplementationYear+(Appraisal_Period-1)),0,SUM('Travel time'!$E$22:$E$23)*$B53)))</f>
        <v>0</v>
      </c>
      <c r="Z53" s="97">
        <f>IF(Option2="No",0,IF($A53&lt;ImplementationYear,0,IF($A53&gt;(ImplementationYear+(Appraisal_Period-1)),0,SUM('Travel time'!$E$20:$E$21)*$B53)))</f>
        <v>0</v>
      </c>
      <c r="AA53" s="97">
        <f>IF(Option2="No",0,IF($A53&lt;ImplementationYear,0,IF($A53&gt;(ImplementationYear+(Appraisal_Period-1)),0,SUM(Quality!$E$22:$E$23)*$B53)))</f>
        <v>0</v>
      </c>
      <c r="AB53" s="97">
        <f>IF(Option2="No",0,IF($A53&lt;ImplementationYear,0,IF($A53&gt;(ImplementationYear+(Appraisal_Period-1)),0,SUM(Quality!$E$20:$E$21)*$B53)))</f>
        <v>0</v>
      </c>
      <c r="AC53" s="97">
        <f>IF(Option2="No",0,IF($A53&lt;ImplementationYear,0,IF($A53&gt;(ImplementationYear+(Appraisal_Period-1)),0,'Mode change'!$E$36*$B53)))</f>
        <v>0</v>
      </c>
      <c r="AD53" s="97">
        <f>IF(Option2="No",0,IF($A53&lt;ImplementationYear,0,IF($A53&gt;(ImplementationYear+(Appraisal_Period-1)),0,'Mode change'!$E$37*$B53)))</f>
        <v>0</v>
      </c>
      <c r="AE53" s="97">
        <f>IF(Option2="No",0,IF($A53&lt;ImplementationYear,0,IF($A53&gt;(ImplementationYear+(Appraisal_Period-1)),0,'Road safety'!$E$22*$B53)))</f>
        <v>0</v>
      </c>
      <c r="AF53" s="97">
        <f>IF(Option2="No",0,IF($A53&lt;ImplementationYear,0,IF($A53&gt;(ImplementationYear+(Appraisal_Period-1)),0,'Reduction in car usage'!$E$46*$B53)))</f>
        <v>0</v>
      </c>
      <c r="AG53" s="97">
        <f>IF(Option2="No",0,IF($A53&lt;ImplementationYear,0,IF($A53&gt;(ImplementationYear+(Appraisal_Period-1)),0,'Reduction in car usage'!$E$47*$B53)))</f>
        <v>0</v>
      </c>
      <c r="AH53" s="97">
        <f>IF(Option2="No",0,IF($A53&lt;ImplementationYear,0,IF($A53&gt;(ImplementationYear+(Appraisal_Period-1)),0,'Reduction in car usage'!$E$48*$B53)))</f>
        <v>0</v>
      </c>
      <c r="AJ53" s="94">
        <f>IF(Option3="No",0,IF($A53=ImplementationYear,('Project details'!$P$10-'Project details'!$D$10)*VLOOKUP(Year_cost_estimate,'Time-series parameters'!$B$11:$C$89,2,FALSE)*$B53*(1+Contingency),0))</f>
        <v>0</v>
      </c>
      <c r="AK53" s="94">
        <f>IF(Option3="No",0,IF($A53&lt;ImplementationYear,0,IF($A53&gt;(ImplementationYear+(Appraisal_Period-1)),0,('Project details'!$P$11-'Project details'!$D$11)*VLOOKUP(Year_cost_estimate,'Time-series parameters'!$B$11:$C$89,2,0))*$B53))</f>
        <v>0</v>
      </c>
      <c r="AL53" s="94">
        <f>IF(Option3="No",0,IF($A53=ImplementationYear,('Project details'!$P$12-'Project details'!$D$12)*VLOOKUP(Year_cost_estimate,'Time-series parameters'!$B$11:$C$89,2,FALSE)*$B53,0))</f>
        <v>0</v>
      </c>
      <c r="AM53" s="97">
        <f>IF(Option3="No",0,IF($A53&lt;ImplementationYear,0,IF($A53&gt;(ImplementationYear+(Appraisal_Period-1)),0,Health!$F$21*$B53)))</f>
        <v>0</v>
      </c>
      <c r="AN53" s="97">
        <f>IF(Option3="No",0,IF($A53&lt;ImplementationYear,0,IF($A53&gt;(ImplementationYear+(Appraisal_Period-1)),0,Health!$F$22*$B53)))</f>
        <v>0</v>
      </c>
      <c r="AO53" s="97">
        <f>IF(Option3="No",0,IF($A53&lt;ImplementationYear,0,IF($A53&gt;(ImplementationYear+(Appraisal_Period-1)),0,SUM('Travel time'!$F$22:$F$23)*$B53)))</f>
        <v>0</v>
      </c>
      <c r="AP53" s="97">
        <f>IF(Option3="No",0,IF($A53&lt;ImplementationYear,0,IF($A53&gt;(ImplementationYear+(Appraisal_Period-1)),0,SUM('Travel time'!$F$20:$F$21)*$B53)))</f>
        <v>0</v>
      </c>
      <c r="AQ53" s="97">
        <f>IF(Option3="No",0,IF($A53&lt;ImplementationYear,0,IF($A53&gt;(ImplementationYear+(Appraisal_Period-1)),0,SUM(Quality!$F$22:$F$23)*$B53)))</f>
        <v>0</v>
      </c>
      <c r="AR53" s="97">
        <f>IF(Option3="No",0,IF($A53&lt;ImplementationYear,0,IF($A53&gt;(ImplementationYear+(Appraisal_Period-1)),0,SUM(Quality!$F$20:$F$21)*$B53)))</f>
        <v>0</v>
      </c>
      <c r="AS53" s="97">
        <f>IF(Option3="No",0,IF($A53&lt;ImplementationYear,0,IF($A53&gt;(ImplementationYear+(Appraisal_Period-1)),0,'Mode change'!$F$36*$B53)))</f>
        <v>0</v>
      </c>
      <c r="AT53" s="97">
        <f>IF(Option3="No",0,IF($A53&lt;ImplementationYear,0,IF($A53&gt;(ImplementationYear+(Appraisal_Period-1)),0,'Mode change'!$F$37*$B53)))</f>
        <v>0</v>
      </c>
      <c r="AU53" s="97">
        <f>IF(Option3="No",0,IF($A53&lt;ImplementationYear,0,IF($A53&gt;(ImplementationYear+(Appraisal_Period-1)),0,'Road safety'!$F$22*$B53)))</f>
        <v>0</v>
      </c>
      <c r="AV53" s="97">
        <f>IF(Option3="No",0,IF($A53&lt;ImplementationYear,0,IF($A53&gt;(ImplementationYear+(Appraisal_Period-1)),0,'Reduction in car usage'!$F$46*$B53)))</f>
        <v>0</v>
      </c>
      <c r="AW53" s="97">
        <f>IF(Option3="No",0,IF($A53&lt;ImplementationYear,0,IF($A53&gt;(ImplementationYear+(Appraisal_Period-1)),0,'Reduction in car usage'!$F$47*$B53)))</f>
        <v>0</v>
      </c>
      <c r="AX53" s="97">
        <f>IF(Option3="No",0,IF($A53&lt;ImplementationYear,0,IF($A53&gt;(ImplementationYear+(Appraisal_Period-1)),0,'Reduction in car usage'!$F$48*$B53)))</f>
        <v>0</v>
      </c>
    </row>
    <row r="54" spans="1:50">
      <c r="A54" s="335">
        <v>2049</v>
      </c>
      <c r="B54" s="62">
        <f>VLOOKUP($A54,'Time-series parameters'!$E$11:$H$89,3,FALSE)</f>
        <v>9.5248563992107155E-2</v>
      </c>
      <c r="C54" s="89"/>
      <c r="D54" s="94">
        <f>IF(Option1="No",0,IF($A54=ImplementationYear,('Project details'!$H$10-'Project details'!$D$10)*VLOOKUP(Year_cost_estimate,'Time-series parameters'!$B$11:$C$89,2,FALSE)*$B54*(1+Contingency),0))</f>
        <v>0</v>
      </c>
      <c r="E54" s="94">
        <f>IF(Option1="No",0,IF($A54&lt;ImplementationYear,0,IF($A54&gt;(ImplementationYear+(Appraisal_Period-1)),0,('Project details'!$H$11-'Project details'!$D$11)*VLOOKUP(Year_cost_estimate,'Time-series parameters'!$B$11:$C$89,2,0))*$B54))</f>
        <v>0</v>
      </c>
      <c r="F54" s="94">
        <f>IF(Option1="No",0,IF($A54=ImplementationYear,('Project details'!$H$12-'Project details'!$D$12)*VLOOKUP(Year_cost_estimate,'Time-series parameters'!$B$11:$C$89,2,FALSE)*$B54,0))</f>
        <v>0</v>
      </c>
      <c r="G54" s="97">
        <f>IF(Option1="No",0,IF($A54&lt;ImplementationYear,0,IF($A54&gt;(ImplementationYear+(Appraisal_Period-1)),0,Health!$D$21*$B54)))</f>
        <v>0</v>
      </c>
      <c r="H54" s="97">
        <f>IF(Option1="No",0,IF($A54&lt;ImplementationYear,0,IF($A54&gt;(ImplementationYear+(Appraisal_Period-1)),0,Health!$D$22*$B54)))</f>
        <v>0</v>
      </c>
      <c r="I54" s="97">
        <f>IF(Option1="No",0,IF($A54&lt;ImplementationYear,0,IF($A54&gt;(ImplementationYear+(Appraisal_Period-1)),0,SUM('Travel time'!$D$22:$D$23)*$B54)))</f>
        <v>0</v>
      </c>
      <c r="J54" s="97">
        <f>IF(Option1="No",0,IF($A54&lt;ImplementationYear,0,IF($A54&gt;(ImplementationYear+(Appraisal_Period-1)),0,SUM('Travel time'!$D$20:$D$21)*$B54)))</f>
        <v>0</v>
      </c>
      <c r="K54" s="97">
        <f>IF(Option1="No",0,IF($A54&lt;ImplementationYear,0,IF($A54&gt;(ImplementationYear+(Appraisal_Period-1)),0,SUM(Quality!$D$22:$D$23)*$B54)))</f>
        <v>0</v>
      </c>
      <c r="L54" s="97">
        <f>IF(Option1="No",0,IF($A54&lt;ImplementationYear,0,IF($A54&gt;(ImplementationYear+(Appraisal_Period-1)),0,SUM(Quality!$D$20:$D$21)*$B54)))</f>
        <v>0</v>
      </c>
      <c r="M54" s="97">
        <f>IF(Option1="No",0,IF($A54&lt;ImplementationYear,0,IF($A54&gt;(ImplementationYear+(Appraisal_Period-1)),0,'Mode change'!$D$36*$B54)))</f>
        <v>0</v>
      </c>
      <c r="N54" s="97">
        <f>IF(Option1="No",0,IF($A54&lt;ImplementationYear,0,IF($A54&gt;(ImplementationYear+(Appraisal_Period-1)),0,'Mode change'!$D$37*$B54)))</f>
        <v>0</v>
      </c>
      <c r="O54" s="97">
        <f>IF(Option1="No",0,IF($A54&lt;ImplementationYear,0,IF($A54&gt;(ImplementationYear+(Appraisal_Period-1)),0,'Road safety'!$D$22*$B54)))</f>
        <v>0</v>
      </c>
      <c r="P54" s="97">
        <f>IF(Option1="No",0,IF($A54&lt;ImplementationYear,0,IF($A54&gt;(ImplementationYear+(Appraisal_Period-1)),0,'Reduction in car usage'!$D$46*$B54)))</f>
        <v>0</v>
      </c>
      <c r="Q54" s="97">
        <f>IF(Option1="No",0,IF($A54&lt;ImplementationYear,0,IF($A54&gt;(ImplementationYear+(Appraisal_Period-1)),0,'Reduction in car usage'!$D$47*$B54)))</f>
        <v>0</v>
      </c>
      <c r="R54" s="97">
        <f>IF(Option1="No",0,IF($A54&lt;ImplementationYear,0,IF($A54&gt;(ImplementationYear+(Appraisal_Period-1)),0,'Reduction in car usage'!$D$48*$B54)))</f>
        <v>0</v>
      </c>
      <c r="S54" s="92"/>
      <c r="T54" s="94">
        <f>IF(Option2="No",0,IF($A54=ImplementationYear,('Project details'!$L$10-'Project details'!$D$10)*VLOOKUP(Year_cost_estimate,'Time-series parameters'!$B$11:$C$89,2,FALSE)*$B54*(1+Contingency),0))</f>
        <v>0</v>
      </c>
      <c r="U54" s="94">
        <f>IF(Option2="No",0,IF($A54&lt;ImplementationYear,0,IF($A54&gt;(ImplementationYear+(Appraisal_Period-1)),0,('Project details'!$L$11-'Project details'!$D$11)*VLOOKUP(Year_cost_estimate,'Time-series parameters'!$B$11:$C$89,2,0))*$B54))</f>
        <v>0</v>
      </c>
      <c r="V54" s="94">
        <f>IF(Option2="No",0,IF($A54=ImplementationYear,('Project details'!$L$12-'Project details'!$D$12)*VLOOKUP(Year_cost_estimate,'Time-series parameters'!$B$11:$C$89,2,FALSE)*$B54,0))</f>
        <v>0</v>
      </c>
      <c r="W54" s="97">
        <f>IF(Option2="No",0,IF($A54&lt;ImplementationYear,0,IF($A54&gt;(ImplementationYear+(Appraisal_Period-1)),0,Health!$E$21*$B54)))</f>
        <v>0</v>
      </c>
      <c r="X54" s="97">
        <f>IF(Option2="No",0,IF($A54&lt;ImplementationYear,0,IF($A54&gt;(ImplementationYear+(Appraisal_Period-1)),0,Health!$E$22*$B54)))</f>
        <v>0</v>
      </c>
      <c r="Y54" s="97">
        <f>IF(Option2="No",0,IF($A54&lt;ImplementationYear,0,IF($A54&gt;(ImplementationYear+(Appraisal_Period-1)),0,SUM('Travel time'!$E$22:$E$23)*$B54)))</f>
        <v>0</v>
      </c>
      <c r="Z54" s="97">
        <f>IF(Option2="No",0,IF($A54&lt;ImplementationYear,0,IF($A54&gt;(ImplementationYear+(Appraisal_Period-1)),0,SUM('Travel time'!$E$20:$E$21)*$B54)))</f>
        <v>0</v>
      </c>
      <c r="AA54" s="97">
        <f>IF(Option2="No",0,IF($A54&lt;ImplementationYear,0,IF($A54&gt;(ImplementationYear+(Appraisal_Period-1)),0,SUM(Quality!$E$22:$E$23)*$B54)))</f>
        <v>0</v>
      </c>
      <c r="AB54" s="97">
        <f>IF(Option2="No",0,IF($A54&lt;ImplementationYear,0,IF($A54&gt;(ImplementationYear+(Appraisal_Period-1)),0,SUM(Quality!$E$20:$E$21)*$B54)))</f>
        <v>0</v>
      </c>
      <c r="AC54" s="97">
        <f>IF(Option2="No",0,IF($A54&lt;ImplementationYear,0,IF($A54&gt;(ImplementationYear+(Appraisal_Period-1)),0,'Mode change'!$E$36*$B54)))</f>
        <v>0</v>
      </c>
      <c r="AD54" s="97">
        <f>IF(Option2="No",0,IF($A54&lt;ImplementationYear,0,IF($A54&gt;(ImplementationYear+(Appraisal_Period-1)),0,'Mode change'!$E$37*$B54)))</f>
        <v>0</v>
      </c>
      <c r="AE54" s="97">
        <f>IF(Option2="No",0,IF($A54&lt;ImplementationYear,0,IF($A54&gt;(ImplementationYear+(Appraisal_Period-1)),0,'Road safety'!$E$22*$B54)))</f>
        <v>0</v>
      </c>
      <c r="AF54" s="97">
        <f>IF(Option2="No",0,IF($A54&lt;ImplementationYear,0,IF($A54&gt;(ImplementationYear+(Appraisal_Period-1)),0,'Reduction in car usage'!$E$46*$B54)))</f>
        <v>0</v>
      </c>
      <c r="AG54" s="97">
        <f>IF(Option2="No",0,IF($A54&lt;ImplementationYear,0,IF($A54&gt;(ImplementationYear+(Appraisal_Period-1)),0,'Reduction in car usage'!$E$47*$B54)))</f>
        <v>0</v>
      </c>
      <c r="AH54" s="97">
        <f>IF(Option2="No",0,IF($A54&lt;ImplementationYear,0,IF($A54&gt;(ImplementationYear+(Appraisal_Period-1)),0,'Reduction in car usage'!$E$48*$B54)))</f>
        <v>0</v>
      </c>
      <c r="AJ54" s="94">
        <f>IF(Option3="No",0,IF($A54=ImplementationYear,('Project details'!$P$10-'Project details'!$D$10)*VLOOKUP(Year_cost_estimate,'Time-series parameters'!$B$11:$C$89,2,FALSE)*$B54*(1+Contingency),0))</f>
        <v>0</v>
      </c>
      <c r="AK54" s="94">
        <f>IF(Option3="No",0,IF($A54&lt;ImplementationYear,0,IF($A54&gt;(ImplementationYear+(Appraisal_Period-1)),0,('Project details'!$P$11-'Project details'!$D$11)*VLOOKUP(Year_cost_estimate,'Time-series parameters'!$B$11:$C$89,2,0))*$B54))</f>
        <v>0</v>
      </c>
      <c r="AL54" s="94">
        <f>IF(Option3="No",0,IF($A54=ImplementationYear,('Project details'!$P$12-'Project details'!$D$12)*VLOOKUP(Year_cost_estimate,'Time-series parameters'!$B$11:$C$89,2,FALSE)*$B54,0))</f>
        <v>0</v>
      </c>
      <c r="AM54" s="97">
        <f>IF(Option3="No",0,IF($A54&lt;ImplementationYear,0,IF($A54&gt;(ImplementationYear+(Appraisal_Period-1)),0,Health!$F$21*$B54)))</f>
        <v>0</v>
      </c>
      <c r="AN54" s="97">
        <f>IF(Option3="No",0,IF($A54&lt;ImplementationYear,0,IF($A54&gt;(ImplementationYear+(Appraisal_Period-1)),0,Health!$F$22*$B54)))</f>
        <v>0</v>
      </c>
      <c r="AO54" s="97">
        <f>IF(Option3="No",0,IF($A54&lt;ImplementationYear,0,IF($A54&gt;(ImplementationYear+(Appraisal_Period-1)),0,SUM('Travel time'!$F$22:$F$23)*$B54)))</f>
        <v>0</v>
      </c>
      <c r="AP54" s="97">
        <f>IF(Option3="No",0,IF($A54&lt;ImplementationYear,0,IF($A54&gt;(ImplementationYear+(Appraisal_Period-1)),0,SUM('Travel time'!$F$20:$F$21)*$B54)))</f>
        <v>0</v>
      </c>
      <c r="AQ54" s="97">
        <f>IF(Option3="No",0,IF($A54&lt;ImplementationYear,0,IF($A54&gt;(ImplementationYear+(Appraisal_Period-1)),0,SUM(Quality!$F$22:$F$23)*$B54)))</f>
        <v>0</v>
      </c>
      <c r="AR54" s="97">
        <f>IF(Option3="No",0,IF($A54&lt;ImplementationYear,0,IF($A54&gt;(ImplementationYear+(Appraisal_Period-1)),0,SUM(Quality!$F$20:$F$21)*$B54)))</f>
        <v>0</v>
      </c>
      <c r="AS54" s="97">
        <f>IF(Option3="No",0,IF($A54&lt;ImplementationYear,0,IF($A54&gt;(ImplementationYear+(Appraisal_Period-1)),0,'Mode change'!$F$36*$B54)))</f>
        <v>0</v>
      </c>
      <c r="AT54" s="97">
        <f>IF(Option3="No",0,IF($A54&lt;ImplementationYear,0,IF($A54&gt;(ImplementationYear+(Appraisal_Period-1)),0,'Mode change'!$F$37*$B54)))</f>
        <v>0</v>
      </c>
      <c r="AU54" s="97">
        <f>IF(Option3="No",0,IF($A54&lt;ImplementationYear,0,IF($A54&gt;(ImplementationYear+(Appraisal_Period-1)),0,'Road safety'!$F$22*$B54)))</f>
        <v>0</v>
      </c>
      <c r="AV54" s="97">
        <f>IF(Option3="No",0,IF($A54&lt;ImplementationYear,0,IF($A54&gt;(ImplementationYear+(Appraisal_Period-1)),0,'Reduction in car usage'!$F$46*$B54)))</f>
        <v>0</v>
      </c>
      <c r="AW54" s="97">
        <f>IF(Option3="No",0,IF($A54&lt;ImplementationYear,0,IF($A54&gt;(ImplementationYear+(Appraisal_Period-1)),0,'Reduction in car usage'!$F$47*$B54)))</f>
        <v>0</v>
      </c>
      <c r="AX54" s="97">
        <f>IF(Option3="No",0,IF($A54&lt;ImplementationYear,0,IF($A54&gt;(ImplementationYear+(Appraisal_Period-1)),0,'Reduction in car usage'!$F$48*$B54)))</f>
        <v>0</v>
      </c>
    </row>
    <row r="55" spans="1:50">
      <c r="A55" s="335">
        <v>2050</v>
      </c>
      <c r="B55" s="62">
        <f>VLOOKUP($A55,'Time-series parameters'!$E$11:$H$89,3,FALSE)</f>
        <v>8.9533650152580732E-2</v>
      </c>
      <c r="C55" s="89"/>
      <c r="D55" s="94">
        <f>IF(Option1="No",0,IF($A55=ImplementationYear,('Project details'!$H$10-'Project details'!$D$10)*VLOOKUP(Year_cost_estimate,'Time-series parameters'!$B$11:$C$89,2,FALSE)*$B55*(1+Contingency),0))</f>
        <v>0</v>
      </c>
      <c r="E55" s="94">
        <f>IF(Option1="No",0,IF($A55&lt;ImplementationYear,0,IF($A55&gt;(ImplementationYear+(Appraisal_Period-1)),0,('Project details'!$H$11-'Project details'!$D$11)*VLOOKUP(Year_cost_estimate,'Time-series parameters'!$B$11:$C$89,2,0))*$B55))</f>
        <v>0</v>
      </c>
      <c r="F55" s="94">
        <f>IF(Option1="No",0,IF($A55=ImplementationYear,('Project details'!$H$12-'Project details'!$D$12)*VLOOKUP(Year_cost_estimate,'Time-series parameters'!$B$11:$C$89,2,FALSE)*$B55,0))</f>
        <v>0</v>
      </c>
      <c r="G55" s="97">
        <f>IF(Option1="No",0,IF($A55&lt;ImplementationYear,0,IF($A55&gt;(ImplementationYear+(Appraisal_Period-1)),0,Health!$D$21*$B55)))</f>
        <v>0</v>
      </c>
      <c r="H55" s="97">
        <f>IF(Option1="No",0,IF($A55&lt;ImplementationYear,0,IF($A55&gt;(ImplementationYear+(Appraisal_Period-1)),0,Health!$D$22*$B55)))</f>
        <v>0</v>
      </c>
      <c r="I55" s="97">
        <f>IF(Option1="No",0,IF($A55&lt;ImplementationYear,0,IF($A55&gt;(ImplementationYear+(Appraisal_Period-1)),0,SUM('Travel time'!$D$22:$D$23)*$B55)))</f>
        <v>0</v>
      </c>
      <c r="J55" s="97">
        <f>IF(Option1="No",0,IF($A55&lt;ImplementationYear,0,IF($A55&gt;(ImplementationYear+(Appraisal_Period-1)),0,SUM('Travel time'!$D$20:$D$21)*$B55)))</f>
        <v>0</v>
      </c>
      <c r="K55" s="97">
        <f>IF(Option1="No",0,IF($A55&lt;ImplementationYear,0,IF($A55&gt;(ImplementationYear+(Appraisal_Period-1)),0,SUM(Quality!$D$22:$D$23)*$B55)))</f>
        <v>0</v>
      </c>
      <c r="L55" s="97">
        <f>IF(Option1="No",0,IF($A55&lt;ImplementationYear,0,IF($A55&gt;(ImplementationYear+(Appraisal_Period-1)),0,SUM(Quality!$D$20:$D$21)*$B55)))</f>
        <v>0</v>
      </c>
      <c r="M55" s="97">
        <f>IF(Option1="No",0,IF($A55&lt;ImplementationYear,0,IF($A55&gt;(ImplementationYear+(Appraisal_Period-1)),0,'Mode change'!$D$36*$B55)))</f>
        <v>0</v>
      </c>
      <c r="N55" s="97">
        <f>IF(Option1="No",0,IF($A55&lt;ImplementationYear,0,IF($A55&gt;(ImplementationYear+(Appraisal_Period-1)),0,'Mode change'!$D$37*$B55)))</f>
        <v>0</v>
      </c>
      <c r="O55" s="97">
        <f>IF(Option1="No",0,IF($A55&lt;ImplementationYear,0,IF($A55&gt;(ImplementationYear+(Appraisal_Period-1)),0,'Road safety'!$D$22*$B55)))</f>
        <v>0</v>
      </c>
      <c r="P55" s="97">
        <f>IF(Option1="No",0,IF($A55&lt;ImplementationYear,0,IF($A55&gt;(ImplementationYear+(Appraisal_Period-1)),0,'Reduction in car usage'!$D$46*$B55)))</f>
        <v>0</v>
      </c>
      <c r="Q55" s="97">
        <f>IF(Option1="No",0,IF($A55&lt;ImplementationYear,0,IF($A55&gt;(ImplementationYear+(Appraisal_Period-1)),0,'Reduction in car usage'!$D$47*$B55)))</f>
        <v>0</v>
      </c>
      <c r="R55" s="97">
        <f>IF(Option1="No",0,IF($A55&lt;ImplementationYear,0,IF($A55&gt;(ImplementationYear+(Appraisal_Period-1)),0,'Reduction in car usage'!$D$48*$B55)))</f>
        <v>0</v>
      </c>
      <c r="S55" s="92"/>
      <c r="T55" s="94">
        <f>IF(Option2="No",0,IF($A55=ImplementationYear,('Project details'!$L$10-'Project details'!$D$10)*VLOOKUP(Year_cost_estimate,'Time-series parameters'!$B$11:$C$89,2,FALSE)*$B55*(1+Contingency),0))</f>
        <v>0</v>
      </c>
      <c r="U55" s="94">
        <f>IF(Option2="No",0,IF($A55&lt;ImplementationYear,0,IF($A55&gt;(ImplementationYear+(Appraisal_Period-1)),0,('Project details'!$L$11-'Project details'!$D$11)*VLOOKUP(Year_cost_estimate,'Time-series parameters'!$B$11:$C$89,2,0))*$B55))</f>
        <v>0</v>
      </c>
      <c r="V55" s="94">
        <f>IF(Option2="No",0,IF($A55=ImplementationYear,('Project details'!$L$12-'Project details'!$D$12)*VLOOKUP(Year_cost_estimate,'Time-series parameters'!$B$11:$C$89,2,FALSE)*$B55,0))</f>
        <v>0</v>
      </c>
      <c r="W55" s="97">
        <f>IF(Option2="No",0,IF($A55&lt;ImplementationYear,0,IF($A55&gt;(ImplementationYear+(Appraisal_Period-1)),0,Health!$E$21*$B55)))</f>
        <v>0</v>
      </c>
      <c r="X55" s="97">
        <f>IF(Option2="No",0,IF($A55&lt;ImplementationYear,0,IF($A55&gt;(ImplementationYear+(Appraisal_Period-1)),0,Health!$E$22*$B55)))</f>
        <v>0</v>
      </c>
      <c r="Y55" s="97">
        <f>IF(Option2="No",0,IF($A55&lt;ImplementationYear,0,IF($A55&gt;(ImplementationYear+(Appraisal_Period-1)),0,SUM('Travel time'!$E$22:$E$23)*$B55)))</f>
        <v>0</v>
      </c>
      <c r="Z55" s="97">
        <f>IF(Option2="No",0,IF($A55&lt;ImplementationYear,0,IF($A55&gt;(ImplementationYear+(Appraisal_Period-1)),0,SUM('Travel time'!$E$20:$E$21)*$B55)))</f>
        <v>0</v>
      </c>
      <c r="AA55" s="97">
        <f>IF(Option2="No",0,IF($A55&lt;ImplementationYear,0,IF($A55&gt;(ImplementationYear+(Appraisal_Period-1)),0,SUM(Quality!$E$22:$E$23)*$B55)))</f>
        <v>0</v>
      </c>
      <c r="AB55" s="97">
        <f>IF(Option2="No",0,IF($A55&lt;ImplementationYear,0,IF($A55&gt;(ImplementationYear+(Appraisal_Period-1)),0,SUM(Quality!$E$20:$E$21)*$B55)))</f>
        <v>0</v>
      </c>
      <c r="AC55" s="97">
        <f>IF(Option2="No",0,IF($A55&lt;ImplementationYear,0,IF($A55&gt;(ImplementationYear+(Appraisal_Period-1)),0,'Mode change'!$E$36*$B55)))</f>
        <v>0</v>
      </c>
      <c r="AD55" s="97">
        <f>IF(Option2="No",0,IF($A55&lt;ImplementationYear,0,IF($A55&gt;(ImplementationYear+(Appraisal_Period-1)),0,'Mode change'!$E$37*$B55)))</f>
        <v>0</v>
      </c>
      <c r="AE55" s="97">
        <f>IF(Option2="No",0,IF($A55&lt;ImplementationYear,0,IF($A55&gt;(ImplementationYear+(Appraisal_Period-1)),0,'Road safety'!$E$22*$B55)))</f>
        <v>0</v>
      </c>
      <c r="AF55" s="97">
        <f>IF(Option2="No",0,IF($A55&lt;ImplementationYear,0,IF($A55&gt;(ImplementationYear+(Appraisal_Period-1)),0,'Reduction in car usage'!$E$46*$B55)))</f>
        <v>0</v>
      </c>
      <c r="AG55" s="97">
        <f>IF(Option2="No",0,IF($A55&lt;ImplementationYear,0,IF($A55&gt;(ImplementationYear+(Appraisal_Period-1)),0,'Reduction in car usage'!$E$47*$B55)))</f>
        <v>0</v>
      </c>
      <c r="AH55" s="97">
        <f>IF(Option2="No",0,IF($A55&lt;ImplementationYear,0,IF($A55&gt;(ImplementationYear+(Appraisal_Period-1)),0,'Reduction in car usage'!$E$48*$B55)))</f>
        <v>0</v>
      </c>
      <c r="AJ55" s="94">
        <f>IF(Option3="No",0,IF($A55=ImplementationYear,('Project details'!$P$10-'Project details'!$D$10)*VLOOKUP(Year_cost_estimate,'Time-series parameters'!$B$11:$C$89,2,FALSE)*$B55*(1+Contingency),0))</f>
        <v>0</v>
      </c>
      <c r="AK55" s="94">
        <f>IF(Option3="No",0,IF($A55&lt;ImplementationYear,0,IF($A55&gt;(ImplementationYear+(Appraisal_Period-1)),0,('Project details'!$P$11-'Project details'!$D$11)*VLOOKUP(Year_cost_estimate,'Time-series parameters'!$B$11:$C$89,2,0))*$B55))</f>
        <v>0</v>
      </c>
      <c r="AL55" s="94">
        <f>IF(Option3="No",0,IF($A55=ImplementationYear,('Project details'!$P$12-'Project details'!$D$12)*VLOOKUP(Year_cost_estimate,'Time-series parameters'!$B$11:$C$89,2,FALSE)*$B55,0))</f>
        <v>0</v>
      </c>
      <c r="AM55" s="97">
        <f>IF(Option3="No",0,IF($A55&lt;ImplementationYear,0,IF($A55&gt;(ImplementationYear+(Appraisal_Period-1)),0,Health!$F$21*$B55)))</f>
        <v>0</v>
      </c>
      <c r="AN55" s="97">
        <f>IF(Option3="No",0,IF($A55&lt;ImplementationYear,0,IF($A55&gt;(ImplementationYear+(Appraisal_Period-1)),0,Health!$F$22*$B55)))</f>
        <v>0</v>
      </c>
      <c r="AO55" s="97">
        <f>IF(Option3="No",0,IF($A55&lt;ImplementationYear,0,IF($A55&gt;(ImplementationYear+(Appraisal_Period-1)),0,SUM('Travel time'!$F$22:$F$23)*$B55)))</f>
        <v>0</v>
      </c>
      <c r="AP55" s="97">
        <f>IF(Option3="No",0,IF($A55&lt;ImplementationYear,0,IF($A55&gt;(ImplementationYear+(Appraisal_Period-1)),0,SUM('Travel time'!$F$20:$F$21)*$B55)))</f>
        <v>0</v>
      </c>
      <c r="AQ55" s="97">
        <f>IF(Option3="No",0,IF($A55&lt;ImplementationYear,0,IF($A55&gt;(ImplementationYear+(Appraisal_Period-1)),0,SUM(Quality!$F$22:$F$23)*$B55)))</f>
        <v>0</v>
      </c>
      <c r="AR55" s="97">
        <f>IF(Option3="No",0,IF($A55&lt;ImplementationYear,0,IF($A55&gt;(ImplementationYear+(Appraisal_Period-1)),0,SUM(Quality!$F$20:$F$21)*$B55)))</f>
        <v>0</v>
      </c>
      <c r="AS55" s="97">
        <f>IF(Option3="No",0,IF($A55&lt;ImplementationYear,0,IF($A55&gt;(ImplementationYear+(Appraisal_Period-1)),0,'Mode change'!$F$36*$B55)))</f>
        <v>0</v>
      </c>
      <c r="AT55" s="97">
        <f>IF(Option3="No",0,IF($A55&lt;ImplementationYear,0,IF($A55&gt;(ImplementationYear+(Appraisal_Period-1)),0,'Mode change'!$F$37*$B55)))</f>
        <v>0</v>
      </c>
      <c r="AU55" s="97">
        <f>IF(Option3="No",0,IF($A55&lt;ImplementationYear,0,IF($A55&gt;(ImplementationYear+(Appraisal_Period-1)),0,'Road safety'!$F$22*$B55)))</f>
        <v>0</v>
      </c>
      <c r="AV55" s="97">
        <f>IF(Option3="No",0,IF($A55&lt;ImplementationYear,0,IF($A55&gt;(ImplementationYear+(Appraisal_Period-1)),0,'Reduction in car usage'!$F$46*$B55)))</f>
        <v>0</v>
      </c>
      <c r="AW55" s="97">
        <f>IF(Option3="No",0,IF($A55&lt;ImplementationYear,0,IF($A55&gt;(ImplementationYear+(Appraisal_Period-1)),0,'Reduction in car usage'!$F$47*$B55)))</f>
        <v>0</v>
      </c>
      <c r="AX55" s="97">
        <f>IF(Option3="No",0,IF($A55&lt;ImplementationYear,0,IF($A55&gt;(ImplementationYear+(Appraisal_Period-1)),0,'Reduction in car usage'!$F$48*$B55)))</f>
        <v>0</v>
      </c>
    </row>
    <row r="56" spans="1:50">
      <c r="A56" s="335">
        <v>2051</v>
      </c>
      <c r="B56" s="62">
        <f>VLOOKUP($A56,'Time-series parameters'!$E$11:$H$89,3,FALSE)</f>
        <v>8.4161631143425883E-2</v>
      </c>
      <c r="C56" s="89"/>
      <c r="D56" s="94">
        <f>IF(Option1="No",0,IF($A56=ImplementationYear,('Project details'!$H$10-'Project details'!$D$10)*VLOOKUP(Year_cost_estimate,'Time-series parameters'!$B$11:$C$89,2,FALSE)*$B56*(1+Contingency),0))</f>
        <v>0</v>
      </c>
      <c r="E56" s="94">
        <f>IF(Option1="No",0,IF($A56&lt;ImplementationYear,0,IF($A56&gt;(ImplementationYear+(Appraisal_Period-1)),0,('Project details'!$H$11-'Project details'!$D$11)*VLOOKUP(Year_cost_estimate,'Time-series parameters'!$B$11:$C$89,2,0))*$B56))</f>
        <v>0</v>
      </c>
      <c r="F56" s="94">
        <f>IF(Option1="No",0,IF($A56=ImplementationYear,('Project details'!$H$12-'Project details'!$D$12)*VLOOKUP(Year_cost_estimate,'Time-series parameters'!$B$11:$C$89,2,FALSE)*$B56,0))</f>
        <v>0</v>
      </c>
      <c r="G56" s="97">
        <f>IF(Option1="No",0,IF($A56&lt;ImplementationYear,0,IF($A56&gt;(ImplementationYear+(Appraisal_Period-1)),0,Health!$D$21*$B56)))</f>
        <v>0</v>
      </c>
      <c r="H56" s="97">
        <f>IF(Option1="No",0,IF($A56&lt;ImplementationYear,0,IF($A56&gt;(ImplementationYear+(Appraisal_Period-1)),0,Health!$D$22*$B56)))</f>
        <v>0</v>
      </c>
      <c r="I56" s="97">
        <f>IF(Option1="No",0,IF($A56&lt;ImplementationYear,0,IF($A56&gt;(ImplementationYear+(Appraisal_Period-1)),0,SUM('Travel time'!$D$22:$D$23)*$B56)))</f>
        <v>0</v>
      </c>
      <c r="J56" s="97">
        <f>IF(Option1="No",0,IF($A56&lt;ImplementationYear,0,IF($A56&gt;(ImplementationYear+(Appraisal_Period-1)),0,SUM('Travel time'!$D$20:$D$21)*$B56)))</f>
        <v>0</v>
      </c>
      <c r="K56" s="97">
        <f>IF(Option1="No",0,IF($A56&lt;ImplementationYear,0,IF($A56&gt;(ImplementationYear+(Appraisal_Period-1)),0,SUM(Quality!$D$22:$D$23)*$B56)))</f>
        <v>0</v>
      </c>
      <c r="L56" s="97">
        <f>IF(Option1="No",0,IF($A56&lt;ImplementationYear,0,IF($A56&gt;(ImplementationYear+(Appraisal_Period-1)),0,SUM(Quality!$D$20:$D$21)*$B56)))</f>
        <v>0</v>
      </c>
      <c r="M56" s="97">
        <f>IF(Option1="No",0,IF($A56&lt;ImplementationYear,0,IF($A56&gt;(ImplementationYear+(Appraisal_Period-1)),0,'Mode change'!$D$36*$B56)))</f>
        <v>0</v>
      </c>
      <c r="N56" s="97">
        <f>IF(Option1="No",0,IF($A56&lt;ImplementationYear,0,IF($A56&gt;(ImplementationYear+(Appraisal_Period-1)),0,'Mode change'!$D$37*$B56)))</f>
        <v>0</v>
      </c>
      <c r="O56" s="97">
        <f>IF(Option1="No",0,IF($A56&lt;ImplementationYear,0,IF($A56&gt;(ImplementationYear+(Appraisal_Period-1)),0,'Road safety'!$D$22*$B56)))</f>
        <v>0</v>
      </c>
      <c r="P56" s="97">
        <f>IF(Option1="No",0,IF($A56&lt;ImplementationYear,0,IF($A56&gt;(ImplementationYear+(Appraisal_Period-1)),0,'Reduction in car usage'!$D$46*$B56)))</f>
        <v>0</v>
      </c>
      <c r="Q56" s="97">
        <f>IF(Option1="No",0,IF($A56&lt;ImplementationYear,0,IF($A56&gt;(ImplementationYear+(Appraisal_Period-1)),0,'Reduction in car usage'!$D$47*$B56)))</f>
        <v>0</v>
      </c>
      <c r="R56" s="97">
        <f>IF(Option1="No",0,IF($A56&lt;ImplementationYear,0,IF($A56&gt;(ImplementationYear+(Appraisal_Period-1)),0,'Reduction in car usage'!$D$48*$B56)))</f>
        <v>0</v>
      </c>
      <c r="S56" s="92"/>
      <c r="T56" s="94">
        <f>IF(Option2="No",0,IF($A56=ImplementationYear,('Project details'!$L$10-'Project details'!$D$10)*VLOOKUP(Year_cost_estimate,'Time-series parameters'!$B$11:$C$89,2,FALSE)*$B56*(1+Contingency),0))</f>
        <v>0</v>
      </c>
      <c r="U56" s="94">
        <f>IF(Option2="No",0,IF($A56&lt;ImplementationYear,0,IF($A56&gt;(ImplementationYear+(Appraisal_Period-1)),0,('Project details'!$L$11-'Project details'!$D$11)*VLOOKUP(Year_cost_estimate,'Time-series parameters'!$B$11:$C$89,2,0))*$B56))</f>
        <v>0</v>
      </c>
      <c r="V56" s="94">
        <f>IF(Option2="No",0,IF($A56=ImplementationYear,('Project details'!$L$12-'Project details'!$D$12)*VLOOKUP(Year_cost_estimate,'Time-series parameters'!$B$11:$C$89,2,FALSE)*$B56,0))</f>
        <v>0</v>
      </c>
      <c r="W56" s="97">
        <f>IF(Option2="No",0,IF($A56&lt;ImplementationYear,0,IF($A56&gt;(ImplementationYear+(Appraisal_Period-1)),0,Health!$E$21*$B56)))</f>
        <v>0</v>
      </c>
      <c r="X56" s="97">
        <f>IF(Option2="No",0,IF($A56&lt;ImplementationYear,0,IF($A56&gt;(ImplementationYear+(Appraisal_Period-1)),0,Health!$E$22*$B56)))</f>
        <v>0</v>
      </c>
      <c r="Y56" s="97">
        <f>IF(Option2="No",0,IF($A56&lt;ImplementationYear,0,IF($A56&gt;(ImplementationYear+(Appraisal_Period-1)),0,SUM('Travel time'!$E$22:$E$23)*$B56)))</f>
        <v>0</v>
      </c>
      <c r="Z56" s="97">
        <f>IF(Option2="No",0,IF($A56&lt;ImplementationYear,0,IF($A56&gt;(ImplementationYear+(Appraisal_Period-1)),0,SUM('Travel time'!$E$20:$E$21)*$B56)))</f>
        <v>0</v>
      </c>
      <c r="AA56" s="97">
        <f>IF(Option2="No",0,IF($A56&lt;ImplementationYear,0,IF($A56&gt;(ImplementationYear+(Appraisal_Period-1)),0,SUM(Quality!$E$22:$E$23)*$B56)))</f>
        <v>0</v>
      </c>
      <c r="AB56" s="97">
        <f>IF(Option2="No",0,IF($A56&lt;ImplementationYear,0,IF($A56&gt;(ImplementationYear+(Appraisal_Period-1)),0,SUM(Quality!$E$20:$E$21)*$B56)))</f>
        <v>0</v>
      </c>
      <c r="AC56" s="97">
        <f>IF(Option2="No",0,IF($A56&lt;ImplementationYear,0,IF($A56&gt;(ImplementationYear+(Appraisal_Period-1)),0,'Mode change'!$E$36*$B56)))</f>
        <v>0</v>
      </c>
      <c r="AD56" s="97">
        <f>IF(Option2="No",0,IF($A56&lt;ImplementationYear,0,IF($A56&gt;(ImplementationYear+(Appraisal_Period-1)),0,'Mode change'!$E$37*$B56)))</f>
        <v>0</v>
      </c>
      <c r="AE56" s="97">
        <f>IF(Option2="No",0,IF($A56&lt;ImplementationYear,0,IF($A56&gt;(ImplementationYear+(Appraisal_Period-1)),0,'Road safety'!$E$22*$B56)))</f>
        <v>0</v>
      </c>
      <c r="AF56" s="97">
        <f>IF(Option2="No",0,IF($A56&lt;ImplementationYear,0,IF($A56&gt;(ImplementationYear+(Appraisal_Period-1)),0,'Reduction in car usage'!$E$46*$B56)))</f>
        <v>0</v>
      </c>
      <c r="AG56" s="97">
        <f>IF(Option2="No",0,IF($A56&lt;ImplementationYear,0,IF($A56&gt;(ImplementationYear+(Appraisal_Period-1)),0,'Reduction in car usage'!$E$47*$B56)))</f>
        <v>0</v>
      </c>
      <c r="AH56" s="97">
        <f>IF(Option2="No",0,IF($A56&lt;ImplementationYear,0,IF($A56&gt;(ImplementationYear+(Appraisal_Period-1)),0,'Reduction in car usage'!$E$48*$B56)))</f>
        <v>0</v>
      </c>
      <c r="AJ56" s="94">
        <f>IF(Option3="No",0,IF($A56=ImplementationYear,('Project details'!$P$10-'Project details'!$D$10)*VLOOKUP(Year_cost_estimate,'Time-series parameters'!$B$11:$C$89,2,FALSE)*$B56*(1+Contingency),0))</f>
        <v>0</v>
      </c>
      <c r="AK56" s="94">
        <f>IF(Option3="No",0,IF($A56&lt;ImplementationYear,0,IF($A56&gt;(ImplementationYear+(Appraisal_Period-1)),0,('Project details'!$P$11-'Project details'!$D$11)*VLOOKUP(Year_cost_estimate,'Time-series parameters'!$B$11:$C$89,2,0))*$B56))</f>
        <v>0</v>
      </c>
      <c r="AL56" s="94">
        <f>IF(Option3="No",0,IF($A56=ImplementationYear,('Project details'!$P$12-'Project details'!$D$12)*VLOOKUP(Year_cost_estimate,'Time-series parameters'!$B$11:$C$89,2,FALSE)*$B56,0))</f>
        <v>0</v>
      </c>
      <c r="AM56" s="97">
        <f>IF(Option3="No",0,IF($A56&lt;ImplementationYear,0,IF($A56&gt;(ImplementationYear+(Appraisal_Period-1)),0,Health!$F$21*$B56)))</f>
        <v>0</v>
      </c>
      <c r="AN56" s="97">
        <f>IF(Option3="No",0,IF($A56&lt;ImplementationYear,0,IF($A56&gt;(ImplementationYear+(Appraisal_Period-1)),0,Health!$F$22*$B56)))</f>
        <v>0</v>
      </c>
      <c r="AO56" s="97">
        <f>IF(Option3="No",0,IF($A56&lt;ImplementationYear,0,IF($A56&gt;(ImplementationYear+(Appraisal_Period-1)),0,SUM('Travel time'!$F$22:$F$23)*$B56)))</f>
        <v>0</v>
      </c>
      <c r="AP56" s="97">
        <f>IF(Option3="No",0,IF($A56&lt;ImplementationYear,0,IF($A56&gt;(ImplementationYear+(Appraisal_Period-1)),0,SUM('Travel time'!$F$20:$F$21)*$B56)))</f>
        <v>0</v>
      </c>
      <c r="AQ56" s="97">
        <f>IF(Option3="No",0,IF($A56&lt;ImplementationYear,0,IF($A56&gt;(ImplementationYear+(Appraisal_Period-1)),0,SUM(Quality!$F$22:$F$23)*$B56)))</f>
        <v>0</v>
      </c>
      <c r="AR56" s="97">
        <f>IF(Option3="No",0,IF($A56&lt;ImplementationYear,0,IF($A56&gt;(ImplementationYear+(Appraisal_Period-1)),0,SUM(Quality!$F$20:$F$21)*$B56)))</f>
        <v>0</v>
      </c>
      <c r="AS56" s="97">
        <f>IF(Option3="No",0,IF($A56&lt;ImplementationYear,0,IF($A56&gt;(ImplementationYear+(Appraisal_Period-1)),0,'Mode change'!$F$36*$B56)))</f>
        <v>0</v>
      </c>
      <c r="AT56" s="97">
        <f>IF(Option3="No",0,IF($A56&lt;ImplementationYear,0,IF($A56&gt;(ImplementationYear+(Appraisal_Period-1)),0,'Mode change'!$F$37*$B56)))</f>
        <v>0</v>
      </c>
      <c r="AU56" s="97">
        <f>IF(Option3="No",0,IF($A56&lt;ImplementationYear,0,IF($A56&gt;(ImplementationYear+(Appraisal_Period-1)),0,'Road safety'!$F$22*$B56)))</f>
        <v>0</v>
      </c>
      <c r="AV56" s="97">
        <f>IF(Option3="No",0,IF($A56&lt;ImplementationYear,0,IF($A56&gt;(ImplementationYear+(Appraisal_Period-1)),0,'Reduction in car usage'!$F$46*$B56)))</f>
        <v>0</v>
      </c>
      <c r="AW56" s="97">
        <f>IF(Option3="No",0,IF($A56&lt;ImplementationYear,0,IF($A56&gt;(ImplementationYear+(Appraisal_Period-1)),0,'Reduction in car usage'!$F$47*$B56)))</f>
        <v>0</v>
      </c>
      <c r="AX56" s="97">
        <f>IF(Option3="No",0,IF($A56&lt;ImplementationYear,0,IF($A56&gt;(ImplementationYear+(Appraisal_Period-1)),0,'Reduction in car usage'!$F$48*$B56)))</f>
        <v>0</v>
      </c>
    </row>
    <row r="57" spans="1:50">
      <c r="A57" s="335">
        <v>2052</v>
      </c>
      <c r="B57" s="62">
        <f>VLOOKUP($A57,'Time-series parameters'!$E$11:$H$89,3,FALSE)</f>
        <v>7.9111933274820329E-2</v>
      </c>
      <c r="C57" s="89"/>
      <c r="D57" s="94">
        <f>IF(Option1="No",0,IF($A57=ImplementationYear,('Project details'!$H$10-'Project details'!$D$10)*VLOOKUP(Year_cost_estimate,'Time-series parameters'!$B$11:$C$89,2,FALSE)*$B57*(1+Contingency),0))</f>
        <v>0</v>
      </c>
      <c r="E57" s="94">
        <f>IF(Option1="No",0,IF($A57&lt;ImplementationYear,0,IF($A57&gt;(ImplementationYear+(Appraisal_Period-1)),0,('Project details'!$H$11-'Project details'!$D$11)*VLOOKUP(Year_cost_estimate,'Time-series parameters'!$B$11:$C$89,2,0))*$B57))</f>
        <v>0</v>
      </c>
      <c r="F57" s="94">
        <f>IF(Option1="No",0,IF($A57=ImplementationYear,('Project details'!$H$12-'Project details'!$D$12)*VLOOKUP(Year_cost_estimate,'Time-series parameters'!$B$11:$C$89,2,FALSE)*$B57,0))</f>
        <v>0</v>
      </c>
      <c r="G57" s="97">
        <f>IF(Option1="No",0,IF($A57&lt;ImplementationYear,0,IF($A57&gt;(ImplementationYear+(Appraisal_Period-1)),0,Health!$D$21*$B57)))</f>
        <v>0</v>
      </c>
      <c r="H57" s="97">
        <f>IF(Option1="No",0,IF($A57&lt;ImplementationYear,0,IF($A57&gt;(ImplementationYear+(Appraisal_Period-1)),0,Health!$D$22*$B57)))</f>
        <v>0</v>
      </c>
      <c r="I57" s="97">
        <f>IF(Option1="No",0,IF($A57&lt;ImplementationYear,0,IF($A57&gt;(ImplementationYear+(Appraisal_Period-1)),0,SUM('Travel time'!$D$22:$D$23)*$B57)))</f>
        <v>0</v>
      </c>
      <c r="J57" s="97">
        <f>IF(Option1="No",0,IF($A57&lt;ImplementationYear,0,IF($A57&gt;(ImplementationYear+(Appraisal_Period-1)),0,SUM('Travel time'!$D$20:$D$21)*$B57)))</f>
        <v>0</v>
      </c>
      <c r="K57" s="97">
        <f>IF(Option1="No",0,IF($A57&lt;ImplementationYear,0,IF($A57&gt;(ImplementationYear+(Appraisal_Period-1)),0,SUM(Quality!$D$22:$D$23)*$B57)))</f>
        <v>0</v>
      </c>
      <c r="L57" s="97">
        <f>IF(Option1="No",0,IF($A57&lt;ImplementationYear,0,IF($A57&gt;(ImplementationYear+(Appraisal_Period-1)),0,SUM(Quality!$D$20:$D$21)*$B57)))</f>
        <v>0</v>
      </c>
      <c r="M57" s="97">
        <f>IF(Option1="No",0,IF($A57&lt;ImplementationYear,0,IF($A57&gt;(ImplementationYear+(Appraisal_Period-1)),0,'Mode change'!$D$36*$B57)))</f>
        <v>0</v>
      </c>
      <c r="N57" s="97">
        <f>IF(Option1="No",0,IF($A57&lt;ImplementationYear,0,IF($A57&gt;(ImplementationYear+(Appraisal_Period-1)),0,'Mode change'!$D$37*$B57)))</f>
        <v>0</v>
      </c>
      <c r="O57" s="97">
        <f>IF(Option1="No",0,IF($A57&lt;ImplementationYear,0,IF($A57&gt;(ImplementationYear+(Appraisal_Period-1)),0,'Road safety'!$D$22*$B57)))</f>
        <v>0</v>
      </c>
      <c r="P57" s="97">
        <f>IF(Option1="No",0,IF($A57&lt;ImplementationYear,0,IF($A57&gt;(ImplementationYear+(Appraisal_Period-1)),0,'Reduction in car usage'!$D$46*$B57)))</f>
        <v>0</v>
      </c>
      <c r="Q57" s="97">
        <f>IF(Option1="No",0,IF($A57&lt;ImplementationYear,0,IF($A57&gt;(ImplementationYear+(Appraisal_Period-1)),0,'Reduction in car usage'!$D$47*$B57)))</f>
        <v>0</v>
      </c>
      <c r="R57" s="97">
        <f>IF(Option1="No",0,IF($A57&lt;ImplementationYear,0,IF($A57&gt;(ImplementationYear+(Appraisal_Period-1)),0,'Reduction in car usage'!$D$48*$B57)))</f>
        <v>0</v>
      </c>
      <c r="S57" s="92"/>
      <c r="T57" s="94">
        <f>IF(Option2="No",0,IF($A57=ImplementationYear,('Project details'!$L$10-'Project details'!$D$10)*VLOOKUP(Year_cost_estimate,'Time-series parameters'!$B$11:$C$89,2,FALSE)*$B57*(1+Contingency),0))</f>
        <v>0</v>
      </c>
      <c r="U57" s="94">
        <f>IF(Option2="No",0,IF($A57&lt;ImplementationYear,0,IF($A57&gt;(ImplementationYear+(Appraisal_Period-1)),0,('Project details'!$L$11-'Project details'!$D$11)*VLOOKUP(Year_cost_estimate,'Time-series parameters'!$B$11:$C$89,2,0))*$B57))</f>
        <v>0</v>
      </c>
      <c r="V57" s="94">
        <f>IF(Option2="No",0,IF($A57=ImplementationYear,('Project details'!$L$12-'Project details'!$D$12)*VLOOKUP(Year_cost_estimate,'Time-series parameters'!$B$11:$C$89,2,FALSE)*$B57,0))</f>
        <v>0</v>
      </c>
      <c r="W57" s="97">
        <f>IF(Option2="No",0,IF($A57&lt;ImplementationYear,0,IF($A57&gt;(ImplementationYear+(Appraisal_Period-1)),0,Health!$E$21*$B57)))</f>
        <v>0</v>
      </c>
      <c r="X57" s="97">
        <f>IF(Option2="No",0,IF($A57&lt;ImplementationYear,0,IF($A57&gt;(ImplementationYear+(Appraisal_Period-1)),0,Health!$E$22*$B57)))</f>
        <v>0</v>
      </c>
      <c r="Y57" s="97">
        <f>IF(Option2="No",0,IF($A57&lt;ImplementationYear,0,IF($A57&gt;(ImplementationYear+(Appraisal_Period-1)),0,SUM('Travel time'!$E$22:$E$23)*$B57)))</f>
        <v>0</v>
      </c>
      <c r="Z57" s="97">
        <f>IF(Option2="No",0,IF($A57&lt;ImplementationYear,0,IF($A57&gt;(ImplementationYear+(Appraisal_Period-1)),0,SUM('Travel time'!$E$20:$E$21)*$B57)))</f>
        <v>0</v>
      </c>
      <c r="AA57" s="97">
        <f>IF(Option2="No",0,IF($A57&lt;ImplementationYear,0,IF($A57&gt;(ImplementationYear+(Appraisal_Period-1)),0,SUM(Quality!$E$22:$E$23)*$B57)))</f>
        <v>0</v>
      </c>
      <c r="AB57" s="97">
        <f>IF(Option2="No",0,IF($A57&lt;ImplementationYear,0,IF($A57&gt;(ImplementationYear+(Appraisal_Period-1)),0,SUM(Quality!$E$20:$E$21)*$B57)))</f>
        <v>0</v>
      </c>
      <c r="AC57" s="97">
        <f>IF(Option2="No",0,IF($A57&lt;ImplementationYear,0,IF($A57&gt;(ImplementationYear+(Appraisal_Period-1)),0,'Mode change'!$E$36*$B57)))</f>
        <v>0</v>
      </c>
      <c r="AD57" s="97">
        <f>IF(Option2="No",0,IF($A57&lt;ImplementationYear,0,IF($A57&gt;(ImplementationYear+(Appraisal_Period-1)),0,'Mode change'!$E$37*$B57)))</f>
        <v>0</v>
      </c>
      <c r="AE57" s="97">
        <f>IF(Option2="No",0,IF($A57&lt;ImplementationYear,0,IF($A57&gt;(ImplementationYear+(Appraisal_Period-1)),0,'Road safety'!$E$22*$B57)))</f>
        <v>0</v>
      </c>
      <c r="AF57" s="97">
        <f>IF(Option2="No",0,IF($A57&lt;ImplementationYear,0,IF($A57&gt;(ImplementationYear+(Appraisal_Period-1)),0,'Reduction in car usage'!$E$46*$B57)))</f>
        <v>0</v>
      </c>
      <c r="AG57" s="97">
        <f>IF(Option2="No",0,IF($A57&lt;ImplementationYear,0,IF($A57&gt;(ImplementationYear+(Appraisal_Period-1)),0,'Reduction in car usage'!$E$47*$B57)))</f>
        <v>0</v>
      </c>
      <c r="AH57" s="97">
        <f>IF(Option2="No",0,IF($A57&lt;ImplementationYear,0,IF($A57&gt;(ImplementationYear+(Appraisal_Period-1)),0,'Reduction in car usage'!$E$48*$B57)))</f>
        <v>0</v>
      </c>
      <c r="AJ57" s="94">
        <f>IF(Option3="No",0,IF($A57=ImplementationYear,('Project details'!$P$10-'Project details'!$D$10)*VLOOKUP(Year_cost_estimate,'Time-series parameters'!$B$11:$C$89,2,FALSE)*$B57*(1+Contingency),0))</f>
        <v>0</v>
      </c>
      <c r="AK57" s="94">
        <f>IF(Option3="No",0,IF($A57&lt;ImplementationYear,0,IF($A57&gt;(ImplementationYear+(Appraisal_Period-1)),0,('Project details'!$P$11-'Project details'!$D$11)*VLOOKUP(Year_cost_estimate,'Time-series parameters'!$B$11:$C$89,2,0))*$B57))</f>
        <v>0</v>
      </c>
      <c r="AL57" s="94">
        <f>IF(Option3="No",0,IF($A57=ImplementationYear,('Project details'!$P$12-'Project details'!$D$12)*VLOOKUP(Year_cost_estimate,'Time-series parameters'!$B$11:$C$89,2,FALSE)*$B57,0))</f>
        <v>0</v>
      </c>
      <c r="AM57" s="97">
        <f>IF(Option3="No",0,IF($A57&lt;ImplementationYear,0,IF($A57&gt;(ImplementationYear+(Appraisal_Period-1)),0,Health!$F$21*$B57)))</f>
        <v>0</v>
      </c>
      <c r="AN57" s="97">
        <f>IF(Option3="No",0,IF($A57&lt;ImplementationYear,0,IF($A57&gt;(ImplementationYear+(Appraisal_Period-1)),0,Health!$F$22*$B57)))</f>
        <v>0</v>
      </c>
      <c r="AO57" s="97">
        <f>IF(Option3="No",0,IF($A57&lt;ImplementationYear,0,IF($A57&gt;(ImplementationYear+(Appraisal_Period-1)),0,SUM('Travel time'!$F$22:$F$23)*$B57)))</f>
        <v>0</v>
      </c>
      <c r="AP57" s="97">
        <f>IF(Option3="No",0,IF($A57&lt;ImplementationYear,0,IF($A57&gt;(ImplementationYear+(Appraisal_Period-1)),0,SUM('Travel time'!$F$20:$F$21)*$B57)))</f>
        <v>0</v>
      </c>
      <c r="AQ57" s="97">
        <f>IF(Option3="No",0,IF($A57&lt;ImplementationYear,0,IF($A57&gt;(ImplementationYear+(Appraisal_Period-1)),0,SUM(Quality!$F$22:$F$23)*$B57)))</f>
        <v>0</v>
      </c>
      <c r="AR57" s="97">
        <f>IF(Option3="No",0,IF($A57&lt;ImplementationYear,0,IF($A57&gt;(ImplementationYear+(Appraisal_Period-1)),0,SUM(Quality!$F$20:$F$21)*$B57)))</f>
        <v>0</v>
      </c>
      <c r="AS57" s="97">
        <f>IF(Option3="No",0,IF($A57&lt;ImplementationYear,0,IF($A57&gt;(ImplementationYear+(Appraisal_Period-1)),0,'Mode change'!$F$36*$B57)))</f>
        <v>0</v>
      </c>
      <c r="AT57" s="97">
        <f>IF(Option3="No",0,IF($A57&lt;ImplementationYear,0,IF($A57&gt;(ImplementationYear+(Appraisal_Period-1)),0,'Mode change'!$F$37*$B57)))</f>
        <v>0</v>
      </c>
      <c r="AU57" s="97">
        <f>IF(Option3="No",0,IF($A57&lt;ImplementationYear,0,IF($A57&gt;(ImplementationYear+(Appraisal_Period-1)),0,'Road safety'!$F$22*$B57)))</f>
        <v>0</v>
      </c>
      <c r="AV57" s="97">
        <f>IF(Option3="No",0,IF($A57&lt;ImplementationYear,0,IF($A57&gt;(ImplementationYear+(Appraisal_Period-1)),0,'Reduction in car usage'!$F$46*$B57)))</f>
        <v>0</v>
      </c>
      <c r="AW57" s="97">
        <f>IF(Option3="No",0,IF($A57&lt;ImplementationYear,0,IF($A57&gt;(ImplementationYear+(Appraisal_Period-1)),0,'Reduction in car usage'!$F$47*$B57)))</f>
        <v>0</v>
      </c>
      <c r="AX57" s="97">
        <f>IF(Option3="No",0,IF($A57&lt;ImplementationYear,0,IF($A57&gt;(ImplementationYear+(Appraisal_Period-1)),0,'Reduction in car usage'!$F$48*$B57)))</f>
        <v>0</v>
      </c>
    </row>
    <row r="58" spans="1:50">
      <c r="A58" s="335">
        <v>2053</v>
      </c>
      <c r="B58" s="62">
        <f>VLOOKUP($A58,'Time-series parameters'!$E$11:$H$89,3,FALSE)</f>
        <v>7.4365217278331106E-2</v>
      </c>
      <c r="C58" s="89"/>
      <c r="D58" s="94">
        <f>IF(Option1="No",0,IF($A58=ImplementationYear,('Project details'!$H$10-'Project details'!$D$10)*VLOOKUP(Year_cost_estimate,'Time-series parameters'!$B$11:$C$89,2,FALSE)*$B58*(1+Contingency),0))</f>
        <v>0</v>
      </c>
      <c r="E58" s="94">
        <f>IF(Option1="No",0,IF($A58&lt;ImplementationYear,0,IF($A58&gt;(ImplementationYear+(Appraisal_Period-1)),0,('Project details'!$H$11-'Project details'!$D$11)*VLOOKUP(Year_cost_estimate,'Time-series parameters'!$B$11:$C$89,2,0))*$B58))</f>
        <v>0</v>
      </c>
      <c r="F58" s="94">
        <f>IF(Option1="No",0,IF($A58=ImplementationYear,('Project details'!$H$12-'Project details'!$D$12)*VLOOKUP(Year_cost_estimate,'Time-series parameters'!$B$11:$C$89,2,FALSE)*$B58,0))</f>
        <v>0</v>
      </c>
      <c r="G58" s="97">
        <f>IF(Option1="No",0,IF($A58&lt;ImplementationYear,0,IF($A58&gt;(ImplementationYear+(Appraisal_Period-1)),0,Health!$D$21*$B58)))</f>
        <v>0</v>
      </c>
      <c r="H58" s="97">
        <f>IF(Option1="No",0,IF($A58&lt;ImplementationYear,0,IF($A58&gt;(ImplementationYear+(Appraisal_Period-1)),0,Health!$D$22*$B58)))</f>
        <v>0</v>
      </c>
      <c r="I58" s="97">
        <f>IF(Option1="No",0,IF($A58&lt;ImplementationYear,0,IF($A58&gt;(ImplementationYear+(Appraisal_Period-1)),0,SUM('Travel time'!$D$22:$D$23)*$B58)))</f>
        <v>0</v>
      </c>
      <c r="J58" s="97">
        <f>IF(Option1="No",0,IF($A58&lt;ImplementationYear,0,IF($A58&gt;(ImplementationYear+(Appraisal_Period-1)),0,SUM('Travel time'!$D$20:$D$21)*$B58)))</f>
        <v>0</v>
      </c>
      <c r="K58" s="97">
        <f>IF(Option1="No",0,IF($A58&lt;ImplementationYear,0,IF($A58&gt;(ImplementationYear+(Appraisal_Period-1)),0,SUM(Quality!$D$22:$D$23)*$B58)))</f>
        <v>0</v>
      </c>
      <c r="L58" s="97">
        <f>IF(Option1="No",0,IF($A58&lt;ImplementationYear,0,IF($A58&gt;(ImplementationYear+(Appraisal_Period-1)),0,SUM(Quality!$D$20:$D$21)*$B58)))</f>
        <v>0</v>
      </c>
      <c r="M58" s="97">
        <f>IF(Option1="No",0,IF($A58&lt;ImplementationYear,0,IF($A58&gt;(ImplementationYear+(Appraisal_Period-1)),0,'Mode change'!$D$36*$B58)))</f>
        <v>0</v>
      </c>
      <c r="N58" s="97">
        <f>IF(Option1="No",0,IF($A58&lt;ImplementationYear,0,IF($A58&gt;(ImplementationYear+(Appraisal_Period-1)),0,'Mode change'!$D$37*$B58)))</f>
        <v>0</v>
      </c>
      <c r="O58" s="97">
        <f>IF(Option1="No",0,IF($A58&lt;ImplementationYear,0,IF($A58&gt;(ImplementationYear+(Appraisal_Period-1)),0,'Road safety'!$D$22*$B58)))</f>
        <v>0</v>
      </c>
      <c r="P58" s="97">
        <f>IF(Option1="No",0,IF($A58&lt;ImplementationYear,0,IF($A58&gt;(ImplementationYear+(Appraisal_Period-1)),0,'Reduction in car usage'!$D$46*$B58)))</f>
        <v>0</v>
      </c>
      <c r="Q58" s="97">
        <f>IF(Option1="No",0,IF($A58&lt;ImplementationYear,0,IF($A58&gt;(ImplementationYear+(Appraisal_Period-1)),0,'Reduction in car usage'!$D$47*$B58)))</f>
        <v>0</v>
      </c>
      <c r="R58" s="97">
        <f>IF(Option1="No",0,IF($A58&lt;ImplementationYear,0,IF($A58&gt;(ImplementationYear+(Appraisal_Period-1)),0,'Reduction in car usage'!$D$48*$B58)))</f>
        <v>0</v>
      </c>
      <c r="S58" s="92"/>
      <c r="T58" s="94">
        <f>IF(Option2="No",0,IF($A58=ImplementationYear,('Project details'!$L$10-'Project details'!$D$10)*VLOOKUP(Year_cost_estimate,'Time-series parameters'!$B$11:$C$89,2,FALSE)*$B58*(1+Contingency),0))</f>
        <v>0</v>
      </c>
      <c r="U58" s="94">
        <f>IF(Option2="No",0,IF($A58&lt;ImplementationYear,0,IF($A58&gt;(ImplementationYear+(Appraisal_Period-1)),0,('Project details'!$L$11-'Project details'!$D$11)*VLOOKUP(Year_cost_estimate,'Time-series parameters'!$B$11:$C$89,2,0))*$B58))</f>
        <v>0</v>
      </c>
      <c r="V58" s="94">
        <f>IF(Option2="No",0,IF($A58=ImplementationYear,('Project details'!$L$12-'Project details'!$D$12)*VLOOKUP(Year_cost_estimate,'Time-series parameters'!$B$11:$C$89,2,FALSE)*$B58,0))</f>
        <v>0</v>
      </c>
      <c r="W58" s="97">
        <f>IF(Option2="No",0,IF($A58&lt;ImplementationYear,0,IF($A58&gt;(ImplementationYear+(Appraisal_Period-1)),0,Health!$E$21*$B58)))</f>
        <v>0</v>
      </c>
      <c r="X58" s="97">
        <f>IF(Option2="No",0,IF($A58&lt;ImplementationYear,0,IF($A58&gt;(ImplementationYear+(Appraisal_Period-1)),0,Health!$E$22*$B58)))</f>
        <v>0</v>
      </c>
      <c r="Y58" s="97">
        <f>IF(Option2="No",0,IF($A58&lt;ImplementationYear,0,IF($A58&gt;(ImplementationYear+(Appraisal_Period-1)),0,SUM('Travel time'!$E$22:$E$23)*$B58)))</f>
        <v>0</v>
      </c>
      <c r="Z58" s="97">
        <f>IF(Option2="No",0,IF($A58&lt;ImplementationYear,0,IF($A58&gt;(ImplementationYear+(Appraisal_Period-1)),0,SUM('Travel time'!$E$20:$E$21)*$B58)))</f>
        <v>0</v>
      </c>
      <c r="AA58" s="97">
        <f>IF(Option2="No",0,IF($A58&lt;ImplementationYear,0,IF($A58&gt;(ImplementationYear+(Appraisal_Period-1)),0,SUM(Quality!$E$22:$E$23)*$B58)))</f>
        <v>0</v>
      </c>
      <c r="AB58" s="97">
        <f>IF(Option2="No",0,IF($A58&lt;ImplementationYear,0,IF($A58&gt;(ImplementationYear+(Appraisal_Period-1)),0,SUM(Quality!$E$20:$E$21)*$B58)))</f>
        <v>0</v>
      </c>
      <c r="AC58" s="97">
        <f>IF(Option2="No",0,IF($A58&lt;ImplementationYear,0,IF($A58&gt;(ImplementationYear+(Appraisal_Period-1)),0,'Mode change'!$E$36*$B58)))</f>
        <v>0</v>
      </c>
      <c r="AD58" s="97">
        <f>IF(Option2="No",0,IF($A58&lt;ImplementationYear,0,IF($A58&gt;(ImplementationYear+(Appraisal_Period-1)),0,'Mode change'!$E$37*$B58)))</f>
        <v>0</v>
      </c>
      <c r="AE58" s="97">
        <f>IF(Option2="No",0,IF($A58&lt;ImplementationYear,0,IF($A58&gt;(ImplementationYear+(Appraisal_Period-1)),0,'Road safety'!$E$22*$B58)))</f>
        <v>0</v>
      </c>
      <c r="AF58" s="97">
        <f>IF(Option2="No",0,IF($A58&lt;ImplementationYear,0,IF($A58&gt;(ImplementationYear+(Appraisal_Period-1)),0,'Reduction in car usage'!$E$46*$B58)))</f>
        <v>0</v>
      </c>
      <c r="AG58" s="97">
        <f>IF(Option2="No",0,IF($A58&lt;ImplementationYear,0,IF($A58&gt;(ImplementationYear+(Appraisal_Period-1)),0,'Reduction in car usage'!$E$47*$B58)))</f>
        <v>0</v>
      </c>
      <c r="AH58" s="97">
        <f>IF(Option2="No",0,IF($A58&lt;ImplementationYear,0,IF($A58&gt;(ImplementationYear+(Appraisal_Period-1)),0,'Reduction in car usage'!$E$48*$B58)))</f>
        <v>0</v>
      </c>
      <c r="AJ58" s="94">
        <f>IF(Option3="No",0,IF($A58=ImplementationYear,('Project details'!$P$10-'Project details'!$D$10)*VLOOKUP(Year_cost_estimate,'Time-series parameters'!$B$11:$C$89,2,FALSE)*$B58*(1+Contingency),0))</f>
        <v>0</v>
      </c>
      <c r="AK58" s="94">
        <f>IF(Option3="No",0,IF($A58&lt;ImplementationYear,0,IF($A58&gt;(ImplementationYear+(Appraisal_Period-1)),0,('Project details'!$P$11-'Project details'!$D$11)*VLOOKUP(Year_cost_estimate,'Time-series parameters'!$B$11:$C$89,2,0))*$B58))</f>
        <v>0</v>
      </c>
      <c r="AL58" s="94">
        <f>IF(Option3="No",0,IF($A58=ImplementationYear,('Project details'!$P$12-'Project details'!$D$12)*VLOOKUP(Year_cost_estimate,'Time-series parameters'!$B$11:$C$89,2,FALSE)*$B58,0))</f>
        <v>0</v>
      </c>
      <c r="AM58" s="97">
        <f>IF(Option3="No",0,IF($A58&lt;ImplementationYear,0,IF($A58&gt;(ImplementationYear+(Appraisal_Period-1)),0,Health!$F$21*$B58)))</f>
        <v>0</v>
      </c>
      <c r="AN58" s="97">
        <f>IF(Option3="No",0,IF($A58&lt;ImplementationYear,0,IF($A58&gt;(ImplementationYear+(Appraisal_Period-1)),0,Health!$F$22*$B58)))</f>
        <v>0</v>
      </c>
      <c r="AO58" s="97">
        <f>IF(Option3="No",0,IF($A58&lt;ImplementationYear,0,IF($A58&gt;(ImplementationYear+(Appraisal_Period-1)),0,SUM('Travel time'!$F$22:$F$23)*$B58)))</f>
        <v>0</v>
      </c>
      <c r="AP58" s="97">
        <f>IF(Option3="No",0,IF($A58&lt;ImplementationYear,0,IF($A58&gt;(ImplementationYear+(Appraisal_Period-1)),0,SUM('Travel time'!$F$20:$F$21)*$B58)))</f>
        <v>0</v>
      </c>
      <c r="AQ58" s="97">
        <f>IF(Option3="No",0,IF($A58&lt;ImplementationYear,0,IF($A58&gt;(ImplementationYear+(Appraisal_Period-1)),0,SUM(Quality!$F$22:$F$23)*$B58)))</f>
        <v>0</v>
      </c>
      <c r="AR58" s="97">
        <f>IF(Option3="No",0,IF($A58&lt;ImplementationYear,0,IF($A58&gt;(ImplementationYear+(Appraisal_Period-1)),0,SUM(Quality!$F$20:$F$21)*$B58)))</f>
        <v>0</v>
      </c>
      <c r="AS58" s="97">
        <f>IF(Option3="No",0,IF($A58&lt;ImplementationYear,0,IF($A58&gt;(ImplementationYear+(Appraisal_Period-1)),0,'Mode change'!$F$36*$B58)))</f>
        <v>0</v>
      </c>
      <c r="AT58" s="97">
        <f>IF(Option3="No",0,IF($A58&lt;ImplementationYear,0,IF($A58&gt;(ImplementationYear+(Appraisal_Period-1)),0,'Mode change'!$F$37*$B58)))</f>
        <v>0</v>
      </c>
      <c r="AU58" s="97">
        <f>IF(Option3="No",0,IF($A58&lt;ImplementationYear,0,IF($A58&gt;(ImplementationYear+(Appraisal_Period-1)),0,'Road safety'!$F$22*$B58)))</f>
        <v>0</v>
      </c>
      <c r="AV58" s="97">
        <f>IF(Option3="No",0,IF($A58&lt;ImplementationYear,0,IF($A58&gt;(ImplementationYear+(Appraisal_Period-1)),0,'Reduction in car usage'!$F$46*$B58)))</f>
        <v>0</v>
      </c>
      <c r="AW58" s="97">
        <f>IF(Option3="No",0,IF($A58&lt;ImplementationYear,0,IF($A58&gt;(ImplementationYear+(Appraisal_Period-1)),0,'Reduction in car usage'!$F$47*$B58)))</f>
        <v>0</v>
      </c>
      <c r="AX58" s="97">
        <f>IF(Option3="No",0,IF($A58&lt;ImplementationYear,0,IF($A58&gt;(ImplementationYear+(Appraisal_Period-1)),0,'Reduction in car usage'!$F$48*$B58)))</f>
        <v>0</v>
      </c>
    </row>
    <row r="59" spans="1:50">
      <c r="A59" s="335">
        <v>2054</v>
      </c>
      <c r="B59" s="62">
        <f>VLOOKUP($A59,'Time-series parameters'!$E$11:$H$89,3,FALSE)</f>
        <v>6.9903304241631242E-2</v>
      </c>
      <c r="C59" s="89"/>
      <c r="D59" s="94">
        <f>IF(Option1="No",0,IF($A59=ImplementationYear,('Project details'!$H$10-'Project details'!$D$10)*VLOOKUP(Year_cost_estimate,'Time-series parameters'!$B$11:$C$89,2,FALSE)*$B59*(1+Contingency),0))</f>
        <v>0</v>
      </c>
      <c r="E59" s="94">
        <f>IF(Option1="No",0,IF($A59&lt;ImplementationYear,0,IF($A59&gt;(ImplementationYear+(Appraisal_Period-1)),0,('Project details'!$H$11-'Project details'!$D$11)*VLOOKUP(Year_cost_estimate,'Time-series parameters'!$B$11:$C$89,2,0))*$B59))</f>
        <v>0</v>
      </c>
      <c r="F59" s="94">
        <f>IF(Option1="No",0,IF($A59=ImplementationYear,('Project details'!$H$12-'Project details'!$D$12)*VLOOKUP(Year_cost_estimate,'Time-series parameters'!$B$11:$C$89,2,FALSE)*$B59,0))</f>
        <v>0</v>
      </c>
      <c r="G59" s="97">
        <f>IF(Option1="No",0,IF($A59&lt;ImplementationYear,0,IF($A59&gt;(ImplementationYear+(Appraisal_Period-1)),0,Health!$D$21*$B59)))</f>
        <v>0</v>
      </c>
      <c r="H59" s="97">
        <f>IF(Option1="No",0,IF($A59&lt;ImplementationYear,0,IF($A59&gt;(ImplementationYear+(Appraisal_Period-1)),0,Health!$D$22*$B59)))</f>
        <v>0</v>
      </c>
      <c r="I59" s="97">
        <f>IF(Option1="No",0,IF($A59&lt;ImplementationYear,0,IF($A59&gt;(ImplementationYear+(Appraisal_Period-1)),0,SUM('Travel time'!$D$22:$D$23)*$B59)))</f>
        <v>0</v>
      </c>
      <c r="J59" s="97">
        <f>IF(Option1="No",0,IF($A59&lt;ImplementationYear,0,IF($A59&gt;(ImplementationYear+(Appraisal_Period-1)),0,SUM('Travel time'!$D$20:$D$21)*$B59)))</f>
        <v>0</v>
      </c>
      <c r="K59" s="97">
        <f>IF(Option1="No",0,IF($A59&lt;ImplementationYear,0,IF($A59&gt;(ImplementationYear+(Appraisal_Period-1)),0,SUM(Quality!$D$22:$D$23)*$B59)))</f>
        <v>0</v>
      </c>
      <c r="L59" s="97">
        <f>IF(Option1="No",0,IF($A59&lt;ImplementationYear,0,IF($A59&gt;(ImplementationYear+(Appraisal_Period-1)),0,SUM(Quality!$D$20:$D$21)*$B59)))</f>
        <v>0</v>
      </c>
      <c r="M59" s="97">
        <f>IF(Option1="No",0,IF($A59&lt;ImplementationYear,0,IF($A59&gt;(ImplementationYear+(Appraisal_Period-1)),0,'Mode change'!$D$36*$B59)))</f>
        <v>0</v>
      </c>
      <c r="N59" s="97">
        <f>IF(Option1="No",0,IF($A59&lt;ImplementationYear,0,IF($A59&gt;(ImplementationYear+(Appraisal_Period-1)),0,'Mode change'!$D$37*$B59)))</f>
        <v>0</v>
      </c>
      <c r="O59" s="97">
        <f>IF(Option1="No",0,IF($A59&lt;ImplementationYear,0,IF($A59&gt;(ImplementationYear+(Appraisal_Period-1)),0,'Road safety'!$D$22*$B59)))</f>
        <v>0</v>
      </c>
      <c r="P59" s="97">
        <f>IF(Option1="No",0,IF($A59&lt;ImplementationYear,0,IF($A59&gt;(ImplementationYear+(Appraisal_Period-1)),0,'Reduction in car usage'!$D$46*$B59)))</f>
        <v>0</v>
      </c>
      <c r="Q59" s="97">
        <f>IF(Option1="No",0,IF($A59&lt;ImplementationYear,0,IF($A59&gt;(ImplementationYear+(Appraisal_Period-1)),0,'Reduction in car usage'!$D$47*$B59)))</f>
        <v>0</v>
      </c>
      <c r="R59" s="97">
        <f>IF(Option1="No",0,IF($A59&lt;ImplementationYear,0,IF($A59&gt;(ImplementationYear+(Appraisal_Period-1)),0,'Reduction in car usage'!$D$48*$B59)))</f>
        <v>0</v>
      </c>
      <c r="S59" s="92"/>
      <c r="T59" s="94">
        <f>IF(Option2="No",0,IF($A59=ImplementationYear,('Project details'!$L$10-'Project details'!$D$10)*VLOOKUP(Year_cost_estimate,'Time-series parameters'!$B$11:$C$89,2,FALSE)*$B59*(1+Contingency),0))</f>
        <v>0</v>
      </c>
      <c r="U59" s="94">
        <f>IF(Option2="No",0,IF($A59&lt;ImplementationYear,0,IF($A59&gt;(ImplementationYear+(Appraisal_Period-1)),0,('Project details'!$L$11-'Project details'!$D$11)*VLOOKUP(Year_cost_estimate,'Time-series parameters'!$B$11:$C$89,2,0))*$B59))</f>
        <v>0</v>
      </c>
      <c r="V59" s="94">
        <f>IF(Option2="No",0,IF($A59=ImplementationYear,('Project details'!$L$12-'Project details'!$D$12)*VLOOKUP(Year_cost_estimate,'Time-series parameters'!$B$11:$C$89,2,FALSE)*$B59,0))</f>
        <v>0</v>
      </c>
      <c r="W59" s="97">
        <f>IF(Option2="No",0,IF($A59&lt;ImplementationYear,0,IF($A59&gt;(ImplementationYear+(Appraisal_Period-1)),0,Health!$E$21*$B59)))</f>
        <v>0</v>
      </c>
      <c r="X59" s="97">
        <f>IF(Option2="No",0,IF($A59&lt;ImplementationYear,0,IF($A59&gt;(ImplementationYear+(Appraisal_Period-1)),0,Health!$E$22*$B59)))</f>
        <v>0</v>
      </c>
      <c r="Y59" s="97">
        <f>IF(Option2="No",0,IF($A59&lt;ImplementationYear,0,IF($A59&gt;(ImplementationYear+(Appraisal_Period-1)),0,SUM('Travel time'!$E$22:$E$23)*$B59)))</f>
        <v>0</v>
      </c>
      <c r="Z59" s="97">
        <f>IF(Option2="No",0,IF($A59&lt;ImplementationYear,0,IF($A59&gt;(ImplementationYear+(Appraisal_Period-1)),0,SUM('Travel time'!$E$20:$E$21)*$B59)))</f>
        <v>0</v>
      </c>
      <c r="AA59" s="97">
        <f>IF(Option2="No",0,IF($A59&lt;ImplementationYear,0,IF($A59&gt;(ImplementationYear+(Appraisal_Period-1)),0,SUM(Quality!$E$22:$E$23)*$B59)))</f>
        <v>0</v>
      </c>
      <c r="AB59" s="97">
        <f>IF(Option2="No",0,IF($A59&lt;ImplementationYear,0,IF($A59&gt;(ImplementationYear+(Appraisal_Period-1)),0,SUM(Quality!$E$20:$E$21)*$B59)))</f>
        <v>0</v>
      </c>
      <c r="AC59" s="97">
        <f>IF(Option2="No",0,IF($A59&lt;ImplementationYear,0,IF($A59&gt;(ImplementationYear+(Appraisal_Period-1)),0,'Mode change'!$E$36*$B59)))</f>
        <v>0</v>
      </c>
      <c r="AD59" s="97">
        <f>IF(Option2="No",0,IF($A59&lt;ImplementationYear,0,IF($A59&gt;(ImplementationYear+(Appraisal_Period-1)),0,'Mode change'!$E$37*$B59)))</f>
        <v>0</v>
      </c>
      <c r="AE59" s="97">
        <f>IF(Option2="No",0,IF($A59&lt;ImplementationYear,0,IF($A59&gt;(ImplementationYear+(Appraisal_Period-1)),0,'Road safety'!$E$22*$B59)))</f>
        <v>0</v>
      </c>
      <c r="AF59" s="97">
        <f>IF(Option2="No",0,IF($A59&lt;ImplementationYear,0,IF($A59&gt;(ImplementationYear+(Appraisal_Period-1)),0,'Reduction in car usage'!$E$46*$B59)))</f>
        <v>0</v>
      </c>
      <c r="AG59" s="97">
        <f>IF(Option2="No",0,IF($A59&lt;ImplementationYear,0,IF($A59&gt;(ImplementationYear+(Appraisal_Period-1)),0,'Reduction in car usage'!$E$47*$B59)))</f>
        <v>0</v>
      </c>
      <c r="AH59" s="97">
        <f>IF(Option2="No",0,IF($A59&lt;ImplementationYear,0,IF($A59&gt;(ImplementationYear+(Appraisal_Period-1)),0,'Reduction in car usage'!$E$48*$B59)))</f>
        <v>0</v>
      </c>
      <c r="AJ59" s="94">
        <f>IF(Option3="No",0,IF($A59=ImplementationYear,('Project details'!$P$10-'Project details'!$D$10)*VLOOKUP(Year_cost_estimate,'Time-series parameters'!$B$11:$C$89,2,FALSE)*$B59*(1+Contingency),0))</f>
        <v>0</v>
      </c>
      <c r="AK59" s="94">
        <f>IF(Option3="No",0,IF($A59&lt;ImplementationYear,0,IF($A59&gt;(ImplementationYear+(Appraisal_Period-1)),0,('Project details'!$P$11-'Project details'!$D$11)*VLOOKUP(Year_cost_estimate,'Time-series parameters'!$B$11:$C$89,2,0))*$B59))</f>
        <v>0</v>
      </c>
      <c r="AL59" s="94">
        <f>IF(Option3="No",0,IF($A59=ImplementationYear,('Project details'!$P$12-'Project details'!$D$12)*VLOOKUP(Year_cost_estimate,'Time-series parameters'!$B$11:$C$89,2,FALSE)*$B59,0))</f>
        <v>0</v>
      </c>
      <c r="AM59" s="97">
        <f>IF(Option3="No",0,IF($A59&lt;ImplementationYear,0,IF($A59&gt;(ImplementationYear+(Appraisal_Period-1)),0,Health!$F$21*$B59)))</f>
        <v>0</v>
      </c>
      <c r="AN59" s="97">
        <f>IF(Option3="No",0,IF($A59&lt;ImplementationYear,0,IF($A59&gt;(ImplementationYear+(Appraisal_Period-1)),0,Health!$F$22*$B59)))</f>
        <v>0</v>
      </c>
      <c r="AO59" s="97">
        <f>IF(Option3="No",0,IF($A59&lt;ImplementationYear,0,IF($A59&gt;(ImplementationYear+(Appraisal_Period-1)),0,SUM('Travel time'!$F$22:$F$23)*$B59)))</f>
        <v>0</v>
      </c>
      <c r="AP59" s="97">
        <f>IF(Option3="No",0,IF($A59&lt;ImplementationYear,0,IF($A59&gt;(ImplementationYear+(Appraisal_Period-1)),0,SUM('Travel time'!$F$20:$F$21)*$B59)))</f>
        <v>0</v>
      </c>
      <c r="AQ59" s="97">
        <f>IF(Option3="No",0,IF($A59&lt;ImplementationYear,0,IF($A59&gt;(ImplementationYear+(Appraisal_Period-1)),0,SUM(Quality!$F$22:$F$23)*$B59)))</f>
        <v>0</v>
      </c>
      <c r="AR59" s="97">
        <f>IF(Option3="No",0,IF($A59&lt;ImplementationYear,0,IF($A59&gt;(ImplementationYear+(Appraisal_Period-1)),0,SUM(Quality!$F$20:$F$21)*$B59)))</f>
        <v>0</v>
      </c>
      <c r="AS59" s="97">
        <f>IF(Option3="No",0,IF($A59&lt;ImplementationYear,0,IF($A59&gt;(ImplementationYear+(Appraisal_Period-1)),0,'Mode change'!$F$36*$B59)))</f>
        <v>0</v>
      </c>
      <c r="AT59" s="97">
        <f>IF(Option3="No",0,IF($A59&lt;ImplementationYear,0,IF($A59&gt;(ImplementationYear+(Appraisal_Period-1)),0,'Mode change'!$F$37*$B59)))</f>
        <v>0</v>
      </c>
      <c r="AU59" s="97">
        <f>IF(Option3="No",0,IF($A59&lt;ImplementationYear,0,IF($A59&gt;(ImplementationYear+(Appraisal_Period-1)),0,'Road safety'!$F$22*$B59)))</f>
        <v>0</v>
      </c>
      <c r="AV59" s="97">
        <f>IF(Option3="No",0,IF($A59&lt;ImplementationYear,0,IF($A59&gt;(ImplementationYear+(Appraisal_Period-1)),0,'Reduction in car usage'!$F$46*$B59)))</f>
        <v>0</v>
      </c>
      <c r="AW59" s="97">
        <f>IF(Option3="No",0,IF($A59&lt;ImplementationYear,0,IF($A59&gt;(ImplementationYear+(Appraisal_Period-1)),0,'Reduction in car usage'!$F$47*$B59)))</f>
        <v>0</v>
      </c>
      <c r="AX59" s="97">
        <f>IF(Option3="No",0,IF($A59&lt;ImplementationYear,0,IF($A59&gt;(ImplementationYear+(Appraisal_Period-1)),0,'Reduction in car usage'!$F$48*$B59)))</f>
        <v>0</v>
      </c>
    </row>
    <row r="60" spans="1:50">
      <c r="A60" s="335">
        <v>2055</v>
      </c>
      <c r="B60" s="62">
        <f>VLOOKUP($A60,'Time-series parameters'!$E$11:$H$89,3,FALSE)</f>
        <v>6.5709105987133365E-2</v>
      </c>
      <c r="C60" s="89"/>
      <c r="D60" s="94">
        <f>IF(Option1="No",0,IF($A60=ImplementationYear,('Project details'!$H$10-'Project details'!$D$10)*VLOOKUP(Year_cost_estimate,'Time-series parameters'!$B$11:$C$89,2,FALSE)*$B60*(1+Contingency),0))</f>
        <v>0</v>
      </c>
      <c r="E60" s="94">
        <f>IF(Option1="No",0,IF($A60&lt;ImplementationYear,0,IF($A60&gt;(ImplementationYear+(Appraisal_Period-1)),0,('Project details'!$H$11-'Project details'!$D$11)*VLOOKUP(Year_cost_estimate,'Time-series parameters'!$B$11:$C$89,2,0))*$B60))</f>
        <v>0</v>
      </c>
      <c r="F60" s="94">
        <f>IF(Option1="No",0,IF($A60=ImplementationYear,('Project details'!$H$12-'Project details'!$D$12)*VLOOKUP(Year_cost_estimate,'Time-series parameters'!$B$11:$C$89,2,FALSE)*$B60,0))</f>
        <v>0</v>
      </c>
      <c r="G60" s="97">
        <f>IF(Option1="No",0,IF($A60&lt;ImplementationYear,0,IF($A60&gt;(ImplementationYear+(Appraisal_Period-1)),0,Health!$D$21*$B60)))</f>
        <v>0</v>
      </c>
      <c r="H60" s="97">
        <f>IF(Option1="No",0,IF($A60&lt;ImplementationYear,0,IF($A60&gt;(ImplementationYear+(Appraisal_Period-1)),0,Health!$D$22*$B60)))</f>
        <v>0</v>
      </c>
      <c r="I60" s="97">
        <f>IF(Option1="No",0,IF($A60&lt;ImplementationYear,0,IF($A60&gt;(ImplementationYear+(Appraisal_Period-1)),0,SUM('Travel time'!$D$22:$D$23)*$B60)))</f>
        <v>0</v>
      </c>
      <c r="J60" s="97">
        <f>IF(Option1="No",0,IF($A60&lt;ImplementationYear,0,IF($A60&gt;(ImplementationYear+(Appraisal_Period-1)),0,SUM('Travel time'!$D$20:$D$21)*$B60)))</f>
        <v>0</v>
      </c>
      <c r="K60" s="97">
        <f>IF(Option1="No",0,IF($A60&lt;ImplementationYear,0,IF($A60&gt;(ImplementationYear+(Appraisal_Period-1)),0,SUM(Quality!$D$22:$D$23)*$B60)))</f>
        <v>0</v>
      </c>
      <c r="L60" s="97">
        <f>IF(Option1="No",0,IF($A60&lt;ImplementationYear,0,IF($A60&gt;(ImplementationYear+(Appraisal_Period-1)),0,SUM(Quality!$D$20:$D$21)*$B60)))</f>
        <v>0</v>
      </c>
      <c r="M60" s="97">
        <f>IF(Option1="No",0,IF($A60&lt;ImplementationYear,0,IF($A60&gt;(ImplementationYear+(Appraisal_Period-1)),0,'Mode change'!$D$36*$B60)))</f>
        <v>0</v>
      </c>
      <c r="N60" s="97">
        <f>IF(Option1="No",0,IF($A60&lt;ImplementationYear,0,IF($A60&gt;(ImplementationYear+(Appraisal_Period-1)),0,'Mode change'!$D$37*$B60)))</f>
        <v>0</v>
      </c>
      <c r="O60" s="97">
        <f>IF(Option1="No",0,IF($A60&lt;ImplementationYear,0,IF($A60&gt;(ImplementationYear+(Appraisal_Period-1)),0,'Road safety'!$D$22*$B60)))</f>
        <v>0</v>
      </c>
      <c r="P60" s="97">
        <f>IF(Option1="No",0,IF($A60&lt;ImplementationYear,0,IF($A60&gt;(ImplementationYear+(Appraisal_Period-1)),0,'Reduction in car usage'!$D$46*$B60)))</f>
        <v>0</v>
      </c>
      <c r="Q60" s="97">
        <f>IF(Option1="No",0,IF($A60&lt;ImplementationYear,0,IF($A60&gt;(ImplementationYear+(Appraisal_Period-1)),0,'Reduction in car usage'!$D$47*$B60)))</f>
        <v>0</v>
      </c>
      <c r="R60" s="97">
        <f>IF(Option1="No",0,IF($A60&lt;ImplementationYear,0,IF($A60&gt;(ImplementationYear+(Appraisal_Period-1)),0,'Reduction in car usage'!$D$48*$B60)))</f>
        <v>0</v>
      </c>
      <c r="S60" s="92"/>
      <c r="T60" s="94">
        <f>IF(Option2="No",0,IF($A60=ImplementationYear,('Project details'!$L$10-'Project details'!$D$10)*VLOOKUP(Year_cost_estimate,'Time-series parameters'!$B$11:$C$89,2,FALSE)*$B60*(1+Contingency),0))</f>
        <v>0</v>
      </c>
      <c r="U60" s="94">
        <f>IF(Option2="No",0,IF($A60&lt;ImplementationYear,0,IF($A60&gt;(ImplementationYear+(Appraisal_Period-1)),0,('Project details'!$L$11-'Project details'!$D$11)*VLOOKUP(Year_cost_estimate,'Time-series parameters'!$B$11:$C$89,2,0))*$B60))</f>
        <v>0</v>
      </c>
      <c r="V60" s="94">
        <f>IF(Option2="No",0,IF($A60=ImplementationYear,('Project details'!$L$12-'Project details'!$D$12)*VLOOKUP(Year_cost_estimate,'Time-series parameters'!$B$11:$C$89,2,FALSE)*$B60,0))</f>
        <v>0</v>
      </c>
      <c r="W60" s="97">
        <f>IF(Option2="No",0,IF($A60&lt;ImplementationYear,0,IF($A60&gt;(ImplementationYear+(Appraisal_Period-1)),0,Health!$E$21*$B60)))</f>
        <v>0</v>
      </c>
      <c r="X60" s="97">
        <f>IF(Option2="No",0,IF($A60&lt;ImplementationYear,0,IF($A60&gt;(ImplementationYear+(Appraisal_Period-1)),0,Health!$E$22*$B60)))</f>
        <v>0</v>
      </c>
      <c r="Y60" s="97">
        <f>IF(Option2="No",0,IF($A60&lt;ImplementationYear,0,IF($A60&gt;(ImplementationYear+(Appraisal_Period-1)),0,SUM('Travel time'!$E$22:$E$23)*$B60)))</f>
        <v>0</v>
      </c>
      <c r="Z60" s="97">
        <f>IF(Option2="No",0,IF($A60&lt;ImplementationYear,0,IF($A60&gt;(ImplementationYear+(Appraisal_Period-1)),0,SUM('Travel time'!$E$20:$E$21)*$B60)))</f>
        <v>0</v>
      </c>
      <c r="AA60" s="97">
        <f>IF(Option2="No",0,IF($A60&lt;ImplementationYear,0,IF($A60&gt;(ImplementationYear+(Appraisal_Period-1)),0,SUM(Quality!$E$22:$E$23)*$B60)))</f>
        <v>0</v>
      </c>
      <c r="AB60" s="97">
        <f>IF(Option2="No",0,IF($A60&lt;ImplementationYear,0,IF($A60&gt;(ImplementationYear+(Appraisal_Period-1)),0,SUM(Quality!$E$20:$E$21)*$B60)))</f>
        <v>0</v>
      </c>
      <c r="AC60" s="97">
        <f>IF(Option2="No",0,IF($A60&lt;ImplementationYear,0,IF($A60&gt;(ImplementationYear+(Appraisal_Period-1)),0,'Mode change'!$E$36*$B60)))</f>
        <v>0</v>
      </c>
      <c r="AD60" s="97">
        <f>IF(Option2="No",0,IF($A60&lt;ImplementationYear,0,IF($A60&gt;(ImplementationYear+(Appraisal_Period-1)),0,'Mode change'!$E$37*$B60)))</f>
        <v>0</v>
      </c>
      <c r="AE60" s="97">
        <f>IF(Option2="No",0,IF($A60&lt;ImplementationYear,0,IF($A60&gt;(ImplementationYear+(Appraisal_Period-1)),0,'Road safety'!$E$22*$B60)))</f>
        <v>0</v>
      </c>
      <c r="AF60" s="97">
        <f>IF(Option2="No",0,IF($A60&lt;ImplementationYear,0,IF($A60&gt;(ImplementationYear+(Appraisal_Period-1)),0,'Reduction in car usage'!$E$46*$B60)))</f>
        <v>0</v>
      </c>
      <c r="AG60" s="97">
        <f>IF(Option2="No",0,IF($A60&lt;ImplementationYear,0,IF($A60&gt;(ImplementationYear+(Appraisal_Period-1)),0,'Reduction in car usage'!$E$47*$B60)))</f>
        <v>0</v>
      </c>
      <c r="AH60" s="97">
        <f>IF(Option2="No",0,IF($A60&lt;ImplementationYear,0,IF($A60&gt;(ImplementationYear+(Appraisal_Period-1)),0,'Reduction in car usage'!$E$48*$B60)))</f>
        <v>0</v>
      </c>
      <c r="AJ60" s="94">
        <f>IF(Option3="No",0,IF($A60=ImplementationYear,('Project details'!$P$10-'Project details'!$D$10)*VLOOKUP(Year_cost_estimate,'Time-series parameters'!$B$11:$C$89,2,FALSE)*$B60*(1+Contingency),0))</f>
        <v>0</v>
      </c>
      <c r="AK60" s="94">
        <f>IF(Option3="No",0,IF($A60&lt;ImplementationYear,0,IF($A60&gt;(ImplementationYear+(Appraisal_Period-1)),0,('Project details'!$P$11-'Project details'!$D$11)*VLOOKUP(Year_cost_estimate,'Time-series parameters'!$B$11:$C$89,2,0))*$B60))</f>
        <v>0</v>
      </c>
      <c r="AL60" s="94">
        <f>IF(Option3="No",0,IF($A60=ImplementationYear,('Project details'!$P$12-'Project details'!$D$12)*VLOOKUP(Year_cost_estimate,'Time-series parameters'!$B$11:$C$89,2,FALSE)*$B60,0))</f>
        <v>0</v>
      </c>
      <c r="AM60" s="97">
        <f>IF(Option3="No",0,IF($A60&lt;ImplementationYear,0,IF($A60&gt;(ImplementationYear+(Appraisal_Period-1)),0,Health!$F$21*$B60)))</f>
        <v>0</v>
      </c>
      <c r="AN60" s="97">
        <f>IF(Option3="No",0,IF($A60&lt;ImplementationYear,0,IF($A60&gt;(ImplementationYear+(Appraisal_Period-1)),0,Health!$F$22*$B60)))</f>
        <v>0</v>
      </c>
      <c r="AO60" s="97">
        <f>IF(Option3="No",0,IF($A60&lt;ImplementationYear,0,IF($A60&gt;(ImplementationYear+(Appraisal_Period-1)),0,SUM('Travel time'!$F$22:$F$23)*$B60)))</f>
        <v>0</v>
      </c>
      <c r="AP60" s="97">
        <f>IF(Option3="No",0,IF($A60&lt;ImplementationYear,0,IF($A60&gt;(ImplementationYear+(Appraisal_Period-1)),0,SUM('Travel time'!$F$20:$F$21)*$B60)))</f>
        <v>0</v>
      </c>
      <c r="AQ60" s="97">
        <f>IF(Option3="No",0,IF($A60&lt;ImplementationYear,0,IF($A60&gt;(ImplementationYear+(Appraisal_Period-1)),0,SUM(Quality!$F$22:$F$23)*$B60)))</f>
        <v>0</v>
      </c>
      <c r="AR60" s="97">
        <f>IF(Option3="No",0,IF($A60&lt;ImplementationYear,0,IF($A60&gt;(ImplementationYear+(Appraisal_Period-1)),0,SUM(Quality!$F$20:$F$21)*$B60)))</f>
        <v>0</v>
      </c>
      <c r="AS60" s="97">
        <f>IF(Option3="No",0,IF($A60&lt;ImplementationYear,0,IF($A60&gt;(ImplementationYear+(Appraisal_Period-1)),0,'Mode change'!$F$36*$B60)))</f>
        <v>0</v>
      </c>
      <c r="AT60" s="97">
        <f>IF(Option3="No",0,IF($A60&lt;ImplementationYear,0,IF($A60&gt;(ImplementationYear+(Appraisal_Period-1)),0,'Mode change'!$F$37*$B60)))</f>
        <v>0</v>
      </c>
      <c r="AU60" s="97">
        <f>IF(Option3="No",0,IF($A60&lt;ImplementationYear,0,IF($A60&gt;(ImplementationYear+(Appraisal_Period-1)),0,'Road safety'!$F$22*$B60)))</f>
        <v>0</v>
      </c>
      <c r="AV60" s="97">
        <f>IF(Option3="No",0,IF($A60&lt;ImplementationYear,0,IF($A60&gt;(ImplementationYear+(Appraisal_Period-1)),0,'Reduction in car usage'!$F$46*$B60)))</f>
        <v>0</v>
      </c>
      <c r="AW60" s="97">
        <f>IF(Option3="No",0,IF($A60&lt;ImplementationYear,0,IF($A60&gt;(ImplementationYear+(Appraisal_Period-1)),0,'Reduction in car usage'!$F$47*$B60)))</f>
        <v>0</v>
      </c>
      <c r="AX60" s="97">
        <f>IF(Option3="No",0,IF($A60&lt;ImplementationYear,0,IF($A60&gt;(ImplementationYear+(Appraisal_Period-1)),0,'Reduction in car usage'!$F$48*$B60)))</f>
        <v>0</v>
      </c>
    </row>
    <row r="61" spans="1:50">
      <c r="A61" s="335">
        <v>2056</v>
      </c>
      <c r="B61" s="62">
        <f>VLOOKUP($A61,'Time-series parameters'!$E$11:$H$89,3,FALSE)</f>
        <v>6.1766559627905365E-2</v>
      </c>
      <c r="C61" s="89"/>
      <c r="D61" s="94">
        <f>IF(Option1="No",0,IF($A61=ImplementationYear,('Project details'!$H$10-'Project details'!$D$10)*VLOOKUP(Year_cost_estimate,'Time-series parameters'!$B$11:$C$89,2,FALSE)*$B61*(1+Contingency),0))</f>
        <v>0</v>
      </c>
      <c r="E61" s="94">
        <f>IF(Option1="No",0,IF($A61&lt;ImplementationYear,0,IF($A61&gt;(ImplementationYear+(Appraisal_Period-1)),0,('Project details'!$H$11-'Project details'!$D$11)*VLOOKUP(Year_cost_estimate,'Time-series parameters'!$B$11:$C$89,2,0))*$B61))</f>
        <v>0</v>
      </c>
      <c r="F61" s="94">
        <f>IF(Option1="No",0,IF($A61=ImplementationYear,('Project details'!$H$12-'Project details'!$D$12)*VLOOKUP(Year_cost_estimate,'Time-series parameters'!$B$11:$C$89,2,FALSE)*$B61,0))</f>
        <v>0</v>
      </c>
      <c r="G61" s="97">
        <f>IF(Option1="No",0,IF($A61&lt;ImplementationYear,0,IF($A61&gt;(ImplementationYear+(Appraisal_Period-1)),0,Health!$D$21*$B61)))</f>
        <v>0</v>
      </c>
      <c r="H61" s="97">
        <f>IF(Option1="No",0,IF($A61&lt;ImplementationYear,0,IF($A61&gt;(ImplementationYear+(Appraisal_Period-1)),0,Health!$D$22*$B61)))</f>
        <v>0</v>
      </c>
      <c r="I61" s="97">
        <f>IF(Option1="No",0,IF($A61&lt;ImplementationYear,0,IF($A61&gt;(ImplementationYear+(Appraisal_Period-1)),0,SUM('Travel time'!$D$22:$D$23)*$B61)))</f>
        <v>0</v>
      </c>
      <c r="J61" s="97">
        <f>IF(Option1="No",0,IF($A61&lt;ImplementationYear,0,IF($A61&gt;(ImplementationYear+(Appraisal_Period-1)),0,SUM('Travel time'!$D$20:$D$21)*$B61)))</f>
        <v>0</v>
      </c>
      <c r="K61" s="97">
        <f>IF(Option1="No",0,IF($A61&lt;ImplementationYear,0,IF($A61&gt;(ImplementationYear+(Appraisal_Period-1)),0,SUM(Quality!$D$22:$D$23)*$B61)))</f>
        <v>0</v>
      </c>
      <c r="L61" s="97">
        <f>IF(Option1="No",0,IF($A61&lt;ImplementationYear,0,IF($A61&gt;(ImplementationYear+(Appraisal_Period-1)),0,SUM(Quality!$D$20:$D$21)*$B61)))</f>
        <v>0</v>
      </c>
      <c r="M61" s="97">
        <f>IF(Option1="No",0,IF($A61&lt;ImplementationYear,0,IF($A61&gt;(ImplementationYear+(Appraisal_Period-1)),0,'Mode change'!$D$36*$B61)))</f>
        <v>0</v>
      </c>
      <c r="N61" s="97">
        <f>IF(Option1="No",0,IF($A61&lt;ImplementationYear,0,IF($A61&gt;(ImplementationYear+(Appraisal_Period-1)),0,'Mode change'!$D$37*$B61)))</f>
        <v>0</v>
      </c>
      <c r="O61" s="97">
        <f>IF(Option1="No",0,IF($A61&lt;ImplementationYear,0,IF($A61&gt;(ImplementationYear+(Appraisal_Period-1)),0,'Road safety'!$D$22*$B61)))</f>
        <v>0</v>
      </c>
      <c r="P61" s="97">
        <f>IF(Option1="No",0,IF($A61&lt;ImplementationYear,0,IF($A61&gt;(ImplementationYear+(Appraisal_Period-1)),0,'Reduction in car usage'!$D$46*$B61)))</f>
        <v>0</v>
      </c>
      <c r="Q61" s="97">
        <f>IF(Option1="No",0,IF($A61&lt;ImplementationYear,0,IF($A61&gt;(ImplementationYear+(Appraisal_Period-1)),0,'Reduction in car usage'!$D$47*$B61)))</f>
        <v>0</v>
      </c>
      <c r="R61" s="97">
        <f>IF(Option1="No",0,IF($A61&lt;ImplementationYear,0,IF($A61&gt;(ImplementationYear+(Appraisal_Period-1)),0,'Reduction in car usage'!$D$48*$B61)))</f>
        <v>0</v>
      </c>
      <c r="S61" s="92"/>
      <c r="T61" s="94">
        <f>IF(Option2="No",0,IF($A61=ImplementationYear,('Project details'!$L$10-'Project details'!$D$10)*VLOOKUP(Year_cost_estimate,'Time-series parameters'!$B$11:$C$89,2,FALSE)*$B61*(1+Contingency),0))</f>
        <v>0</v>
      </c>
      <c r="U61" s="94">
        <f>IF(Option2="No",0,IF($A61&lt;ImplementationYear,0,IF($A61&gt;(ImplementationYear+(Appraisal_Period-1)),0,('Project details'!$L$11-'Project details'!$D$11)*VLOOKUP(Year_cost_estimate,'Time-series parameters'!$B$11:$C$89,2,0))*$B61))</f>
        <v>0</v>
      </c>
      <c r="V61" s="94">
        <f>IF(Option2="No",0,IF($A61=ImplementationYear,('Project details'!$L$12-'Project details'!$D$12)*VLOOKUP(Year_cost_estimate,'Time-series parameters'!$B$11:$C$89,2,FALSE)*$B61,0))</f>
        <v>0</v>
      </c>
      <c r="W61" s="97">
        <f>IF(Option2="No",0,IF($A61&lt;ImplementationYear,0,IF($A61&gt;(ImplementationYear+(Appraisal_Period-1)),0,Health!$E$21*$B61)))</f>
        <v>0</v>
      </c>
      <c r="X61" s="97">
        <f>IF(Option2="No",0,IF($A61&lt;ImplementationYear,0,IF($A61&gt;(ImplementationYear+(Appraisal_Period-1)),0,Health!$E$22*$B61)))</f>
        <v>0</v>
      </c>
      <c r="Y61" s="97">
        <f>IF(Option2="No",0,IF($A61&lt;ImplementationYear,0,IF($A61&gt;(ImplementationYear+(Appraisal_Period-1)),0,SUM('Travel time'!$E$22:$E$23)*$B61)))</f>
        <v>0</v>
      </c>
      <c r="Z61" s="97">
        <f>IF(Option2="No",0,IF($A61&lt;ImplementationYear,0,IF($A61&gt;(ImplementationYear+(Appraisal_Period-1)),0,SUM('Travel time'!$E$20:$E$21)*$B61)))</f>
        <v>0</v>
      </c>
      <c r="AA61" s="97">
        <f>IF(Option2="No",0,IF($A61&lt;ImplementationYear,0,IF($A61&gt;(ImplementationYear+(Appraisal_Period-1)),0,SUM(Quality!$E$22:$E$23)*$B61)))</f>
        <v>0</v>
      </c>
      <c r="AB61" s="97">
        <f>IF(Option2="No",0,IF($A61&lt;ImplementationYear,0,IF($A61&gt;(ImplementationYear+(Appraisal_Period-1)),0,SUM(Quality!$E$20:$E$21)*$B61)))</f>
        <v>0</v>
      </c>
      <c r="AC61" s="97">
        <f>IF(Option2="No",0,IF($A61&lt;ImplementationYear,0,IF($A61&gt;(ImplementationYear+(Appraisal_Period-1)),0,'Mode change'!$E$36*$B61)))</f>
        <v>0</v>
      </c>
      <c r="AD61" s="97">
        <f>IF(Option2="No",0,IF($A61&lt;ImplementationYear,0,IF($A61&gt;(ImplementationYear+(Appraisal_Period-1)),0,'Mode change'!$E$37*$B61)))</f>
        <v>0</v>
      </c>
      <c r="AE61" s="97">
        <f>IF(Option2="No",0,IF($A61&lt;ImplementationYear,0,IF($A61&gt;(ImplementationYear+(Appraisal_Period-1)),0,'Road safety'!$E$22*$B61)))</f>
        <v>0</v>
      </c>
      <c r="AF61" s="97">
        <f>IF(Option2="No",0,IF($A61&lt;ImplementationYear,0,IF($A61&gt;(ImplementationYear+(Appraisal_Period-1)),0,'Reduction in car usage'!$E$46*$B61)))</f>
        <v>0</v>
      </c>
      <c r="AG61" s="97">
        <f>IF(Option2="No",0,IF($A61&lt;ImplementationYear,0,IF($A61&gt;(ImplementationYear+(Appraisal_Period-1)),0,'Reduction in car usage'!$E$47*$B61)))</f>
        <v>0</v>
      </c>
      <c r="AH61" s="97">
        <f>IF(Option2="No",0,IF($A61&lt;ImplementationYear,0,IF($A61&gt;(ImplementationYear+(Appraisal_Period-1)),0,'Reduction in car usage'!$E$48*$B61)))</f>
        <v>0</v>
      </c>
      <c r="AJ61" s="94">
        <f>IF(Option3="No",0,IF($A61=ImplementationYear,('Project details'!$P$10-'Project details'!$D$10)*VLOOKUP(Year_cost_estimate,'Time-series parameters'!$B$11:$C$89,2,FALSE)*$B61*(1+Contingency),0))</f>
        <v>0</v>
      </c>
      <c r="AK61" s="94">
        <f>IF(Option3="No",0,IF($A61&lt;ImplementationYear,0,IF($A61&gt;(ImplementationYear+(Appraisal_Period-1)),0,('Project details'!$P$11-'Project details'!$D$11)*VLOOKUP(Year_cost_estimate,'Time-series parameters'!$B$11:$C$89,2,0))*$B61))</f>
        <v>0</v>
      </c>
      <c r="AL61" s="94">
        <f>IF(Option3="No",0,IF($A61=ImplementationYear,('Project details'!$P$12-'Project details'!$D$12)*VLOOKUP(Year_cost_estimate,'Time-series parameters'!$B$11:$C$89,2,FALSE)*$B61,0))</f>
        <v>0</v>
      </c>
      <c r="AM61" s="97">
        <f>IF(Option3="No",0,IF($A61&lt;ImplementationYear,0,IF($A61&gt;(ImplementationYear+(Appraisal_Period-1)),0,Health!$F$21*$B61)))</f>
        <v>0</v>
      </c>
      <c r="AN61" s="97">
        <f>IF(Option3="No",0,IF($A61&lt;ImplementationYear,0,IF($A61&gt;(ImplementationYear+(Appraisal_Period-1)),0,Health!$F$22*$B61)))</f>
        <v>0</v>
      </c>
      <c r="AO61" s="97">
        <f>IF(Option3="No",0,IF($A61&lt;ImplementationYear,0,IF($A61&gt;(ImplementationYear+(Appraisal_Period-1)),0,SUM('Travel time'!$F$22:$F$23)*$B61)))</f>
        <v>0</v>
      </c>
      <c r="AP61" s="97">
        <f>IF(Option3="No",0,IF($A61&lt;ImplementationYear,0,IF($A61&gt;(ImplementationYear+(Appraisal_Period-1)),0,SUM('Travel time'!$F$20:$F$21)*$B61)))</f>
        <v>0</v>
      </c>
      <c r="AQ61" s="97">
        <f>IF(Option3="No",0,IF($A61&lt;ImplementationYear,0,IF($A61&gt;(ImplementationYear+(Appraisal_Period-1)),0,SUM(Quality!$F$22:$F$23)*$B61)))</f>
        <v>0</v>
      </c>
      <c r="AR61" s="97">
        <f>IF(Option3="No",0,IF($A61&lt;ImplementationYear,0,IF($A61&gt;(ImplementationYear+(Appraisal_Period-1)),0,SUM(Quality!$F$20:$F$21)*$B61)))</f>
        <v>0</v>
      </c>
      <c r="AS61" s="97">
        <f>IF(Option3="No",0,IF($A61&lt;ImplementationYear,0,IF($A61&gt;(ImplementationYear+(Appraisal_Period-1)),0,'Mode change'!$F$36*$B61)))</f>
        <v>0</v>
      </c>
      <c r="AT61" s="97">
        <f>IF(Option3="No",0,IF($A61&lt;ImplementationYear,0,IF($A61&gt;(ImplementationYear+(Appraisal_Period-1)),0,'Mode change'!$F$37*$B61)))</f>
        <v>0</v>
      </c>
      <c r="AU61" s="97">
        <f>IF(Option3="No",0,IF($A61&lt;ImplementationYear,0,IF($A61&gt;(ImplementationYear+(Appraisal_Period-1)),0,'Road safety'!$F$22*$B61)))</f>
        <v>0</v>
      </c>
      <c r="AV61" s="97">
        <f>IF(Option3="No",0,IF($A61&lt;ImplementationYear,0,IF($A61&gt;(ImplementationYear+(Appraisal_Period-1)),0,'Reduction in car usage'!$F$46*$B61)))</f>
        <v>0</v>
      </c>
      <c r="AW61" s="97">
        <f>IF(Option3="No",0,IF($A61&lt;ImplementationYear,0,IF($A61&gt;(ImplementationYear+(Appraisal_Period-1)),0,'Reduction in car usage'!$F$47*$B61)))</f>
        <v>0</v>
      </c>
      <c r="AX61" s="97">
        <f>IF(Option3="No",0,IF($A61&lt;ImplementationYear,0,IF($A61&gt;(ImplementationYear+(Appraisal_Period-1)),0,'Reduction in car usage'!$F$48*$B61)))</f>
        <v>0</v>
      </c>
    </row>
    <row r="62" spans="1:50">
      <c r="A62" s="335">
        <v>2057</v>
      </c>
      <c r="B62" s="62">
        <f>VLOOKUP($A62,'Time-series parameters'!$E$11:$H$89,3,FALSE)</f>
        <v>5.8060566050231043E-2</v>
      </c>
      <c r="C62" s="89"/>
      <c r="D62" s="94">
        <f>IF(Option1="No",0,IF($A62=ImplementationYear,('Project details'!$H$10-'Project details'!$D$10)*VLOOKUP(Year_cost_estimate,'Time-series parameters'!$B$11:$C$89,2,FALSE)*$B62*(1+Contingency),0))</f>
        <v>0</v>
      </c>
      <c r="E62" s="94">
        <f>IF(Option1="No",0,IF($A62&lt;ImplementationYear,0,IF($A62&gt;(ImplementationYear+(Appraisal_Period-1)),0,('Project details'!$H$11-'Project details'!$D$11)*VLOOKUP(Year_cost_estimate,'Time-series parameters'!$B$11:$C$89,2,0))*$B62))</f>
        <v>0</v>
      </c>
      <c r="F62" s="94">
        <f>IF(Option1="No",0,IF($A62=ImplementationYear,('Project details'!$H$12-'Project details'!$D$12)*VLOOKUP(Year_cost_estimate,'Time-series parameters'!$B$11:$C$89,2,FALSE)*$B62,0))</f>
        <v>0</v>
      </c>
      <c r="G62" s="97">
        <f>IF(Option1="No",0,IF($A62&lt;ImplementationYear,0,IF($A62&gt;(ImplementationYear+(Appraisal_Period-1)),0,Health!$D$21*$B62)))</f>
        <v>0</v>
      </c>
      <c r="H62" s="97">
        <f>IF(Option1="No",0,IF($A62&lt;ImplementationYear,0,IF($A62&gt;(ImplementationYear+(Appraisal_Period-1)),0,Health!$D$22*$B62)))</f>
        <v>0</v>
      </c>
      <c r="I62" s="97">
        <f>IF(Option1="No",0,IF($A62&lt;ImplementationYear,0,IF($A62&gt;(ImplementationYear+(Appraisal_Period-1)),0,SUM('Travel time'!$D$22:$D$23)*$B62)))</f>
        <v>0</v>
      </c>
      <c r="J62" s="97">
        <f>IF(Option1="No",0,IF($A62&lt;ImplementationYear,0,IF($A62&gt;(ImplementationYear+(Appraisal_Period-1)),0,SUM('Travel time'!$D$20:$D$21)*$B62)))</f>
        <v>0</v>
      </c>
      <c r="K62" s="97">
        <f>IF(Option1="No",0,IF($A62&lt;ImplementationYear,0,IF($A62&gt;(ImplementationYear+(Appraisal_Period-1)),0,SUM(Quality!$D$22:$D$23)*$B62)))</f>
        <v>0</v>
      </c>
      <c r="L62" s="97">
        <f>IF(Option1="No",0,IF($A62&lt;ImplementationYear,0,IF($A62&gt;(ImplementationYear+(Appraisal_Period-1)),0,SUM(Quality!$D$20:$D$21)*$B62)))</f>
        <v>0</v>
      </c>
      <c r="M62" s="97">
        <f>IF(Option1="No",0,IF($A62&lt;ImplementationYear,0,IF($A62&gt;(ImplementationYear+(Appraisal_Period-1)),0,'Mode change'!$D$36*$B62)))</f>
        <v>0</v>
      </c>
      <c r="N62" s="97">
        <f>IF(Option1="No",0,IF($A62&lt;ImplementationYear,0,IF($A62&gt;(ImplementationYear+(Appraisal_Period-1)),0,'Mode change'!$D$37*$B62)))</f>
        <v>0</v>
      </c>
      <c r="O62" s="97">
        <f>IF(Option1="No",0,IF($A62&lt;ImplementationYear,0,IF($A62&gt;(ImplementationYear+(Appraisal_Period-1)),0,'Road safety'!$D$22*$B62)))</f>
        <v>0</v>
      </c>
      <c r="P62" s="97">
        <f>IF(Option1="No",0,IF($A62&lt;ImplementationYear,0,IF($A62&gt;(ImplementationYear+(Appraisal_Period-1)),0,'Reduction in car usage'!$D$46*$B62)))</f>
        <v>0</v>
      </c>
      <c r="Q62" s="97">
        <f>IF(Option1="No",0,IF($A62&lt;ImplementationYear,0,IF($A62&gt;(ImplementationYear+(Appraisal_Period-1)),0,'Reduction in car usage'!$D$47*$B62)))</f>
        <v>0</v>
      </c>
      <c r="R62" s="97">
        <f>IF(Option1="No",0,IF($A62&lt;ImplementationYear,0,IF($A62&gt;(ImplementationYear+(Appraisal_Period-1)),0,'Reduction in car usage'!$D$48*$B62)))</f>
        <v>0</v>
      </c>
      <c r="S62" s="92"/>
      <c r="T62" s="94">
        <f>IF(Option2="No",0,IF($A62=ImplementationYear,('Project details'!$L$10-'Project details'!$D$10)*VLOOKUP(Year_cost_estimate,'Time-series parameters'!$B$11:$C$89,2,FALSE)*$B62*(1+Contingency),0))</f>
        <v>0</v>
      </c>
      <c r="U62" s="94">
        <f>IF(Option2="No",0,IF($A62&lt;ImplementationYear,0,IF($A62&gt;(ImplementationYear+(Appraisal_Period-1)),0,('Project details'!$L$11-'Project details'!$D$11)*VLOOKUP(Year_cost_estimate,'Time-series parameters'!$B$11:$C$89,2,0))*$B62))</f>
        <v>0</v>
      </c>
      <c r="V62" s="94">
        <f>IF(Option2="No",0,IF($A62=ImplementationYear,('Project details'!$L$12-'Project details'!$D$12)*VLOOKUP(Year_cost_estimate,'Time-series parameters'!$B$11:$C$89,2,FALSE)*$B62,0))</f>
        <v>0</v>
      </c>
      <c r="W62" s="97">
        <f>IF(Option2="No",0,IF($A62&lt;ImplementationYear,0,IF($A62&gt;(ImplementationYear+(Appraisal_Period-1)),0,Health!$E$21*$B62)))</f>
        <v>0</v>
      </c>
      <c r="X62" s="97">
        <f>IF(Option2="No",0,IF($A62&lt;ImplementationYear,0,IF($A62&gt;(ImplementationYear+(Appraisal_Period-1)),0,Health!$E$22*$B62)))</f>
        <v>0</v>
      </c>
      <c r="Y62" s="97">
        <f>IF(Option2="No",0,IF($A62&lt;ImplementationYear,0,IF($A62&gt;(ImplementationYear+(Appraisal_Period-1)),0,SUM('Travel time'!$E$22:$E$23)*$B62)))</f>
        <v>0</v>
      </c>
      <c r="Z62" s="97">
        <f>IF(Option2="No",0,IF($A62&lt;ImplementationYear,0,IF($A62&gt;(ImplementationYear+(Appraisal_Period-1)),0,SUM('Travel time'!$E$20:$E$21)*$B62)))</f>
        <v>0</v>
      </c>
      <c r="AA62" s="97">
        <f>IF(Option2="No",0,IF($A62&lt;ImplementationYear,0,IF($A62&gt;(ImplementationYear+(Appraisal_Period-1)),0,SUM(Quality!$E$22:$E$23)*$B62)))</f>
        <v>0</v>
      </c>
      <c r="AB62" s="97">
        <f>IF(Option2="No",0,IF($A62&lt;ImplementationYear,0,IF($A62&gt;(ImplementationYear+(Appraisal_Period-1)),0,SUM(Quality!$E$20:$E$21)*$B62)))</f>
        <v>0</v>
      </c>
      <c r="AC62" s="97">
        <f>IF(Option2="No",0,IF($A62&lt;ImplementationYear,0,IF($A62&gt;(ImplementationYear+(Appraisal_Period-1)),0,'Mode change'!$E$36*$B62)))</f>
        <v>0</v>
      </c>
      <c r="AD62" s="97">
        <f>IF(Option2="No",0,IF($A62&lt;ImplementationYear,0,IF($A62&gt;(ImplementationYear+(Appraisal_Period-1)),0,'Mode change'!$E$37*$B62)))</f>
        <v>0</v>
      </c>
      <c r="AE62" s="97">
        <f>IF(Option2="No",0,IF($A62&lt;ImplementationYear,0,IF($A62&gt;(ImplementationYear+(Appraisal_Period-1)),0,'Road safety'!$E$22*$B62)))</f>
        <v>0</v>
      </c>
      <c r="AF62" s="97">
        <f>IF(Option2="No",0,IF($A62&lt;ImplementationYear,0,IF($A62&gt;(ImplementationYear+(Appraisal_Period-1)),0,'Reduction in car usage'!$E$46*$B62)))</f>
        <v>0</v>
      </c>
      <c r="AG62" s="97">
        <f>IF(Option2="No",0,IF($A62&lt;ImplementationYear,0,IF($A62&gt;(ImplementationYear+(Appraisal_Period-1)),0,'Reduction in car usage'!$E$47*$B62)))</f>
        <v>0</v>
      </c>
      <c r="AH62" s="97">
        <f>IF(Option2="No",0,IF($A62&lt;ImplementationYear,0,IF($A62&gt;(ImplementationYear+(Appraisal_Period-1)),0,'Reduction in car usage'!$E$48*$B62)))</f>
        <v>0</v>
      </c>
      <c r="AJ62" s="94">
        <f>IF(Option3="No",0,IF($A62=ImplementationYear,('Project details'!$P$10-'Project details'!$D$10)*VLOOKUP(Year_cost_estimate,'Time-series parameters'!$B$11:$C$89,2,FALSE)*$B62*(1+Contingency),0))</f>
        <v>0</v>
      </c>
      <c r="AK62" s="94">
        <f>IF(Option3="No",0,IF($A62&lt;ImplementationYear,0,IF($A62&gt;(ImplementationYear+(Appraisal_Period-1)),0,('Project details'!$P$11-'Project details'!$D$11)*VLOOKUP(Year_cost_estimate,'Time-series parameters'!$B$11:$C$89,2,0))*$B62))</f>
        <v>0</v>
      </c>
      <c r="AL62" s="94">
        <f>IF(Option3="No",0,IF($A62=ImplementationYear,('Project details'!$P$12-'Project details'!$D$12)*VLOOKUP(Year_cost_estimate,'Time-series parameters'!$B$11:$C$89,2,FALSE)*$B62,0))</f>
        <v>0</v>
      </c>
      <c r="AM62" s="97">
        <f>IF(Option3="No",0,IF($A62&lt;ImplementationYear,0,IF($A62&gt;(ImplementationYear+(Appraisal_Period-1)),0,Health!$F$21*$B62)))</f>
        <v>0</v>
      </c>
      <c r="AN62" s="97">
        <f>IF(Option3="No",0,IF($A62&lt;ImplementationYear,0,IF($A62&gt;(ImplementationYear+(Appraisal_Period-1)),0,Health!$F$22*$B62)))</f>
        <v>0</v>
      </c>
      <c r="AO62" s="97">
        <f>IF(Option3="No",0,IF($A62&lt;ImplementationYear,0,IF($A62&gt;(ImplementationYear+(Appraisal_Period-1)),0,SUM('Travel time'!$F$22:$F$23)*$B62)))</f>
        <v>0</v>
      </c>
      <c r="AP62" s="97">
        <f>IF(Option3="No",0,IF($A62&lt;ImplementationYear,0,IF($A62&gt;(ImplementationYear+(Appraisal_Period-1)),0,SUM('Travel time'!$F$20:$F$21)*$B62)))</f>
        <v>0</v>
      </c>
      <c r="AQ62" s="97">
        <f>IF(Option3="No",0,IF($A62&lt;ImplementationYear,0,IF($A62&gt;(ImplementationYear+(Appraisal_Period-1)),0,SUM(Quality!$F$22:$F$23)*$B62)))</f>
        <v>0</v>
      </c>
      <c r="AR62" s="97">
        <f>IF(Option3="No",0,IF($A62&lt;ImplementationYear,0,IF($A62&gt;(ImplementationYear+(Appraisal_Period-1)),0,SUM(Quality!$F$20:$F$21)*$B62)))</f>
        <v>0</v>
      </c>
      <c r="AS62" s="97">
        <f>IF(Option3="No",0,IF($A62&lt;ImplementationYear,0,IF($A62&gt;(ImplementationYear+(Appraisal_Period-1)),0,'Mode change'!$F$36*$B62)))</f>
        <v>0</v>
      </c>
      <c r="AT62" s="97">
        <f>IF(Option3="No",0,IF($A62&lt;ImplementationYear,0,IF($A62&gt;(ImplementationYear+(Appraisal_Period-1)),0,'Mode change'!$F$37*$B62)))</f>
        <v>0</v>
      </c>
      <c r="AU62" s="97">
        <f>IF(Option3="No",0,IF($A62&lt;ImplementationYear,0,IF($A62&gt;(ImplementationYear+(Appraisal_Period-1)),0,'Road safety'!$F$22*$B62)))</f>
        <v>0</v>
      </c>
      <c r="AV62" s="97">
        <f>IF(Option3="No",0,IF($A62&lt;ImplementationYear,0,IF($A62&gt;(ImplementationYear+(Appraisal_Period-1)),0,'Reduction in car usage'!$F$46*$B62)))</f>
        <v>0</v>
      </c>
      <c r="AW62" s="97">
        <f>IF(Option3="No",0,IF($A62&lt;ImplementationYear,0,IF($A62&gt;(ImplementationYear+(Appraisal_Period-1)),0,'Reduction in car usage'!$F$47*$B62)))</f>
        <v>0</v>
      </c>
      <c r="AX62" s="97">
        <f>IF(Option3="No",0,IF($A62&lt;ImplementationYear,0,IF($A62&gt;(ImplementationYear+(Appraisal_Period-1)),0,'Reduction in car usage'!$F$48*$B62)))</f>
        <v>0</v>
      </c>
    </row>
    <row r="63" spans="1:50">
      <c r="A63" s="335">
        <v>2058</v>
      </c>
      <c r="B63" s="62">
        <f>VLOOKUP($A63,'Time-series parameters'!$E$11:$H$89,3,FALSE)</f>
        <v>5.457693208721718E-2</v>
      </c>
      <c r="C63" s="89"/>
      <c r="D63" s="94">
        <f>IF(Option1="No",0,IF($A63=ImplementationYear,('Project details'!$H$10-'Project details'!$D$10)*VLOOKUP(Year_cost_estimate,'Time-series parameters'!$B$11:$C$89,2,FALSE)*$B63*(1+Contingency),0))</f>
        <v>0</v>
      </c>
      <c r="E63" s="94">
        <f>IF(Option1="No",0,IF($A63&lt;ImplementationYear,0,IF($A63&gt;(ImplementationYear+(Appraisal_Period-1)),0,('Project details'!$H$11-'Project details'!$D$11)*VLOOKUP(Year_cost_estimate,'Time-series parameters'!$B$11:$C$89,2,0))*$B63))</f>
        <v>0</v>
      </c>
      <c r="F63" s="94">
        <f>IF(Option1="No",0,IF($A63=ImplementationYear,('Project details'!$H$12-'Project details'!$D$12)*VLOOKUP(Year_cost_estimate,'Time-series parameters'!$B$11:$C$89,2,FALSE)*$B63,0))</f>
        <v>0</v>
      </c>
      <c r="G63" s="97">
        <f>IF(Option1="No",0,IF($A63&lt;ImplementationYear,0,IF($A63&gt;(ImplementationYear+(Appraisal_Period-1)),0,Health!$D$21*$B63)))</f>
        <v>0</v>
      </c>
      <c r="H63" s="97">
        <f>IF(Option1="No",0,IF($A63&lt;ImplementationYear,0,IF($A63&gt;(ImplementationYear+(Appraisal_Period-1)),0,Health!$D$22*$B63)))</f>
        <v>0</v>
      </c>
      <c r="I63" s="97">
        <f>IF(Option1="No",0,IF($A63&lt;ImplementationYear,0,IF($A63&gt;(ImplementationYear+(Appraisal_Period-1)),0,SUM('Travel time'!$D$22:$D$23)*$B63)))</f>
        <v>0</v>
      </c>
      <c r="J63" s="97">
        <f>IF(Option1="No",0,IF($A63&lt;ImplementationYear,0,IF($A63&gt;(ImplementationYear+(Appraisal_Period-1)),0,SUM('Travel time'!$D$20:$D$21)*$B63)))</f>
        <v>0</v>
      </c>
      <c r="K63" s="97">
        <f>IF(Option1="No",0,IF($A63&lt;ImplementationYear,0,IF($A63&gt;(ImplementationYear+(Appraisal_Period-1)),0,SUM(Quality!$D$22:$D$23)*$B63)))</f>
        <v>0</v>
      </c>
      <c r="L63" s="97">
        <f>IF(Option1="No",0,IF($A63&lt;ImplementationYear,0,IF($A63&gt;(ImplementationYear+(Appraisal_Period-1)),0,SUM(Quality!$D$20:$D$21)*$B63)))</f>
        <v>0</v>
      </c>
      <c r="M63" s="97">
        <f>IF(Option1="No",0,IF($A63&lt;ImplementationYear,0,IF($A63&gt;(ImplementationYear+(Appraisal_Period-1)),0,'Mode change'!$D$36*$B63)))</f>
        <v>0</v>
      </c>
      <c r="N63" s="97">
        <f>IF(Option1="No",0,IF($A63&lt;ImplementationYear,0,IF($A63&gt;(ImplementationYear+(Appraisal_Period-1)),0,'Mode change'!$D$37*$B63)))</f>
        <v>0</v>
      </c>
      <c r="O63" s="97">
        <f>IF(Option1="No",0,IF($A63&lt;ImplementationYear,0,IF($A63&gt;(ImplementationYear+(Appraisal_Period-1)),0,'Road safety'!$D$22*$B63)))</f>
        <v>0</v>
      </c>
      <c r="P63" s="97">
        <f>IF(Option1="No",0,IF($A63&lt;ImplementationYear,0,IF($A63&gt;(ImplementationYear+(Appraisal_Period-1)),0,'Reduction in car usage'!$D$46*$B63)))</f>
        <v>0</v>
      </c>
      <c r="Q63" s="97">
        <f>IF(Option1="No",0,IF($A63&lt;ImplementationYear,0,IF($A63&gt;(ImplementationYear+(Appraisal_Period-1)),0,'Reduction in car usage'!$D$47*$B63)))</f>
        <v>0</v>
      </c>
      <c r="R63" s="97">
        <f>IF(Option1="No",0,IF($A63&lt;ImplementationYear,0,IF($A63&gt;(ImplementationYear+(Appraisal_Period-1)),0,'Reduction in car usage'!$D$48*$B63)))</f>
        <v>0</v>
      </c>
      <c r="S63" s="92"/>
      <c r="T63" s="94">
        <f>IF(Option2="No",0,IF($A63=ImplementationYear,('Project details'!$L$10-'Project details'!$D$10)*VLOOKUP(Year_cost_estimate,'Time-series parameters'!$B$11:$C$89,2,FALSE)*$B63*(1+Contingency),0))</f>
        <v>0</v>
      </c>
      <c r="U63" s="94">
        <f>IF(Option2="No",0,IF($A63&lt;ImplementationYear,0,IF($A63&gt;(ImplementationYear+(Appraisal_Period-1)),0,('Project details'!$L$11-'Project details'!$D$11)*VLOOKUP(Year_cost_estimate,'Time-series parameters'!$B$11:$C$89,2,0))*$B63))</f>
        <v>0</v>
      </c>
      <c r="V63" s="94">
        <f>IF(Option2="No",0,IF($A63=ImplementationYear,('Project details'!$L$12-'Project details'!$D$12)*VLOOKUP(Year_cost_estimate,'Time-series parameters'!$B$11:$C$89,2,FALSE)*$B63,0))</f>
        <v>0</v>
      </c>
      <c r="W63" s="97">
        <f>IF(Option2="No",0,IF($A63&lt;ImplementationYear,0,IF($A63&gt;(ImplementationYear+(Appraisal_Period-1)),0,Health!$E$21*$B63)))</f>
        <v>0</v>
      </c>
      <c r="X63" s="97">
        <f>IF(Option2="No",0,IF($A63&lt;ImplementationYear,0,IF($A63&gt;(ImplementationYear+(Appraisal_Period-1)),0,Health!$E$22*$B63)))</f>
        <v>0</v>
      </c>
      <c r="Y63" s="97">
        <f>IF(Option2="No",0,IF($A63&lt;ImplementationYear,0,IF($A63&gt;(ImplementationYear+(Appraisal_Period-1)),0,SUM('Travel time'!$E$22:$E$23)*$B63)))</f>
        <v>0</v>
      </c>
      <c r="Z63" s="97">
        <f>IF(Option2="No",0,IF($A63&lt;ImplementationYear,0,IF($A63&gt;(ImplementationYear+(Appraisal_Period-1)),0,SUM('Travel time'!$E$20:$E$21)*$B63)))</f>
        <v>0</v>
      </c>
      <c r="AA63" s="97">
        <f>IF(Option2="No",0,IF($A63&lt;ImplementationYear,0,IF($A63&gt;(ImplementationYear+(Appraisal_Period-1)),0,SUM(Quality!$E$22:$E$23)*$B63)))</f>
        <v>0</v>
      </c>
      <c r="AB63" s="97">
        <f>IF(Option2="No",0,IF($A63&lt;ImplementationYear,0,IF($A63&gt;(ImplementationYear+(Appraisal_Period-1)),0,SUM(Quality!$E$20:$E$21)*$B63)))</f>
        <v>0</v>
      </c>
      <c r="AC63" s="97">
        <f>IF(Option2="No",0,IF($A63&lt;ImplementationYear,0,IF($A63&gt;(ImplementationYear+(Appraisal_Period-1)),0,'Mode change'!$E$36*$B63)))</f>
        <v>0</v>
      </c>
      <c r="AD63" s="97">
        <f>IF(Option2="No",0,IF($A63&lt;ImplementationYear,0,IF($A63&gt;(ImplementationYear+(Appraisal_Period-1)),0,'Mode change'!$E$37*$B63)))</f>
        <v>0</v>
      </c>
      <c r="AE63" s="97">
        <f>IF(Option2="No",0,IF($A63&lt;ImplementationYear,0,IF($A63&gt;(ImplementationYear+(Appraisal_Period-1)),0,'Road safety'!$E$22*$B63)))</f>
        <v>0</v>
      </c>
      <c r="AF63" s="97">
        <f>IF(Option2="No",0,IF($A63&lt;ImplementationYear,0,IF($A63&gt;(ImplementationYear+(Appraisal_Period-1)),0,'Reduction in car usage'!$E$46*$B63)))</f>
        <v>0</v>
      </c>
      <c r="AG63" s="97">
        <f>IF(Option2="No",0,IF($A63&lt;ImplementationYear,0,IF($A63&gt;(ImplementationYear+(Appraisal_Period-1)),0,'Reduction in car usage'!$E$47*$B63)))</f>
        <v>0</v>
      </c>
      <c r="AH63" s="97">
        <f>IF(Option2="No",0,IF($A63&lt;ImplementationYear,0,IF($A63&gt;(ImplementationYear+(Appraisal_Period-1)),0,'Reduction in car usage'!$E$48*$B63)))</f>
        <v>0</v>
      </c>
      <c r="AJ63" s="94">
        <f>IF(Option3="No",0,IF($A63=ImplementationYear,('Project details'!$P$10-'Project details'!$D$10)*VLOOKUP(Year_cost_estimate,'Time-series parameters'!$B$11:$C$89,2,FALSE)*$B63*(1+Contingency),0))</f>
        <v>0</v>
      </c>
      <c r="AK63" s="94">
        <f>IF(Option3="No",0,IF($A63&lt;ImplementationYear,0,IF($A63&gt;(ImplementationYear+(Appraisal_Period-1)),0,('Project details'!$P$11-'Project details'!$D$11)*VLOOKUP(Year_cost_estimate,'Time-series parameters'!$B$11:$C$89,2,0))*$B63))</f>
        <v>0</v>
      </c>
      <c r="AL63" s="94">
        <f>IF(Option3="No",0,IF($A63=ImplementationYear,('Project details'!$P$12-'Project details'!$D$12)*VLOOKUP(Year_cost_estimate,'Time-series parameters'!$B$11:$C$89,2,FALSE)*$B63,0))</f>
        <v>0</v>
      </c>
      <c r="AM63" s="97">
        <f>IF(Option3="No",0,IF($A63&lt;ImplementationYear,0,IF($A63&gt;(ImplementationYear+(Appraisal_Period-1)),0,Health!$F$21*$B63)))</f>
        <v>0</v>
      </c>
      <c r="AN63" s="97">
        <f>IF(Option3="No",0,IF($A63&lt;ImplementationYear,0,IF($A63&gt;(ImplementationYear+(Appraisal_Period-1)),0,Health!$F$22*$B63)))</f>
        <v>0</v>
      </c>
      <c r="AO63" s="97">
        <f>IF(Option3="No",0,IF($A63&lt;ImplementationYear,0,IF($A63&gt;(ImplementationYear+(Appraisal_Period-1)),0,SUM('Travel time'!$F$22:$F$23)*$B63)))</f>
        <v>0</v>
      </c>
      <c r="AP63" s="97">
        <f>IF(Option3="No",0,IF($A63&lt;ImplementationYear,0,IF($A63&gt;(ImplementationYear+(Appraisal_Period-1)),0,SUM('Travel time'!$F$20:$F$21)*$B63)))</f>
        <v>0</v>
      </c>
      <c r="AQ63" s="97">
        <f>IF(Option3="No",0,IF($A63&lt;ImplementationYear,0,IF($A63&gt;(ImplementationYear+(Appraisal_Period-1)),0,SUM(Quality!$F$22:$F$23)*$B63)))</f>
        <v>0</v>
      </c>
      <c r="AR63" s="97">
        <f>IF(Option3="No",0,IF($A63&lt;ImplementationYear,0,IF($A63&gt;(ImplementationYear+(Appraisal_Period-1)),0,SUM(Quality!$F$20:$F$21)*$B63)))</f>
        <v>0</v>
      </c>
      <c r="AS63" s="97">
        <f>IF(Option3="No",0,IF($A63&lt;ImplementationYear,0,IF($A63&gt;(ImplementationYear+(Appraisal_Period-1)),0,'Mode change'!$F$36*$B63)))</f>
        <v>0</v>
      </c>
      <c r="AT63" s="97">
        <f>IF(Option3="No",0,IF($A63&lt;ImplementationYear,0,IF($A63&gt;(ImplementationYear+(Appraisal_Period-1)),0,'Mode change'!$F$37*$B63)))</f>
        <v>0</v>
      </c>
      <c r="AU63" s="97">
        <f>IF(Option3="No",0,IF($A63&lt;ImplementationYear,0,IF($A63&gt;(ImplementationYear+(Appraisal_Period-1)),0,'Road safety'!$F$22*$B63)))</f>
        <v>0</v>
      </c>
      <c r="AV63" s="97">
        <f>IF(Option3="No",0,IF($A63&lt;ImplementationYear,0,IF($A63&gt;(ImplementationYear+(Appraisal_Period-1)),0,'Reduction in car usage'!$F$46*$B63)))</f>
        <v>0</v>
      </c>
      <c r="AW63" s="97">
        <f>IF(Option3="No",0,IF($A63&lt;ImplementationYear,0,IF($A63&gt;(ImplementationYear+(Appraisal_Period-1)),0,'Reduction in car usage'!$F$47*$B63)))</f>
        <v>0</v>
      </c>
      <c r="AX63" s="97">
        <f>IF(Option3="No",0,IF($A63&lt;ImplementationYear,0,IF($A63&gt;(ImplementationYear+(Appraisal_Period-1)),0,'Reduction in car usage'!$F$48*$B63)))</f>
        <v>0</v>
      </c>
    </row>
    <row r="64" spans="1:50">
      <c r="A64" s="335">
        <v>2059</v>
      </c>
      <c r="B64" s="62">
        <f>VLOOKUP($A64,'Time-series parameters'!$E$11:$H$89,3,FALSE)</f>
        <v>5.1302316161984149E-2</v>
      </c>
      <c r="C64" s="89"/>
      <c r="D64" s="94">
        <f>IF(Option1="No",0,IF($A64=ImplementationYear,('Project details'!$H$10-'Project details'!$D$10)*VLOOKUP(Year_cost_estimate,'Time-series parameters'!$B$11:$C$89,2,FALSE)*$B64*(1+Contingency),0))</f>
        <v>0</v>
      </c>
      <c r="E64" s="94">
        <f>IF(Option1="No",0,IF($A64&lt;ImplementationYear,0,IF($A64&gt;(ImplementationYear+(Appraisal_Period-1)),0,('Project details'!$H$11-'Project details'!$D$11)*VLOOKUP(Year_cost_estimate,'Time-series parameters'!$B$11:$C$89,2,0))*$B64))</f>
        <v>0</v>
      </c>
      <c r="F64" s="94">
        <f>IF(Option1="No",0,IF($A64=ImplementationYear,('Project details'!$H$12-'Project details'!$D$12)*VLOOKUP(Year_cost_estimate,'Time-series parameters'!$B$11:$C$89,2,FALSE)*$B64,0))</f>
        <v>0</v>
      </c>
      <c r="G64" s="97">
        <f>IF(Option1="No",0,IF($A64&lt;ImplementationYear,0,IF($A64&gt;(ImplementationYear+(Appraisal_Period-1)),0,Health!$D$21*$B64)))</f>
        <v>0</v>
      </c>
      <c r="H64" s="97">
        <f>IF(Option1="No",0,IF($A64&lt;ImplementationYear,0,IF($A64&gt;(ImplementationYear+(Appraisal_Period-1)),0,Health!$D$22*$B64)))</f>
        <v>0</v>
      </c>
      <c r="I64" s="97">
        <f>IF(Option1="No",0,IF($A64&lt;ImplementationYear,0,IF($A64&gt;(ImplementationYear+(Appraisal_Period-1)),0,SUM('Travel time'!$D$22:$D$23)*$B64)))</f>
        <v>0</v>
      </c>
      <c r="J64" s="97">
        <f>IF(Option1="No",0,IF($A64&lt;ImplementationYear,0,IF($A64&gt;(ImplementationYear+(Appraisal_Period-1)),0,SUM('Travel time'!$D$20:$D$21)*$B64)))</f>
        <v>0</v>
      </c>
      <c r="K64" s="97">
        <f>IF(Option1="No",0,IF($A64&lt;ImplementationYear,0,IF($A64&gt;(ImplementationYear+(Appraisal_Period-1)),0,SUM(Quality!$D$22:$D$23)*$B64)))</f>
        <v>0</v>
      </c>
      <c r="L64" s="97">
        <f>IF(Option1="No",0,IF($A64&lt;ImplementationYear,0,IF($A64&gt;(ImplementationYear+(Appraisal_Period-1)),0,SUM(Quality!$D$20:$D$21)*$B64)))</f>
        <v>0</v>
      </c>
      <c r="M64" s="97">
        <f>IF(Option1="No",0,IF($A64&lt;ImplementationYear,0,IF($A64&gt;(ImplementationYear+(Appraisal_Period-1)),0,'Mode change'!$D$36*$B64)))</f>
        <v>0</v>
      </c>
      <c r="N64" s="97">
        <f>IF(Option1="No",0,IF($A64&lt;ImplementationYear,0,IF($A64&gt;(ImplementationYear+(Appraisal_Period-1)),0,'Mode change'!$D$37*$B64)))</f>
        <v>0</v>
      </c>
      <c r="O64" s="97">
        <f>IF(Option1="No",0,IF($A64&lt;ImplementationYear,0,IF($A64&gt;(ImplementationYear+(Appraisal_Period-1)),0,'Road safety'!$D$22*$B64)))</f>
        <v>0</v>
      </c>
      <c r="P64" s="97">
        <f>IF(Option1="No",0,IF($A64&lt;ImplementationYear,0,IF($A64&gt;(ImplementationYear+(Appraisal_Period-1)),0,'Reduction in car usage'!$D$46*$B64)))</f>
        <v>0</v>
      </c>
      <c r="Q64" s="97">
        <f>IF(Option1="No",0,IF($A64&lt;ImplementationYear,0,IF($A64&gt;(ImplementationYear+(Appraisal_Period-1)),0,'Reduction in car usage'!$D$47*$B64)))</f>
        <v>0</v>
      </c>
      <c r="R64" s="97">
        <f>IF(Option1="No",0,IF($A64&lt;ImplementationYear,0,IF($A64&gt;(ImplementationYear+(Appraisal_Period-1)),0,'Reduction in car usage'!$D$48*$B64)))</f>
        <v>0</v>
      </c>
      <c r="S64" s="92"/>
      <c r="T64" s="94">
        <f>IF(Option2="No",0,IF($A64=ImplementationYear,('Project details'!$L$10-'Project details'!$D$10)*VLOOKUP(Year_cost_estimate,'Time-series parameters'!$B$11:$C$89,2,FALSE)*$B64*(1+Contingency),0))</f>
        <v>0</v>
      </c>
      <c r="U64" s="94">
        <f>IF(Option2="No",0,IF($A64&lt;ImplementationYear,0,IF($A64&gt;(ImplementationYear+(Appraisal_Period-1)),0,('Project details'!$L$11-'Project details'!$D$11)*VLOOKUP(Year_cost_estimate,'Time-series parameters'!$B$11:$C$89,2,0))*$B64))</f>
        <v>0</v>
      </c>
      <c r="V64" s="94">
        <f>IF(Option2="No",0,IF($A64=ImplementationYear,('Project details'!$L$12-'Project details'!$D$12)*VLOOKUP(Year_cost_estimate,'Time-series parameters'!$B$11:$C$89,2,FALSE)*$B64,0))</f>
        <v>0</v>
      </c>
      <c r="W64" s="97">
        <f>IF(Option2="No",0,IF($A64&lt;ImplementationYear,0,IF($A64&gt;(ImplementationYear+(Appraisal_Period-1)),0,Health!$E$21*$B64)))</f>
        <v>0</v>
      </c>
      <c r="X64" s="97">
        <f>IF(Option2="No",0,IF($A64&lt;ImplementationYear,0,IF($A64&gt;(ImplementationYear+(Appraisal_Period-1)),0,Health!$E$22*$B64)))</f>
        <v>0</v>
      </c>
      <c r="Y64" s="97">
        <f>IF(Option2="No",0,IF($A64&lt;ImplementationYear,0,IF($A64&gt;(ImplementationYear+(Appraisal_Period-1)),0,SUM('Travel time'!$E$22:$E$23)*$B64)))</f>
        <v>0</v>
      </c>
      <c r="Z64" s="97">
        <f>IF(Option2="No",0,IF($A64&lt;ImplementationYear,0,IF($A64&gt;(ImplementationYear+(Appraisal_Period-1)),0,SUM('Travel time'!$E$20:$E$21)*$B64)))</f>
        <v>0</v>
      </c>
      <c r="AA64" s="97">
        <f>IF(Option2="No",0,IF($A64&lt;ImplementationYear,0,IF($A64&gt;(ImplementationYear+(Appraisal_Period-1)),0,SUM(Quality!$E$22:$E$23)*$B64)))</f>
        <v>0</v>
      </c>
      <c r="AB64" s="97">
        <f>IF(Option2="No",0,IF($A64&lt;ImplementationYear,0,IF($A64&gt;(ImplementationYear+(Appraisal_Period-1)),0,SUM(Quality!$E$20:$E$21)*$B64)))</f>
        <v>0</v>
      </c>
      <c r="AC64" s="97">
        <f>IF(Option2="No",0,IF($A64&lt;ImplementationYear,0,IF($A64&gt;(ImplementationYear+(Appraisal_Period-1)),0,'Mode change'!$E$36*$B64)))</f>
        <v>0</v>
      </c>
      <c r="AD64" s="97">
        <f>IF(Option2="No",0,IF($A64&lt;ImplementationYear,0,IF($A64&gt;(ImplementationYear+(Appraisal_Period-1)),0,'Mode change'!$E$37*$B64)))</f>
        <v>0</v>
      </c>
      <c r="AE64" s="97">
        <f>IF(Option2="No",0,IF($A64&lt;ImplementationYear,0,IF($A64&gt;(ImplementationYear+(Appraisal_Period-1)),0,'Road safety'!$E$22*$B64)))</f>
        <v>0</v>
      </c>
      <c r="AF64" s="97">
        <f>IF(Option2="No",0,IF($A64&lt;ImplementationYear,0,IF($A64&gt;(ImplementationYear+(Appraisal_Period-1)),0,'Reduction in car usage'!$E$46*$B64)))</f>
        <v>0</v>
      </c>
      <c r="AG64" s="97">
        <f>IF(Option2="No",0,IF($A64&lt;ImplementationYear,0,IF($A64&gt;(ImplementationYear+(Appraisal_Period-1)),0,'Reduction in car usage'!$E$47*$B64)))</f>
        <v>0</v>
      </c>
      <c r="AH64" s="97">
        <f>IF(Option2="No",0,IF($A64&lt;ImplementationYear,0,IF($A64&gt;(ImplementationYear+(Appraisal_Period-1)),0,'Reduction in car usage'!$E$48*$B64)))</f>
        <v>0</v>
      </c>
      <c r="AJ64" s="94">
        <f>IF(Option3="No",0,IF($A64=ImplementationYear,('Project details'!$P$10-'Project details'!$D$10)*VLOOKUP(Year_cost_estimate,'Time-series parameters'!$B$11:$C$89,2,FALSE)*$B64*(1+Contingency),0))</f>
        <v>0</v>
      </c>
      <c r="AK64" s="94">
        <f>IF(Option3="No",0,IF($A64&lt;ImplementationYear,0,IF($A64&gt;(ImplementationYear+(Appraisal_Period-1)),0,('Project details'!$P$11-'Project details'!$D$11)*VLOOKUP(Year_cost_estimate,'Time-series parameters'!$B$11:$C$89,2,0))*$B64))</f>
        <v>0</v>
      </c>
      <c r="AL64" s="94">
        <f>IF(Option3="No",0,IF($A64=ImplementationYear,('Project details'!$P$12-'Project details'!$D$12)*VLOOKUP(Year_cost_estimate,'Time-series parameters'!$B$11:$C$89,2,FALSE)*$B64,0))</f>
        <v>0</v>
      </c>
      <c r="AM64" s="97">
        <f>IF(Option3="No",0,IF($A64&lt;ImplementationYear,0,IF($A64&gt;(ImplementationYear+(Appraisal_Period-1)),0,Health!$F$21*$B64)))</f>
        <v>0</v>
      </c>
      <c r="AN64" s="97">
        <f>IF(Option3="No",0,IF($A64&lt;ImplementationYear,0,IF($A64&gt;(ImplementationYear+(Appraisal_Period-1)),0,Health!$F$22*$B64)))</f>
        <v>0</v>
      </c>
      <c r="AO64" s="97">
        <f>IF(Option3="No",0,IF($A64&lt;ImplementationYear,0,IF($A64&gt;(ImplementationYear+(Appraisal_Period-1)),0,SUM('Travel time'!$F$22:$F$23)*$B64)))</f>
        <v>0</v>
      </c>
      <c r="AP64" s="97">
        <f>IF(Option3="No",0,IF($A64&lt;ImplementationYear,0,IF($A64&gt;(ImplementationYear+(Appraisal_Period-1)),0,SUM('Travel time'!$F$20:$F$21)*$B64)))</f>
        <v>0</v>
      </c>
      <c r="AQ64" s="97">
        <f>IF(Option3="No",0,IF($A64&lt;ImplementationYear,0,IF($A64&gt;(ImplementationYear+(Appraisal_Period-1)),0,SUM(Quality!$F$22:$F$23)*$B64)))</f>
        <v>0</v>
      </c>
      <c r="AR64" s="97">
        <f>IF(Option3="No",0,IF($A64&lt;ImplementationYear,0,IF($A64&gt;(ImplementationYear+(Appraisal_Period-1)),0,SUM(Quality!$F$20:$F$21)*$B64)))</f>
        <v>0</v>
      </c>
      <c r="AS64" s="97">
        <f>IF(Option3="No",0,IF($A64&lt;ImplementationYear,0,IF($A64&gt;(ImplementationYear+(Appraisal_Period-1)),0,'Mode change'!$F$36*$B64)))</f>
        <v>0</v>
      </c>
      <c r="AT64" s="97">
        <f>IF(Option3="No",0,IF($A64&lt;ImplementationYear,0,IF($A64&gt;(ImplementationYear+(Appraisal_Period-1)),0,'Mode change'!$F$37*$B64)))</f>
        <v>0</v>
      </c>
      <c r="AU64" s="97">
        <f>IF(Option3="No",0,IF($A64&lt;ImplementationYear,0,IF($A64&gt;(ImplementationYear+(Appraisal_Period-1)),0,'Road safety'!$F$22*$B64)))</f>
        <v>0</v>
      </c>
      <c r="AV64" s="97">
        <f>IF(Option3="No",0,IF($A64&lt;ImplementationYear,0,IF($A64&gt;(ImplementationYear+(Appraisal_Period-1)),0,'Reduction in car usage'!$F$46*$B64)))</f>
        <v>0</v>
      </c>
      <c r="AW64" s="97">
        <f>IF(Option3="No",0,IF($A64&lt;ImplementationYear,0,IF($A64&gt;(ImplementationYear+(Appraisal_Period-1)),0,'Reduction in car usage'!$F$47*$B64)))</f>
        <v>0</v>
      </c>
      <c r="AX64" s="97">
        <f>IF(Option3="No",0,IF($A64&lt;ImplementationYear,0,IF($A64&gt;(ImplementationYear+(Appraisal_Period-1)),0,'Reduction in car usage'!$F$48*$B64)))</f>
        <v>0</v>
      </c>
    </row>
    <row r="65" spans="1:50">
      <c r="A65" s="335">
        <v>2060</v>
      </c>
      <c r="B65" s="62">
        <f>VLOOKUP($A65,'Time-series parameters'!$E$11:$H$89,3,FALSE)</f>
        <v>4.82241771922651E-2</v>
      </c>
      <c r="C65" s="89"/>
      <c r="D65" s="94">
        <f>IF(Option1="No",0,IF($A65=ImplementationYear,('Project details'!$H$10-'Project details'!$D$10)*VLOOKUP(Year_cost_estimate,'Time-series parameters'!$B$11:$C$89,2,FALSE)*$B65*(1+Contingency),0))</f>
        <v>0</v>
      </c>
      <c r="E65" s="94">
        <f>IF(Option1="No",0,IF($A65&lt;ImplementationYear,0,IF($A65&gt;(ImplementationYear+(Appraisal_Period-1)),0,('Project details'!$H$11-'Project details'!$D$11)*VLOOKUP(Year_cost_estimate,'Time-series parameters'!$B$11:$C$89,2,0))*$B65))</f>
        <v>0</v>
      </c>
      <c r="F65" s="94">
        <f>IF(Option1="No",0,IF($A65=ImplementationYear,('Project details'!$H$12-'Project details'!$D$12)*VLOOKUP(Year_cost_estimate,'Time-series parameters'!$B$11:$C$89,2,FALSE)*$B65,0))</f>
        <v>0</v>
      </c>
      <c r="G65" s="97">
        <f>IF(Option1="No",0,IF($A65&lt;ImplementationYear,0,IF($A65&gt;(ImplementationYear+(Appraisal_Period-1)),0,Health!$D$21*$B65)))</f>
        <v>0</v>
      </c>
      <c r="H65" s="97">
        <f>IF(Option1="No",0,IF($A65&lt;ImplementationYear,0,IF($A65&gt;(ImplementationYear+(Appraisal_Period-1)),0,Health!$D$22*$B65)))</f>
        <v>0</v>
      </c>
      <c r="I65" s="97">
        <f>IF(Option1="No",0,IF($A65&lt;ImplementationYear,0,IF($A65&gt;(ImplementationYear+(Appraisal_Period-1)),0,SUM('Travel time'!$D$22:$D$23)*$B65)))</f>
        <v>0</v>
      </c>
      <c r="J65" s="97">
        <f>IF(Option1="No",0,IF($A65&lt;ImplementationYear,0,IF($A65&gt;(ImplementationYear+(Appraisal_Period-1)),0,SUM('Travel time'!$D$20:$D$21)*$B65)))</f>
        <v>0</v>
      </c>
      <c r="K65" s="97">
        <f>IF(Option1="No",0,IF($A65&lt;ImplementationYear,0,IF($A65&gt;(ImplementationYear+(Appraisal_Period-1)),0,SUM(Quality!$D$22:$D$23)*$B65)))</f>
        <v>0</v>
      </c>
      <c r="L65" s="97">
        <f>IF(Option1="No",0,IF($A65&lt;ImplementationYear,0,IF($A65&gt;(ImplementationYear+(Appraisal_Period-1)),0,SUM(Quality!$D$20:$D$21)*$B65)))</f>
        <v>0</v>
      </c>
      <c r="M65" s="97">
        <f>IF(Option1="No",0,IF($A65&lt;ImplementationYear,0,IF($A65&gt;(ImplementationYear+(Appraisal_Period-1)),0,'Mode change'!$D$36*$B65)))</f>
        <v>0</v>
      </c>
      <c r="N65" s="97">
        <f>IF(Option1="No",0,IF($A65&lt;ImplementationYear,0,IF($A65&gt;(ImplementationYear+(Appraisal_Period-1)),0,'Mode change'!$D$37*$B65)))</f>
        <v>0</v>
      </c>
      <c r="O65" s="97">
        <f>IF(Option1="No",0,IF($A65&lt;ImplementationYear,0,IF($A65&gt;(ImplementationYear+(Appraisal_Period-1)),0,'Road safety'!$D$22*$B65)))</f>
        <v>0</v>
      </c>
      <c r="P65" s="97">
        <f>IF(Option1="No",0,IF($A65&lt;ImplementationYear,0,IF($A65&gt;(ImplementationYear+(Appraisal_Period-1)),0,'Reduction in car usage'!$D$46*$B65)))</f>
        <v>0</v>
      </c>
      <c r="Q65" s="97">
        <f>IF(Option1="No",0,IF($A65&lt;ImplementationYear,0,IF($A65&gt;(ImplementationYear+(Appraisal_Period-1)),0,'Reduction in car usage'!$D$47*$B65)))</f>
        <v>0</v>
      </c>
      <c r="R65" s="97">
        <f>IF(Option1="No",0,IF($A65&lt;ImplementationYear,0,IF($A65&gt;(ImplementationYear+(Appraisal_Period-1)),0,'Reduction in car usage'!$D$48*$B65)))</f>
        <v>0</v>
      </c>
      <c r="S65" s="92"/>
      <c r="T65" s="94">
        <f>IF(Option2="No",0,IF($A65=ImplementationYear,('Project details'!$L$10-'Project details'!$D$10)*VLOOKUP(Year_cost_estimate,'Time-series parameters'!$B$11:$C$89,2,FALSE)*$B65*(1+Contingency),0))</f>
        <v>0</v>
      </c>
      <c r="U65" s="94">
        <f>IF(Option2="No",0,IF($A65&lt;ImplementationYear,0,IF($A65&gt;(ImplementationYear+(Appraisal_Period-1)),0,('Project details'!$L$11-'Project details'!$D$11)*VLOOKUP(Year_cost_estimate,'Time-series parameters'!$B$11:$C$89,2,0))*$B65))</f>
        <v>0</v>
      </c>
      <c r="V65" s="94">
        <f>IF(Option2="No",0,IF($A65=ImplementationYear,('Project details'!$L$12-'Project details'!$D$12)*VLOOKUP(Year_cost_estimate,'Time-series parameters'!$B$11:$C$89,2,FALSE)*$B65,0))</f>
        <v>0</v>
      </c>
      <c r="W65" s="97">
        <f>IF(Option2="No",0,IF($A65&lt;ImplementationYear,0,IF($A65&gt;(ImplementationYear+(Appraisal_Period-1)),0,Health!$E$21*$B65)))</f>
        <v>0</v>
      </c>
      <c r="X65" s="97">
        <f>IF(Option2="No",0,IF($A65&lt;ImplementationYear,0,IF($A65&gt;(ImplementationYear+(Appraisal_Period-1)),0,Health!$E$22*$B65)))</f>
        <v>0</v>
      </c>
      <c r="Y65" s="97">
        <f>IF(Option2="No",0,IF($A65&lt;ImplementationYear,0,IF($A65&gt;(ImplementationYear+(Appraisal_Period-1)),0,SUM('Travel time'!$E$22:$E$23)*$B65)))</f>
        <v>0</v>
      </c>
      <c r="Z65" s="97">
        <f>IF(Option2="No",0,IF($A65&lt;ImplementationYear,0,IF($A65&gt;(ImplementationYear+(Appraisal_Period-1)),0,SUM('Travel time'!$E$20:$E$21)*$B65)))</f>
        <v>0</v>
      </c>
      <c r="AA65" s="97">
        <f>IF(Option2="No",0,IF($A65&lt;ImplementationYear,0,IF($A65&gt;(ImplementationYear+(Appraisal_Period-1)),0,SUM(Quality!$E$22:$E$23)*$B65)))</f>
        <v>0</v>
      </c>
      <c r="AB65" s="97">
        <f>IF(Option2="No",0,IF($A65&lt;ImplementationYear,0,IF($A65&gt;(ImplementationYear+(Appraisal_Period-1)),0,SUM(Quality!$E$20:$E$21)*$B65)))</f>
        <v>0</v>
      </c>
      <c r="AC65" s="97">
        <f>IF(Option2="No",0,IF($A65&lt;ImplementationYear,0,IF($A65&gt;(ImplementationYear+(Appraisal_Period-1)),0,'Mode change'!$E$36*$B65)))</f>
        <v>0</v>
      </c>
      <c r="AD65" s="97">
        <f>IF(Option2="No",0,IF($A65&lt;ImplementationYear,0,IF($A65&gt;(ImplementationYear+(Appraisal_Period-1)),0,'Mode change'!$E$37*$B65)))</f>
        <v>0</v>
      </c>
      <c r="AE65" s="97">
        <f>IF(Option2="No",0,IF($A65&lt;ImplementationYear,0,IF($A65&gt;(ImplementationYear+(Appraisal_Period-1)),0,'Road safety'!$E$22*$B65)))</f>
        <v>0</v>
      </c>
      <c r="AF65" s="97">
        <f>IF(Option2="No",0,IF($A65&lt;ImplementationYear,0,IF($A65&gt;(ImplementationYear+(Appraisal_Period-1)),0,'Reduction in car usage'!$E$46*$B65)))</f>
        <v>0</v>
      </c>
      <c r="AG65" s="97">
        <f>IF(Option2="No",0,IF($A65&lt;ImplementationYear,0,IF($A65&gt;(ImplementationYear+(Appraisal_Period-1)),0,'Reduction in car usage'!$E$47*$B65)))</f>
        <v>0</v>
      </c>
      <c r="AH65" s="97">
        <f>IF(Option2="No",0,IF($A65&lt;ImplementationYear,0,IF($A65&gt;(ImplementationYear+(Appraisal_Period-1)),0,'Reduction in car usage'!$E$48*$B65)))</f>
        <v>0</v>
      </c>
      <c r="AJ65" s="94">
        <f>IF(Option3="No",0,IF($A65=ImplementationYear,('Project details'!$P$10-'Project details'!$D$10)*VLOOKUP(Year_cost_estimate,'Time-series parameters'!$B$11:$C$89,2,FALSE)*$B65*(1+Contingency),0))</f>
        <v>0</v>
      </c>
      <c r="AK65" s="94">
        <f>IF(Option3="No",0,IF($A65&lt;ImplementationYear,0,IF($A65&gt;(ImplementationYear+(Appraisal_Period-1)),0,('Project details'!$P$11-'Project details'!$D$11)*VLOOKUP(Year_cost_estimate,'Time-series parameters'!$B$11:$C$89,2,0))*$B65))</f>
        <v>0</v>
      </c>
      <c r="AL65" s="94">
        <f>IF(Option3="No",0,IF($A65=ImplementationYear,('Project details'!$P$12-'Project details'!$D$12)*VLOOKUP(Year_cost_estimate,'Time-series parameters'!$B$11:$C$89,2,FALSE)*$B65,0))</f>
        <v>0</v>
      </c>
      <c r="AM65" s="97">
        <f>IF(Option3="No",0,IF($A65&lt;ImplementationYear,0,IF($A65&gt;(ImplementationYear+(Appraisal_Period-1)),0,Health!$F$21*$B65)))</f>
        <v>0</v>
      </c>
      <c r="AN65" s="97">
        <f>IF(Option3="No",0,IF($A65&lt;ImplementationYear,0,IF($A65&gt;(ImplementationYear+(Appraisal_Period-1)),0,Health!$F$22*$B65)))</f>
        <v>0</v>
      </c>
      <c r="AO65" s="97">
        <f>IF(Option3="No",0,IF($A65&lt;ImplementationYear,0,IF($A65&gt;(ImplementationYear+(Appraisal_Period-1)),0,SUM('Travel time'!$F$22:$F$23)*$B65)))</f>
        <v>0</v>
      </c>
      <c r="AP65" s="97">
        <f>IF(Option3="No",0,IF($A65&lt;ImplementationYear,0,IF($A65&gt;(ImplementationYear+(Appraisal_Period-1)),0,SUM('Travel time'!$F$20:$F$21)*$B65)))</f>
        <v>0</v>
      </c>
      <c r="AQ65" s="97">
        <f>IF(Option3="No",0,IF($A65&lt;ImplementationYear,0,IF($A65&gt;(ImplementationYear+(Appraisal_Period-1)),0,SUM(Quality!$F$22:$F$23)*$B65)))</f>
        <v>0</v>
      </c>
      <c r="AR65" s="97">
        <f>IF(Option3="No",0,IF($A65&lt;ImplementationYear,0,IF($A65&gt;(ImplementationYear+(Appraisal_Period-1)),0,SUM(Quality!$F$20:$F$21)*$B65)))</f>
        <v>0</v>
      </c>
      <c r="AS65" s="97">
        <f>IF(Option3="No",0,IF($A65&lt;ImplementationYear,0,IF($A65&gt;(ImplementationYear+(Appraisal_Period-1)),0,'Mode change'!$F$36*$B65)))</f>
        <v>0</v>
      </c>
      <c r="AT65" s="97">
        <f>IF(Option3="No",0,IF($A65&lt;ImplementationYear,0,IF($A65&gt;(ImplementationYear+(Appraisal_Period-1)),0,'Mode change'!$F$37*$B65)))</f>
        <v>0</v>
      </c>
      <c r="AU65" s="97">
        <f>IF(Option3="No",0,IF($A65&lt;ImplementationYear,0,IF($A65&gt;(ImplementationYear+(Appraisal_Period-1)),0,'Road safety'!$F$22*$B65)))</f>
        <v>0</v>
      </c>
      <c r="AV65" s="97">
        <f>IF(Option3="No",0,IF($A65&lt;ImplementationYear,0,IF($A65&gt;(ImplementationYear+(Appraisal_Period-1)),0,'Reduction in car usage'!$F$46*$B65)))</f>
        <v>0</v>
      </c>
      <c r="AW65" s="97">
        <f>IF(Option3="No",0,IF($A65&lt;ImplementationYear,0,IF($A65&gt;(ImplementationYear+(Appraisal_Period-1)),0,'Reduction in car usage'!$F$47*$B65)))</f>
        <v>0</v>
      </c>
      <c r="AX65" s="97">
        <f>IF(Option3="No",0,IF($A65&lt;ImplementationYear,0,IF($A65&gt;(ImplementationYear+(Appraisal_Period-1)),0,'Reduction in car usage'!$F$48*$B65)))</f>
        <v>0</v>
      </c>
    </row>
    <row r="66" spans="1:50">
      <c r="A66" s="335">
        <v>2061</v>
      </c>
      <c r="B66" s="62">
        <f>VLOOKUP($A66,'Time-series parameters'!$E$11:$H$89,3,FALSE)</f>
        <v>4.5330726560729194E-2</v>
      </c>
      <c r="C66" s="89"/>
      <c r="D66" s="94">
        <f>IF(Option1="No",0,IF($A66=ImplementationYear,('Project details'!$H$10-'Project details'!$D$10)*VLOOKUP(Year_cost_estimate,'Time-series parameters'!$B$11:$C$89,2,FALSE)*$B66*(1+Contingency),0))</f>
        <v>0</v>
      </c>
      <c r="E66" s="94">
        <f>IF(Option1="No",0,IF($A66&lt;ImplementationYear,0,IF($A66&gt;(ImplementationYear+(Appraisal_Period-1)),0,('Project details'!$H$11-'Project details'!$D$11)*VLOOKUP(Year_cost_estimate,'Time-series parameters'!$B$11:$C$89,2,0))*$B66))</f>
        <v>0</v>
      </c>
      <c r="F66" s="94">
        <f>IF(Option1="No",0,IF($A66=ImplementationYear,('Project details'!$H$12-'Project details'!$D$12)*VLOOKUP(Year_cost_estimate,'Time-series parameters'!$B$11:$C$89,2,FALSE)*$B66,0))</f>
        <v>0</v>
      </c>
      <c r="G66" s="97">
        <f>IF(Option1="No",0,IF($A66&lt;ImplementationYear,0,IF($A66&gt;(ImplementationYear+(Appraisal_Period-1)),0,Health!$D$21*$B66)))</f>
        <v>0</v>
      </c>
      <c r="H66" s="97">
        <f>IF(Option1="No",0,IF($A66&lt;ImplementationYear,0,IF($A66&gt;(ImplementationYear+(Appraisal_Period-1)),0,Health!$D$22*$B66)))</f>
        <v>0</v>
      </c>
      <c r="I66" s="97">
        <f>IF(Option1="No",0,IF($A66&lt;ImplementationYear,0,IF($A66&gt;(ImplementationYear+(Appraisal_Period-1)),0,SUM('Travel time'!$D$22:$D$23)*$B66)))</f>
        <v>0</v>
      </c>
      <c r="J66" s="97">
        <f>IF(Option1="No",0,IF($A66&lt;ImplementationYear,0,IF($A66&gt;(ImplementationYear+(Appraisal_Period-1)),0,SUM('Travel time'!$D$20:$D$21)*$B66)))</f>
        <v>0</v>
      </c>
      <c r="K66" s="97">
        <f>IF(Option1="No",0,IF($A66&lt;ImplementationYear,0,IF($A66&gt;(ImplementationYear+(Appraisal_Period-1)),0,SUM(Quality!$D$22:$D$23)*$B66)))</f>
        <v>0</v>
      </c>
      <c r="L66" s="97">
        <f>IF(Option1="No",0,IF($A66&lt;ImplementationYear,0,IF($A66&gt;(ImplementationYear+(Appraisal_Period-1)),0,SUM(Quality!$D$20:$D$21)*$B66)))</f>
        <v>0</v>
      </c>
      <c r="M66" s="97">
        <f>IF(Option1="No",0,IF($A66&lt;ImplementationYear,0,IF($A66&gt;(ImplementationYear+(Appraisal_Period-1)),0,'Mode change'!$D$36*$B66)))</f>
        <v>0</v>
      </c>
      <c r="N66" s="97">
        <f>IF(Option1="No",0,IF($A66&lt;ImplementationYear,0,IF($A66&gt;(ImplementationYear+(Appraisal_Period-1)),0,'Mode change'!$D$37*$B66)))</f>
        <v>0</v>
      </c>
      <c r="O66" s="97">
        <f>IF(Option1="No",0,IF($A66&lt;ImplementationYear,0,IF($A66&gt;(ImplementationYear+(Appraisal_Period-1)),0,'Road safety'!$D$22*$B66)))</f>
        <v>0</v>
      </c>
      <c r="P66" s="97">
        <f>IF(Option1="No",0,IF($A66&lt;ImplementationYear,0,IF($A66&gt;(ImplementationYear+(Appraisal_Period-1)),0,'Reduction in car usage'!$D$46*$B66)))</f>
        <v>0</v>
      </c>
      <c r="Q66" s="97">
        <f>IF(Option1="No",0,IF($A66&lt;ImplementationYear,0,IF($A66&gt;(ImplementationYear+(Appraisal_Period-1)),0,'Reduction in car usage'!$D$47*$B66)))</f>
        <v>0</v>
      </c>
      <c r="R66" s="97">
        <f>IF(Option1="No",0,IF($A66&lt;ImplementationYear,0,IF($A66&gt;(ImplementationYear+(Appraisal_Period-1)),0,'Reduction in car usage'!$D$48*$B66)))</f>
        <v>0</v>
      </c>
      <c r="S66" s="92"/>
      <c r="T66" s="94">
        <f>IF(Option2="No",0,IF($A66=ImplementationYear,('Project details'!$L$10-'Project details'!$D$10)*VLOOKUP(Year_cost_estimate,'Time-series parameters'!$B$11:$C$89,2,FALSE)*$B66*(1+Contingency),0))</f>
        <v>0</v>
      </c>
      <c r="U66" s="94">
        <f>IF(Option2="No",0,IF($A66&lt;ImplementationYear,0,IF($A66&gt;(ImplementationYear+(Appraisal_Period-1)),0,('Project details'!$L$11-'Project details'!$D$11)*VLOOKUP(Year_cost_estimate,'Time-series parameters'!$B$11:$C$89,2,0))*$B66))</f>
        <v>0</v>
      </c>
      <c r="V66" s="94">
        <f>IF(Option2="No",0,IF($A66=ImplementationYear,('Project details'!$L$12-'Project details'!$D$12)*VLOOKUP(Year_cost_estimate,'Time-series parameters'!$B$11:$C$89,2,FALSE)*$B66,0))</f>
        <v>0</v>
      </c>
      <c r="W66" s="97">
        <f>IF(Option2="No",0,IF($A66&lt;ImplementationYear,0,IF($A66&gt;(ImplementationYear+(Appraisal_Period-1)),0,Health!$E$21*$B66)))</f>
        <v>0</v>
      </c>
      <c r="X66" s="97">
        <f>IF(Option2="No",0,IF($A66&lt;ImplementationYear,0,IF($A66&gt;(ImplementationYear+(Appraisal_Period-1)),0,Health!$E$22*$B66)))</f>
        <v>0</v>
      </c>
      <c r="Y66" s="97">
        <f>IF(Option2="No",0,IF($A66&lt;ImplementationYear,0,IF($A66&gt;(ImplementationYear+(Appraisal_Period-1)),0,SUM('Travel time'!$E$22:$E$23)*$B66)))</f>
        <v>0</v>
      </c>
      <c r="Z66" s="97">
        <f>IF(Option2="No",0,IF($A66&lt;ImplementationYear,0,IF($A66&gt;(ImplementationYear+(Appraisal_Period-1)),0,SUM('Travel time'!$E$20:$E$21)*$B66)))</f>
        <v>0</v>
      </c>
      <c r="AA66" s="97">
        <f>IF(Option2="No",0,IF($A66&lt;ImplementationYear,0,IF($A66&gt;(ImplementationYear+(Appraisal_Period-1)),0,SUM(Quality!$E$22:$E$23)*$B66)))</f>
        <v>0</v>
      </c>
      <c r="AB66" s="97">
        <f>IF(Option2="No",0,IF($A66&lt;ImplementationYear,0,IF($A66&gt;(ImplementationYear+(Appraisal_Period-1)),0,SUM(Quality!$E$20:$E$21)*$B66)))</f>
        <v>0</v>
      </c>
      <c r="AC66" s="97">
        <f>IF(Option2="No",0,IF($A66&lt;ImplementationYear,0,IF($A66&gt;(ImplementationYear+(Appraisal_Period-1)),0,'Mode change'!$E$36*$B66)))</f>
        <v>0</v>
      </c>
      <c r="AD66" s="97">
        <f>IF(Option2="No",0,IF($A66&lt;ImplementationYear,0,IF($A66&gt;(ImplementationYear+(Appraisal_Period-1)),0,'Mode change'!$E$37*$B66)))</f>
        <v>0</v>
      </c>
      <c r="AE66" s="97">
        <f>IF(Option2="No",0,IF($A66&lt;ImplementationYear,0,IF($A66&gt;(ImplementationYear+(Appraisal_Period-1)),0,'Road safety'!$E$22*$B66)))</f>
        <v>0</v>
      </c>
      <c r="AF66" s="97">
        <f>IF(Option2="No",0,IF($A66&lt;ImplementationYear,0,IF($A66&gt;(ImplementationYear+(Appraisal_Period-1)),0,'Reduction in car usage'!$E$46*$B66)))</f>
        <v>0</v>
      </c>
      <c r="AG66" s="97">
        <f>IF(Option2="No",0,IF($A66&lt;ImplementationYear,0,IF($A66&gt;(ImplementationYear+(Appraisal_Period-1)),0,'Reduction in car usage'!$E$47*$B66)))</f>
        <v>0</v>
      </c>
      <c r="AH66" s="97">
        <f>IF(Option2="No",0,IF($A66&lt;ImplementationYear,0,IF($A66&gt;(ImplementationYear+(Appraisal_Period-1)),0,'Reduction in car usage'!$E$48*$B66)))</f>
        <v>0</v>
      </c>
      <c r="AJ66" s="94">
        <f>IF(Option3="No",0,IF($A66=ImplementationYear,('Project details'!$P$10-'Project details'!$D$10)*VLOOKUP(Year_cost_estimate,'Time-series parameters'!$B$11:$C$89,2,FALSE)*$B66*(1+Contingency),0))</f>
        <v>0</v>
      </c>
      <c r="AK66" s="94">
        <f>IF(Option3="No",0,IF($A66&lt;ImplementationYear,0,IF($A66&gt;(ImplementationYear+(Appraisal_Period-1)),0,('Project details'!$P$11-'Project details'!$D$11)*VLOOKUP(Year_cost_estimate,'Time-series parameters'!$B$11:$C$89,2,0))*$B66))</f>
        <v>0</v>
      </c>
      <c r="AL66" s="94">
        <f>IF(Option3="No",0,IF($A66=ImplementationYear,('Project details'!$P$12-'Project details'!$D$12)*VLOOKUP(Year_cost_estimate,'Time-series parameters'!$B$11:$C$89,2,FALSE)*$B66,0))</f>
        <v>0</v>
      </c>
      <c r="AM66" s="97">
        <f>IF(Option3="No",0,IF($A66&lt;ImplementationYear,0,IF($A66&gt;(ImplementationYear+(Appraisal_Period-1)),0,Health!$F$21*$B66)))</f>
        <v>0</v>
      </c>
      <c r="AN66" s="97">
        <f>IF(Option3="No",0,IF($A66&lt;ImplementationYear,0,IF($A66&gt;(ImplementationYear+(Appraisal_Period-1)),0,Health!$F$22*$B66)))</f>
        <v>0</v>
      </c>
      <c r="AO66" s="97">
        <f>IF(Option3="No",0,IF($A66&lt;ImplementationYear,0,IF($A66&gt;(ImplementationYear+(Appraisal_Period-1)),0,SUM('Travel time'!$F$22:$F$23)*$B66)))</f>
        <v>0</v>
      </c>
      <c r="AP66" s="97">
        <f>IF(Option3="No",0,IF($A66&lt;ImplementationYear,0,IF($A66&gt;(ImplementationYear+(Appraisal_Period-1)),0,SUM('Travel time'!$F$20:$F$21)*$B66)))</f>
        <v>0</v>
      </c>
      <c r="AQ66" s="97">
        <f>IF(Option3="No",0,IF($A66&lt;ImplementationYear,0,IF($A66&gt;(ImplementationYear+(Appraisal_Period-1)),0,SUM(Quality!$F$22:$F$23)*$B66)))</f>
        <v>0</v>
      </c>
      <c r="AR66" s="97">
        <f>IF(Option3="No",0,IF($A66&lt;ImplementationYear,0,IF($A66&gt;(ImplementationYear+(Appraisal_Period-1)),0,SUM(Quality!$F$20:$F$21)*$B66)))</f>
        <v>0</v>
      </c>
      <c r="AS66" s="97">
        <f>IF(Option3="No",0,IF($A66&lt;ImplementationYear,0,IF($A66&gt;(ImplementationYear+(Appraisal_Period-1)),0,'Mode change'!$F$36*$B66)))</f>
        <v>0</v>
      </c>
      <c r="AT66" s="97">
        <f>IF(Option3="No",0,IF($A66&lt;ImplementationYear,0,IF($A66&gt;(ImplementationYear+(Appraisal_Period-1)),0,'Mode change'!$F$37*$B66)))</f>
        <v>0</v>
      </c>
      <c r="AU66" s="97">
        <f>IF(Option3="No",0,IF($A66&lt;ImplementationYear,0,IF($A66&gt;(ImplementationYear+(Appraisal_Period-1)),0,'Road safety'!$F$22*$B66)))</f>
        <v>0</v>
      </c>
      <c r="AV66" s="97">
        <f>IF(Option3="No",0,IF($A66&lt;ImplementationYear,0,IF($A66&gt;(ImplementationYear+(Appraisal_Period-1)),0,'Reduction in car usage'!$F$46*$B66)))</f>
        <v>0</v>
      </c>
      <c r="AW66" s="97">
        <f>IF(Option3="No",0,IF($A66&lt;ImplementationYear,0,IF($A66&gt;(ImplementationYear+(Appraisal_Period-1)),0,'Reduction in car usage'!$F$47*$B66)))</f>
        <v>0</v>
      </c>
      <c r="AX66" s="97">
        <f>IF(Option3="No",0,IF($A66&lt;ImplementationYear,0,IF($A66&gt;(ImplementationYear+(Appraisal_Period-1)),0,'Reduction in car usage'!$F$48*$B66)))</f>
        <v>0</v>
      </c>
    </row>
    <row r="67" spans="1:50">
      <c r="A67" s="335">
        <v>2062</v>
      </c>
      <c r="B67" s="62">
        <f>VLOOKUP($A67,'Time-series parameters'!$E$11:$H$89,3,FALSE)</f>
        <v>4.2610882967085442E-2</v>
      </c>
      <c r="C67" s="89"/>
      <c r="D67" s="94">
        <f>IF(Option1="No",0,IF($A67=ImplementationYear,('Project details'!$H$10-'Project details'!$D$10)*VLOOKUP(Year_cost_estimate,'Time-series parameters'!$B$11:$C$89,2,FALSE)*$B67*(1+Contingency),0))</f>
        <v>0</v>
      </c>
      <c r="E67" s="94">
        <f>IF(Option1="No",0,IF($A67&lt;ImplementationYear,0,IF($A67&gt;(ImplementationYear+(Appraisal_Period-1)),0,('Project details'!$H$11-'Project details'!$D$11)*VLOOKUP(Year_cost_estimate,'Time-series parameters'!$B$11:$C$89,2,0))*$B67))</f>
        <v>0</v>
      </c>
      <c r="F67" s="94">
        <f>IF(Option1="No",0,IF($A67=ImplementationYear,('Project details'!$H$12-'Project details'!$D$12)*VLOOKUP(Year_cost_estimate,'Time-series parameters'!$B$11:$C$89,2,FALSE)*$B67,0))</f>
        <v>0</v>
      </c>
      <c r="G67" s="97">
        <f>IF(Option1="No",0,IF($A67&lt;ImplementationYear,0,IF($A67&gt;(ImplementationYear+(Appraisal_Period-1)),0,Health!$D$21*$B67)))</f>
        <v>0</v>
      </c>
      <c r="H67" s="97">
        <f>IF(Option1="No",0,IF($A67&lt;ImplementationYear,0,IF($A67&gt;(ImplementationYear+(Appraisal_Period-1)),0,Health!$D$22*$B67)))</f>
        <v>0</v>
      </c>
      <c r="I67" s="97">
        <f>IF(Option1="No",0,IF($A67&lt;ImplementationYear,0,IF($A67&gt;(ImplementationYear+(Appraisal_Period-1)),0,SUM('Travel time'!$D$22:$D$23)*$B67)))</f>
        <v>0</v>
      </c>
      <c r="J67" s="97">
        <f>IF(Option1="No",0,IF($A67&lt;ImplementationYear,0,IF($A67&gt;(ImplementationYear+(Appraisal_Period-1)),0,SUM('Travel time'!$D$20:$D$21)*$B67)))</f>
        <v>0</v>
      </c>
      <c r="K67" s="97">
        <f>IF(Option1="No",0,IF($A67&lt;ImplementationYear,0,IF($A67&gt;(ImplementationYear+(Appraisal_Period-1)),0,SUM(Quality!$D$22:$D$23)*$B67)))</f>
        <v>0</v>
      </c>
      <c r="L67" s="97">
        <f>IF(Option1="No",0,IF($A67&lt;ImplementationYear,0,IF($A67&gt;(ImplementationYear+(Appraisal_Period-1)),0,SUM(Quality!$D$20:$D$21)*$B67)))</f>
        <v>0</v>
      </c>
      <c r="M67" s="97">
        <f>IF(Option1="No",0,IF($A67&lt;ImplementationYear,0,IF($A67&gt;(ImplementationYear+(Appraisal_Period-1)),0,'Mode change'!$D$36*$B67)))</f>
        <v>0</v>
      </c>
      <c r="N67" s="97">
        <f>IF(Option1="No",0,IF($A67&lt;ImplementationYear,0,IF($A67&gt;(ImplementationYear+(Appraisal_Period-1)),0,'Mode change'!$D$37*$B67)))</f>
        <v>0</v>
      </c>
      <c r="O67" s="97">
        <f>IF(Option1="No",0,IF($A67&lt;ImplementationYear,0,IF($A67&gt;(ImplementationYear+(Appraisal_Period-1)),0,'Road safety'!$D$22*$B67)))</f>
        <v>0</v>
      </c>
      <c r="P67" s="97">
        <f>IF(Option1="No",0,IF($A67&lt;ImplementationYear,0,IF($A67&gt;(ImplementationYear+(Appraisal_Period-1)),0,'Reduction in car usage'!$D$46*$B67)))</f>
        <v>0</v>
      </c>
      <c r="Q67" s="97">
        <f>IF(Option1="No",0,IF($A67&lt;ImplementationYear,0,IF($A67&gt;(ImplementationYear+(Appraisal_Period-1)),0,'Reduction in car usage'!$D$47*$B67)))</f>
        <v>0</v>
      </c>
      <c r="R67" s="97">
        <f>IF(Option1="No",0,IF($A67&lt;ImplementationYear,0,IF($A67&gt;(ImplementationYear+(Appraisal_Period-1)),0,'Reduction in car usage'!$D$48*$B67)))</f>
        <v>0</v>
      </c>
      <c r="S67" s="92"/>
      <c r="T67" s="94">
        <f>IF(Option2="No",0,IF($A67=ImplementationYear,('Project details'!$L$10-'Project details'!$D$10)*VLOOKUP(Year_cost_estimate,'Time-series parameters'!$B$11:$C$89,2,FALSE)*$B67*(1+Contingency),0))</f>
        <v>0</v>
      </c>
      <c r="U67" s="94">
        <f>IF(Option2="No",0,IF($A67&lt;ImplementationYear,0,IF($A67&gt;(ImplementationYear+(Appraisal_Period-1)),0,('Project details'!$L$11-'Project details'!$D$11)*VLOOKUP(Year_cost_estimate,'Time-series parameters'!$B$11:$C$89,2,0))*$B67))</f>
        <v>0</v>
      </c>
      <c r="V67" s="94">
        <f>IF(Option2="No",0,IF($A67=ImplementationYear,('Project details'!$L$12-'Project details'!$D$12)*VLOOKUP(Year_cost_estimate,'Time-series parameters'!$B$11:$C$89,2,FALSE)*$B67,0))</f>
        <v>0</v>
      </c>
      <c r="W67" s="97">
        <f>IF(Option2="No",0,IF($A67&lt;ImplementationYear,0,IF($A67&gt;(ImplementationYear+(Appraisal_Period-1)),0,Health!$E$21*$B67)))</f>
        <v>0</v>
      </c>
      <c r="X67" s="97">
        <f>IF(Option2="No",0,IF($A67&lt;ImplementationYear,0,IF($A67&gt;(ImplementationYear+(Appraisal_Period-1)),0,Health!$E$22*$B67)))</f>
        <v>0</v>
      </c>
      <c r="Y67" s="97">
        <f>IF(Option2="No",0,IF($A67&lt;ImplementationYear,0,IF($A67&gt;(ImplementationYear+(Appraisal_Period-1)),0,SUM('Travel time'!$E$22:$E$23)*$B67)))</f>
        <v>0</v>
      </c>
      <c r="Z67" s="97">
        <f>IF(Option2="No",0,IF($A67&lt;ImplementationYear,0,IF($A67&gt;(ImplementationYear+(Appraisal_Period-1)),0,SUM('Travel time'!$E$20:$E$21)*$B67)))</f>
        <v>0</v>
      </c>
      <c r="AA67" s="97">
        <f>IF(Option2="No",0,IF($A67&lt;ImplementationYear,0,IF($A67&gt;(ImplementationYear+(Appraisal_Period-1)),0,SUM(Quality!$E$22:$E$23)*$B67)))</f>
        <v>0</v>
      </c>
      <c r="AB67" s="97">
        <f>IF(Option2="No",0,IF($A67&lt;ImplementationYear,0,IF($A67&gt;(ImplementationYear+(Appraisal_Period-1)),0,SUM(Quality!$E$20:$E$21)*$B67)))</f>
        <v>0</v>
      </c>
      <c r="AC67" s="97">
        <f>IF(Option2="No",0,IF($A67&lt;ImplementationYear,0,IF($A67&gt;(ImplementationYear+(Appraisal_Period-1)),0,'Mode change'!$E$36*$B67)))</f>
        <v>0</v>
      </c>
      <c r="AD67" s="97">
        <f>IF(Option2="No",0,IF($A67&lt;ImplementationYear,0,IF($A67&gt;(ImplementationYear+(Appraisal_Period-1)),0,'Mode change'!$E$37*$B67)))</f>
        <v>0</v>
      </c>
      <c r="AE67" s="97">
        <f>IF(Option2="No",0,IF($A67&lt;ImplementationYear,0,IF($A67&gt;(ImplementationYear+(Appraisal_Period-1)),0,'Road safety'!$E$22*$B67)))</f>
        <v>0</v>
      </c>
      <c r="AF67" s="97">
        <f>IF(Option2="No",0,IF($A67&lt;ImplementationYear,0,IF($A67&gt;(ImplementationYear+(Appraisal_Period-1)),0,'Reduction in car usage'!$E$46*$B67)))</f>
        <v>0</v>
      </c>
      <c r="AG67" s="97">
        <f>IF(Option2="No",0,IF($A67&lt;ImplementationYear,0,IF($A67&gt;(ImplementationYear+(Appraisal_Period-1)),0,'Reduction in car usage'!$E$47*$B67)))</f>
        <v>0</v>
      </c>
      <c r="AH67" s="97">
        <f>IF(Option2="No",0,IF($A67&lt;ImplementationYear,0,IF($A67&gt;(ImplementationYear+(Appraisal_Period-1)),0,'Reduction in car usage'!$E$48*$B67)))</f>
        <v>0</v>
      </c>
      <c r="AJ67" s="94">
        <f>IF(Option3="No",0,IF($A67=ImplementationYear,('Project details'!$P$10-'Project details'!$D$10)*VLOOKUP(Year_cost_estimate,'Time-series parameters'!$B$11:$C$89,2,FALSE)*$B67*(1+Contingency),0))</f>
        <v>0</v>
      </c>
      <c r="AK67" s="94">
        <f>IF(Option3="No",0,IF($A67&lt;ImplementationYear,0,IF($A67&gt;(ImplementationYear+(Appraisal_Period-1)),0,('Project details'!$P$11-'Project details'!$D$11)*VLOOKUP(Year_cost_estimate,'Time-series parameters'!$B$11:$C$89,2,0))*$B67))</f>
        <v>0</v>
      </c>
      <c r="AL67" s="94">
        <f>IF(Option3="No",0,IF($A67=ImplementationYear,('Project details'!$P$12-'Project details'!$D$12)*VLOOKUP(Year_cost_estimate,'Time-series parameters'!$B$11:$C$89,2,FALSE)*$B67,0))</f>
        <v>0</v>
      </c>
      <c r="AM67" s="97">
        <f>IF(Option3="No",0,IF($A67&lt;ImplementationYear,0,IF($A67&gt;(ImplementationYear+(Appraisal_Period-1)),0,Health!$F$21*$B67)))</f>
        <v>0</v>
      </c>
      <c r="AN67" s="97">
        <f>IF(Option3="No",0,IF($A67&lt;ImplementationYear,0,IF($A67&gt;(ImplementationYear+(Appraisal_Period-1)),0,Health!$F$22*$B67)))</f>
        <v>0</v>
      </c>
      <c r="AO67" s="97">
        <f>IF(Option3="No",0,IF($A67&lt;ImplementationYear,0,IF($A67&gt;(ImplementationYear+(Appraisal_Period-1)),0,SUM('Travel time'!$F$22:$F$23)*$B67)))</f>
        <v>0</v>
      </c>
      <c r="AP67" s="97">
        <f>IF(Option3="No",0,IF($A67&lt;ImplementationYear,0,IF($A67&gt;(ImplementationYear+(Appraisal_Period-1)),0,SUM('Travel time'!$F$20:$F$21)*$B67)))</f>
        <v>0</v>
      </c>
      <c r="AQ67" s="97">
        <f>IF(Option3="No",0,IF($A67&lt;ImplementationYear,0,IF($A67&gt;(ImplementationYear+(Appraisal_Period-1)),0,SUM(Quality!$F$22:$F$23)*$B67)))</f>
        <v>0</v>
      </c>
      <c r="AR67" s="97">
        <f>IF(Option3="No",0,IF($A67&lt;ImplementationYear,0,IF($A67&gt;(ImplementationYear+(Appraisal_Period-1)),0,SUM(Quality!$F$20:$F$21)*$B67)))</f>
        <v>0</v>
      </c>
      <c r="AS67" s="97">
        <f>IF(Option3="No",0,IF($A67&lt;ImplementationYear,0,IF($A67&gt;(ImplementationYear+(Appraisal_Period-1)),0,'Mode change'!$F$36*$B67)))</f>
        <v>0</v>
      </c>
      <c r="AT67" s="97">
        <f>IF(Option3="No",0,IF($A67&lt;ImplementationYear,0,IF($A67&gt;(ImplementationYear+(Appraisal_Period-1)),0,'Mode change'!$F$37*$B67)))</f>
        <v>0</v>
      </c>
      <c r="AU67" s="97">
        <f>IF(Option3="No",0,IF($A67&lt;ImplementationYear,0,IF($A67&gt;(ImplementationYear+(Appraisal_Period-1)),0,'Road safety'!$F$22*$B67)))</f>
        <v>0</v>
      </c>
      <c r="AV67" s="97">
        <f>IF(Option3="No",0,IF($A67&lt;ImplementationYear,0,IF($A67&gt;(ImplementationYear+(Appraisal_Period-1)),0,'Reduction in car usage'!$F$46*$B67)))</f>
        <v>0</v>
      </c>
      <c r="AW67" s="97">
        <f>IF(Option3="No",0,IF($A67&lt;ImplementationYear,0,IF($A67&gt;(ImplementationYear+(Appraisal_Period-1)),0,'Reduction in car usage'!$F$47*$B67)))</f>
        <v>0</v>
      </c>
      <c r="AX67" s="97">
        <f>IF(Option3="No",0,IF($A67&lt;ImplementationYear,0,IF($A67&gt;(ImplementationYear+(Appraisal_Period-1)),0,'Reduction in car usage'!$F$48*$B67)))</f>
        <v>0</v>
      </c>
    </row>
    <row r="68" spans="1:50">
      <c r="A68" s="335">
        <v>2063</v>
      </c>
      <c r="B68" s="62">
        <f>VLOOKUP($A68,'Time-series parameters'!$E$11:$H$89,3,FALSE)</f>
        <v>4.0054229989060317E-2</v>
      </c>
      <c r="C68" s="89"/>
      <c r="D68" s="94">
        <f>IF(Option1="No",0,IF($A68=ImplementationYear,('Project details'!$H$10-'Project details'!$D$10)*VLOOKUP(Year_cost_estimate,'Time-series parameters'!$B$11:$C$89,2,FALSE)*$B68*(1+Contingency),0))</f>
        <v>0</v>
      </c>
      <c r="E68" s="94">
        <f>IF(Option1="No",0,IF($A68&lt;ImplementationYear,0,IF($A68&gt;(ImplementationYear+(Appraisal_Period-1)),0,('Project details'!$H$11-'Project details'!$D$11)*VLOOKUP(Year_cost_estimate,'Time-series parameters'!$B$11:$C$89,2,0))*$B68))</f>
        <v>0</v>
      </c>
      <c r="F68" s="94">
        <f>IF(Option1="No",0,IF($A68=ImplementationYear,('Project details'!$H$12-'Project details'!$D$12)*VLOOKUP(Year_cost_estimate,'Time-series parameters'!$B$11:$C$89,2,FALSE)*$B68,0))</f>
        <v>0</v>
      </c>
      <c r="G68" s="97">
        <f>IF(Option1="No",0,IF($A68&lt;ImplementationYear,0,IF($A68&gt;(ImplementationYear+(Appraisal_Period-1)),0,Health!$D$21*$B68)))</f>
        <v>0</v>
      </c>
      <c r="H68" s="97">
        <f>IF(Option1="No",0,IF($A68&lt;ImplementationYear,0,IF($A68&gt;(ImplementationYear+(Appraisal_Period-1)),0,Health!$D$22*$B68)))</f>
        <v>0</v>
      </c>
      <c r="I68" s="97">
        <f>IF(Option1="No",0,IF($A68&lt;ImplementationYear,0,IF($A68&gt;(ImplementationYear+(Appraisal_Period-1)),0,SUM('Travel time'!$D$22:$D$23)*$B68)))</f>
        <v>0</v>
      </c>
      <c r="J68" s="97">
        <f>IF(Option1="No",0,IF($A68&lt;ImplementationYear,0,IF($A68&gt;(ImplementationYear+(Appraisal_Period-1)),0,SUM('Travel time'!$D$20:$D$21)*$B68)))</f>
        <v>0</v>
      </c>
      <c r="K68" s="97">
        <f>IF(Option1="No",0,IF($A68&lt;ImplementationYear,0,IF($A68&gt;(ImplementationYear+(Appraisal_Period-1)),0,SUM(Quality!$D$22:$D$23)*$B68)))</f>
        <v>0</v>
      </c>
      <c r="L68" s="97">
        <f>IF(Option1="No",0,IF($A68&lt;ImplementationYear,0,IF($A68&gt;(ImplementationYear+(Appraisal_Period-1)),0,SUM(Quality!$D$20:$D$21)*$B68)))</f>
        <v>0</v>
      </c>
      <c r="M68" s="97">
        <f>IF(Option1="No",0,IF($A68&lt;ImplementationYear,0,IF($A68&gt;(ImplementationYear+(Appraisal_Period-1)),0,'Mode change'!$D$36*$B68)))</f>
        <v>0</v>
      </c>
      <c r="N68" s="97">
        <f>IF(Option1="No",0,IF($A68&lt;ImplementationYear,0,IF($A68&gt;(ImplementationYear+(Appraisal_Period-1)),0,'Mode change'!$D$37*$B68)))</f>
        <v>0</v>
      </c>
      <c r="O68" s="97">
        <f>IF(Option1="No",0,IF($A68&lt;ImplementationYear,0,IF($A68&gt;(ImplementationYear+(Appraisal_Period-1)),0,'Road safety'!$D$22*$B68)))</f>
        <v>0</v>
      </c>
      <c r="P68" s="97">
        <f>IF(Option1="No",0,IF($A68&lt;ImplementationYear,0,IF($A68&gt;(ImplementationYear+(Appraisal_Period-1)),0,'Reduction in car usage'!$D$46*$B68)))</f>
        <v>0</v>
      </c>
      <c r="Q68" s="97">
        <f>IF(Option1="No",0,IF($A68&lt;ImplementationYear,0,IF($A68&gt;(ImplementationYear+(Appraisal_Period-1)),0,'Reduction in car usage'!$D$47*$B68)))</f>
        <v>0</v>
      </c>
      <c r="R68" s="97">
        <f>IF(Option1="No",0,IF($A68&lt;ImplementationYear,0,IF($A68&gt;(ImplementationYear+(Appraisal_Period-1)),0,'Reduction in car usage'!$D$48*$B68)))</f>
        <v>0</v>
      </c>
      <c r="S68" s="92"/>
      <c r="T68" s="94">
        <f>IF(Option2="No",0,IF($A68=ImplementationYear,('Project details'!$L$10-'Project details'!$D$10)*VLOOKUP(Year_cost_estimate,'Time-series parameters'!$B$11:$C$89,2,FALSE)*$B68*(1+Contingency),0))</f>
        <v>0</v>
      </c>
      <c r="U68" s="94">
        <f>IF(Option2="No",0,IF($A68&lt;ImplementationYear,0,IF($A68&gt;(ImplementationYear+(Appraisal_Period-1)),0,('Project details'!$L$11-'Project details'!$D$11)*VLOOKUP(Year_cost_estimate,'Time-series parameters'!$B$11:$C$89,2,0))*$B68))</f>
        <v>0</v>
      </c>
      <c r="V68" s="94">
        <f>IF(Option2="No",0,IF($A68=ImplementationYear,('Project details'!$L$12-'Project details'!$D$12)*VLOOKUP(Year_cost_estimate,'Time-series parameters'!$B$11:$C$89,2,FALSE)*$B68,0))</f>
        <v>0</v>
      </c>
      <c r="W68" s="97">
        <f>IF(Option2="No",0,IF($A68&lt;ImplementationYear,0,IF($A68&gt;(ImplementationYear+(Appraisal_Period-1)),0,Health!$E$21*$B68)))</f>
        <v>0</v>
      </c>
      <c r="X68" s="97">
        <f>IF(Option2="No",0,IF($A68&lt;ImplementationYear,0,IF($A68&gt;(ImplementationYear+(Appraisal_Period-1)),0,Health!$E$22*$B68)))</f>
        <v>0</v>
      </c>
      <c r="Y68" s="97">
        <f>IF(Option2="No",0,IF($A68&lt;ImplementationYear,0,IF($A68&gt;(ImplementationYear+(Appraisal_Period-1)),0,SUM('Travel time'!$E$22:$E$23)*$B68)))</f>
        <v>0</v>
      </c>
      <c r="Z68" s="97">
        <f>IF(Option2="No",0,IF($A68&lt;ImplementationYear,0,IF($A68&gt;(ImplementationYear+(Appraisal_Period-1)),0,SUM('Travel time'!$E$20:$E$21)*$B68)))</f>
        <v>0</v>
      </c>
      <c r="AA68" s="97">
        <f>IF(Option2="No",0,IF($A68&lt;ImplementationYear,0,IF($A68&gt;(ImplementationYear+(Appraisal_Period-1)),0,SUM(Quality!$E$22:$E$23)*$B68)))</f>
        <v>0</v>
      </c>
      <c r="AB68" s="97">
        <f>IF(Option2="No",0,IF($A68&lt;ImplementationYear,0,IF($A68&gt;(ImplementationYear+(Appraisal_Period-1)),0,SUM(Quality!$E$20:$E$21)*$B68)))</f>
        <v>0</v>
      </c>
      <c r="AC68" s="97">
        <f>IF(Option2="No",0,IF($A68&lt;ImplementationYear,0,IF($A68&gt;(ImplementationYear+(Appraisal_Period-1)),0,'Mode change'!$E$36*$B68)))</f>
        <v>0</v>
      </c>
      <c r="AD68" s="97">
        <f>IF(Option2="No",0,IF($A68&lt;ImplementationYear,0,IF($A68&gt;(ImplementationYear+(Appraisal_Period-1)),0,'Mode change'!$E$37*$B68)))</f>
        <v>0</v>
      </c>
      <c r="AE68" s="97">
        <f>IF(Option2="No",0,IF($A68&lt;ImplementationYear,0,IF($A68&gt;(ImplementationYear+(Appraisal_Period-1)),0,'Road safety'!$E$22*$B68)))</f>
        <v>0</v>
      </c>
      <c r="AF68" s="97">
        <f>IF(Option2="No",0,IF($A68&lt;ImplementationYear,0,IF($A68&gt;(ImplementationYear+(Appraisal_Period-1)),0,'Reduction in car usage'!$E$46*$B68)))</f>
        <v>0</v>
      </c>
      <c r="AG68" s="97">
        <f>IF(Option2="No",0,IF($A68&lt;ImplementationYear,0,IF($A68&gt;(ImplementationYear+(Appraisal_Period-1)),0,'Reduction in car usage'!$E$47*$B68)))</f>
        <v>0</v>
      </c>
      <c r="AH68" s="97">
        <f>IF(Option2="No",0,IF($A68&lt;ImplementationYear,0,IF($A68&gt;(ImplementationYear+(Appraisal_Period-1)),0,'Reduction in car usage'!$E$48*$B68)))</f>
        <v>0</v>
      </c>
      <c r="AJ68" s="94">
        <f>IF(Option3="No",0,IF($A68=ImplementationYear,('Project details'!$P$10-'Project details'!$D$10)*VLOOKUP(Year_cost_estimate,'Time-series parameters'!$B$11:$C$89,2,FALSE)*$B68*(1+Contingency),0))</f>
        <v>0</v>
      </c>
      <c r="AK68" s="94">
        <f>IF(Option3="No",0,IF($A68&lt;ImplementationYear,0,IF($A68&gt;(ImplementationYear+(Appraisal_Period-1)),0,('Project details'!$P$11-'Project details'!$D$11)*VLOOKUP(Year_cost_estimate,'Time-series parameters'!$B$11:$C$89,2,0))*$B68))</f>
        <v>0</v>
      </c>
      <c r="AL68" s="94">
        <f>IF(Option3="No",0,IF($A68=ImplementationYear,('Project details'!$P$12-'Project details'!$D$12)*VLOOKUP(Year_cost_estimate,'Time-series parameters'!$B$11:$C$89,2,FALSE)*$B68,0))</f>
        <v>0</v>
      </c>
      <c r="AM68" s="97">
        <f>IF(Option3="No",0,IF($A68&lt;ImplementationYear,0,IF($A68&gt;(ImplementationYear+(Appraisal_Period-1)),0,Health!$F$21*$B68)))</f>
        <v>0</v>
      </c>
      <c r="AN68" s="97">
        <f>IF(Option3="No",0,IF($A68&lt;ImplementationYear,0,IF($A68&gt;(ImplementationYear+(Appraisal_Period-1)),0,Health!$F$22*$B68)))</f>
        <v>0</v>
      </c>
      <c r="AO68" s="97">
        <f>IF(Option3="No",0,IF($A68&lt;ImplementationYear,0,IF($A68&gt;(ImplementationYear+(Appraisal_Period-1)),0,SUM('Travel time'!$F$22:$F$23)*$B68)))</f>
        <v>0</v>
      </c>
      <c r="AP68" s="97">
        <f>IF(Option3="No",0,IF($A68&lt;ImplementationYear,0,IF($A68&gt;(ImplementationYear+(Appraisal_Period-1)),0,SUM('Travel time'!$F$20:$F$21)*$B68)))</f>
        <v>0</v>
      </c>
      <c r="AQ68" s="97">
        <f>IF(Option3="No",0,IF($A68&lt;ImplementationYear,0,IF($A68&gt;(ImplementationYear+(Appraisal_Period-1)),0,SUM(Quality!$F$22:$F$23)*$B68)))</f>
        <v>0</v>
      </c>
      <c r="AR68" s="97">
        <f>IF(Option3="No",0,IF($A68&lt;ImplementationYear,0,IF($A68&gt;(ImplementationYear+(Appraisal_Period-1)),0,SUM(Quality!$F$20:$F$21)*$B68)))</f>
        <v>0</v>
      </c>
      <c r="AS68" s="97">
        <f>IF(Option3="No",0,IF($A68&lt;ImplementationYear,0,IF($A68&gt;(ImplementationYear+(Appraisal_Period-1)),0,'Mode change'!$F$36*$B68)))</f>
        <v>0</v>
      </c>
      <c r="AT68" s="97">
        <f>IF(Option3="No",0,IF($A68&lt;ImplementationYear,0,IF($A68&gt;(ImplementationYear+(Appraisal_Period-1)),0,'Mode change'!$F$37*$B68)))</f>
        <v>0</v>
      </c>
      <c r="AU68" s="97">
        <f>IF(Option3="No",0,IF($A68&lt;ImplementationYear,0,IF($A68&gt;(ImplementationYear+(Appraisal_Period-1)),0,'Road safety'!$F$22*$B68)))</f>
        <v>0</v>
      </c>
      <c r="AV68" s="97">
        <f>IF(Option3="No",0,IF($A68&lt;ImplementationYear,0,IF($A68&gt;(ImplementationYear+(Appraisal_Period-1)),0,'Reduction in car usage'!$F$46*$B68)))</f>
        <v>0</v>
      </c>
      <c r="AW68" s="97">
        <f>IF(Option3="No",0,IF($A68&lt;ImplementationYear,0,IF($A68&gt;(ImplementationYear+(Appraisal_Period-1)),0,'Reduction in car usage'!$F$47*$B68)))</f>
        <v>0</v>
      </c>
      <c r="AX68" s="97">
        <f>IF(Option3="No",0,IF($A68&lt;ImplementationYear,0,IF($A68&gt;(ImplementationYear+(Appraisal_Period-1)),0,'Reduction in car usage'!$F$48*$B68)))</f>
        <v>0</v>
      </c>
    </row>
    <row r="69" spans="1:50">
      <c r="A69" s="335">
        <v>2064</v>
      </c>
      <c r="B69" s="62">
        <f>VLOOKUP($A69,'Time-series parameters'!$E$11:$H$89,3,FALSE)</f>
        <v>3.7650976189716696E-2</v>
      </c>
      <c r="C69" s="89"/>
      <c r="D69" s="94">
        <f>IF(Option1="No",0,IF($A69=ImplementationYear,('Project details'!$H$10-'Project details'!$D$10)*VLOOKUP(Year_cost_estimate,'Time-series parameters'!$B$11:$C$89,2,FALSE)*$B69*(1+Contingency),0))</f>
        <v>0</v>
      </c>
      <c r="E69" s="94">
        <f>IF(Option1="No",0,IF($A69&lt;ImplementationYear,0,IF($A69&gt;(ImplementationYear+(Appraisal_Period-1)),0,('Project details'!$H$11-'Project details'!$D$11)*VLOOKUP(Year_cost_estimate,'Time-series parameters'!$B$11:$C$89,2,0))*$B69))</f>
        <v>0</v>
      </c>
      <c r="F69" s="94">
        <f>IF(Option1="No",0,IF($A69=ImplementationYear,('Project details'!$H$12-'Project details'!$D$12)*VLOOKUP(Year_cost_estimate,'Time-series parameters'!$B$11:$C$89,2,FALSE)*$B69,0))</f>
        <v>0</v>
      </c>
      <c r="G69" s="97">
        <f>IF(Option1="No",0,IF($A69&lt;ImplementationYear,0,IF($A69&gt;(ImplementationYear+(Appraisal_Period-1)),0,Health!$D$21*$B69)))</f>
        <v>0</v>
      </c>
      <c r="H69" s="97">
        <f>IF(Option1="No",0,IF($A69&lt;ImplementationYear,0,IF($A69&gt;(ImplementationYear+(Appraisal_Period-1)),0,Health!$D$22*$B69)))</f>
        <v>0</v>
      </c>
      <c r="I69" s="97">
        <f>IF(Option1="No",0,IF($A69&lt;ImplementationYear,0,IF($A69&gt;(ImplementationYear+(Appraisal_Period-1)),0,SUM('Travel time'!$D$22:$D$23)*$B69)))</f>
        <v>0</v>
      </c>
      <c r="J69" s="97">
        <f>IF(Option1="No",0,IF($A69&lt;ImplementationYear,0,IF($A69&gt;(ImplementationYear+(Appraisal_Period-1)),0,SUM('Travel time'!$D$20:$D$21)*$B69)))</f>
        <v>0</v>
      </c>
      <c r="K69" s="97">
        <f>IF(Option1="No",0,IF($A69&lt;ImplementationYear,0,IF($A69&gt;(ImplementationYear+(Appraisal_Period-1)),0,SUM(Quality!$D$22:$D$23)*$B69)))</f>
        <v>0</v>
      </c>
      <c r="L69" s="97">
        <f>IF(Option1="No",0,IF($A69&lt;ImplementationYear,0,IF($A69&gt;(ImplementationYear+(Appraisal_Period-1)),0,SUM(Quality!$D$20:$D$21)*$B69)))</f>
        <v>0</v>
      </c>
      <c r="M69" s="97">
        <f>IF(Option1="No",0,IF($A69&lt;ImplementationYear,0,IF($A69&gt;(ImplementationYear+(Appraisal_Period-1)),0,'Mode change'!$D$36*$B69)))</f>
        <v>0</v>
      </c>
      <c r="N69" s="97">
        <f>IF(Option1="No",0,IF($A69&lt;ImplementationYear,0,IF($A69&gt;(ImplementationYear+(Appraisal_Period-1)),0,'Mode change'!$D$37*$B69)))</f>
        <v>0</v>
      </c>
      <c r="O69" s="97">
        <f>IF(Option1="No",0,IF($A69&lt;ImplementationYear,0,IF($A69&gt;(ImplementationYear+(Appraisal_Period-1)),0,'Road safety'!$D$22*$B69)))</f>
        <v>0</v>
      </c>
      <c r="P69" s="97">
        <f>IF(Option1="No",0,IF($A69&lt;ImplementationYear,0,IF($A69&gt;(ImplementationYear+(Appraisal_Period-1)),0,'Reduction in car usage'!$D$46*$B69)))</f>
        <v>0</v>
      </c>
      <c r="Q69" s="97">
        <f>IF(Option1="No",0,IF($A69&lt;ImplementationYear,0,IF($A69&gt;(ImplementationYear+(Appraisal_Period-1)),0,'Reduction in car usage'!$D$47*$B69)))</f>
        <v>0</v>
      </c>
      <c r="R69" s="97">
        <f>IF(Option1="No",0,IF($A69&lt;ImplementationYear,0,IF($A69&gt;(ImplementationYear+(Appraisal_Period-1)),0,'Reduction in car usage'!$D$48*$B69)))</f>
        <v>0</v>
      </c>
      <c r="S69" s="92"/>
      <c r="T69" s="94">
        <f>IF(Option2="No",0,IF($A69=ImplementationYear,('Project details'!$L$10-'Project details'!$D$10)*VLOOKUP(Year_cost_estimate,'Time-series parameters'!$B$11:$C$89,2,FALSE)*$B69*(1+Contingency),0))</f>
        <v>0</v>
      </c>
      <c r="U69" s="94">
        <f>IF(Option2="No",0,IF($A69&lt;ImplementationYear,0,IF($A69&gt;(ImplementationYear+(Appraisal_Period-1)),0,('Project details'!$L$11-'Project details'!$D$11)*VLOOKUP(Year_cost_estimate,'Time-series parameters'!$B$11:$C$89,2,0))*$B69))</f>
        <v>0</v>
      </c>
      <c r="V69" s="94">
        <f>IF(Option2="No",0,IF($A69=ImplementationYear,('Project details'!$L$12-'Project details'!$D$12)*VLOOKUP(Year_cost_estimate,'Time-series parameters'!$B$11:$C$89,2,FALSE)*$B69,0))</f>
        <v>0</v>
      </c>
      <c r="W69" s="97">
        <f>IF(Option2="No",0,IF($A69&lt;ImplementationYear,0,IF($A69&gt;(ImplementationYear+(Appraisal_Period-1)),0,Health!$E$21*$B69)))</f>
        <v>0</v>
      </c>
      <c r="X69" s="97">
        <f>IF(Option2="No",0,IF($A69&lt;ImplementationYear,0,IF($A69&gt;(ImplementationYear+(Appraisal_Period-1)),0,Health!$E$22*$B69)))</f>
        <v>0</v>
      </c>
      <c r="Y69" s="97">
        <f>IF(Option2="No",0,IF($A69&lt;ImplementationYear,0,IF($A69&gt;(ImplementationYear+(Appraisal_Period-1)),0,SUM('Travel time'!$E$22:$E$23)*$B69)))</f>
        <v>0</v>
      </c>
      <c r="Z69" s="97">
        <f>IF(Option2="No",0,IF($A69&lt;ImplementationYear,0,IF($A69&gt;(ImplementationYear+(Appraisal_Period-1)),0,SUM('Travel time'!$E$20:$E$21)*$B69)))</f>
        <v>0</v>
      </c>
      <c r="AA69" s="97">
        <f>IF(Option2="No",0,IF($A69&lt;ImplementationYear,0,IF($A69&gt;(ImplementationYear+(Appraisal_Period-1)),0,SUM(Quality!$E$22:$E$23)*$B69)))</f>
        <v>0</v>
      </c>
      <c r="AB69" s="97">
        <f>IF(Option2="No",0,IF($A69&lt;ImplementationYear,0,IF($A69&gt;(ImplementationYear+(Appraisal_Period-1)),0,SUM(Quality!$E$20:$E$21)*$B69)))</f>
        <v>0</v>
      </c>
      <c r="AC69" s="97">
        <f>IF(Option2="No",0,IF($A69&lt;ImplementationYear,0,IF($A69&gt;(ImplementationYear+(Appraisal_Period-1)),0,'Mode change'!$E$36*$B69)))</f>
        <v>0</v>
      </c>
      <c r="AD69" s="97">
        <f>IF(Option2="No",0,IF($A69&lt;ImplementationYear,0,IF($A69&gt;(ImplementationYear+(Appraisal_Period-1)),0,'Mode change'!$E$37*$B69)))</f>
        <v>0</v>
      </c>
      <c r="AE69" s="97">
        <f>IF(Option2="No",0,IF($A69&lt;ImplementationYear,0,IF($A69&gt;(ImplementationYear+(Appraisal_Period-1)),0,'Road safety'!$E$22*$B69)))</f>
        <v>0</v>
      </c>
      <c r="AF69" s="97">
        <f>IF(Option2="No",0,IF($A69&lt;ImplementationYear,0,IF($A69&gt;(ImplementationYear+(Appraisal_Period-1)),0,'Reduction in car usage'!$E$46*$B69)))</f>
        <v>0</v>
      </c>
      <c r="AG69" s="97">
        <f>IF(Option2="No",0,IF($A69&lt;ImplementationYear,0,IF($A69&gt;(ImplementationYear+(Appraisal_Period-1)),0,'Reduction in car usage'!$E$47*$B69)))</f>
        <v>0</v>
      </c>
      <c r="AH69" s="97">
        <f>IF(Option2="No",0,IF($A69&lt;ImplementationYear,0,IF($A69&gt;(ImplementationYear+(Appraisal_Period-1)),0,'Reduction in car usage'!$E$48*$B69)))</f>
        <v>0</v>
      </c>
      <c r="AJ69" s="94">
        <f>IF(Option3="No",0,IF($A69=ImplementationYear,('Project details'!$P$10-'Project details'!$D$10)*VLOOKUP(Year_cost_estimate,'Time-series parameters'!$B$11:$C$89,2,FALSE)*$B69*(1+Contingency),0))</f>
        <v>0</v>
      </c>
      <c r="AK69" s="94">
        <f>IF(Option3="No",0,IF($A69&lt;ImplementationYear,0,IF($A69&gt;(ImplementationYear+(Appraisal_Period-1)),0,('Project details'!$P$11-'Project details'!$D$11)*VLOOKUP(Year_cost_estimate,'Time-series parameters'!$B$11:$C$89,2,0))*$B69))</f>
        <v>0</v>
      </c>
      <c r="AL69" s="94">
        <f>IF(Option3="No",0,IF($A69=ImplementationYear,('Project details'!$P$12-'Project details'!$D$12)*VLOOKUP(Year_cost_estimate,'Time-series parameters'!$B$11:$C$89,2,FALSE)*$B69,0))</f>
        <v>0</v>
      </c>
      <c r="AM69" s="97">
        <f>IF(Option3="No",0,IF($A69&lt;ImplementationYear,0,IF($A69&gt;(ImplementationYear+(Appraisal_Period-1)),0,Health!$F$21*$B69)))</f>
        <v>0</v>
      </c>
      <c r="AN69" s="97">
        <f>IF(Option3="No",0,IF($A69&lt;ImplementationYear,0,IF($A69&gt;(ImplementationYear+(Appraisal_Period-1)),0,Health!$F$22*$B69)))</f>
        <v>0</v>
      </c>
      <c r="AO69" s="97">
        <f>IF(Option3="No",0,IF($A69&lt;ImplementationYear,0,IF($A69&gt;(ImplementationYear+(Appraisal_Period-1)),0,SUM('Travel time'!$F$22:$F$23)*$B69)))</f>
        <v>0</v>
      </c>
      <c r="AP69" s="97">
        <f>IF(Option3="No",0,IF($A69&lt;ImplementationYear,0,IF($A69&gt;(ImplementationYear+(Appraisal_Period-1)),0,SUM('Travel time'!$F$20:$F$21)*$B69)))</f>
        <v>0</v>
      </c>
      <c r="AQ69" s="97">
        <f>IF(Option3="No",0,IF($A69&lt;ImplementationYear,0,IF($A69&gt;(ImplementationYear+(Appraisal_Period-1)),0,SUM(Quality!$F$22:$F$23)*$B69)))</f>
        <v>0</v>
      </c>
      <c r="AR69" s="97">
        <f>IF(Option3="No",0,IF($A69&lt;ImplementationYear,0,IF($A69&gt;(ImplementationYear+(Appraisal_Period-1)),0,SUM(Quality!$F$20:$F$21)*$B69)))</f>
        <v>0</v>
      </c>
      <c r="AS69" s="97">
        <f>IF(Option3="No",0,IF($A69&lt;ImplementationYear,0,IF($A69&gt;(ImplementationYear+(Appraisal_Period-1)),0,'Mode change'!$F$36*$B69)))</f>
        <v>0</v>
      </c>
      <c r="AT69" s="97">
        <f>IF(Option3="No",0,IF($A69&lt;ImplementationYear,0,IF($A69&gt;(ImplementationYear+(Appraisal_Period-1)),0,'Mode change'!$F$37*$B69)))</f>
        <v>0</v>
      </c>
      <c r="AU69" s="97">
        <f>IF(Option3="No",0,IF($A69&lt;ImplementationYear,0,IF($A69&gt;(ImplementationYear+(Appraisal_Period-1)),0,'Road safety'!$F$22*$B69)))</f>
        <v>0</v>
      </c>
      <c r="AV69" s="97">
        <f>IF(Option3="No",0,IF($A69&lt;ImplementationYear,0,IF($A69&gt;(ImplementationYear+(Appraisal_Period-1)),0,'Reduction in car usage'!$F$46*$B69)))</f>
        <v>0</v>
      </c>
      <c r="AW69" s="97">
        <f>IF(Option3="No",0,IF($A69&lt;ImplementationYear,0,IF($A69&gt;(ImplementationYear+(Appraisal_Period-1)),0,'Reduction in car usage'!$F$47*$B69)))</f>
        <v>0</v>
      </c>
      <c r="AX69" s="97">
        <f>IF(Option3="No",0,IF($A69&lt;ImplementationYear,0,IF($A69&gt;(ImplementationYear+(Appraisal_Period-1)),0,'Reduction in car usage'!$F$48*$B69)))</f>
        <v>0</v>
      </c>
    </row>
    <row r="70" spans="1:50">
      <c r="A70" s="335">
        <v>2065</v>
      </c>
      <c r="B70" s="62">
        <f>VLOOKUP($A70,'Time-series parameters'!$E$11:$H$89,3,FALSE)</f>
        <v>3.5391917618333692E-2</v>
      </c>
      <c r="C70" s="89"/>
      <c r="D70" s="94">
        <f>IF(Option1="No",0,IF($A70=ImplementationYear,('Project details'!$H$10-'Project details'!$D$10)*VLOOKUP(Year_cost_estimate,'Time-series parameters'!$B$11:$C$89,2,FALSE)*$B70*(1+Contingency),0))</f>
        <v>0</v>
      </c>
      <c r="E70" s="94">
        <f>IF(Option1="No",0,IF($A70&lt;ImplementationYear,0,IF($A70&gt;(ImplementationYear+(Appraisal_Period-1)),0,('Project details'!$H$11-'Project details'!$D$11)*VLOOKUP(Year_cost_estimate,'Time-series parameters'!$B$11:$C$89,2,0))*$B70))</f>
        <v>0</v>
      </c>
      <c r="F70" s="94">
        <f>IF(Option1="No",0,IF($A70=ImplementationYear,('Project details'!$H$12-'Project details'!$D$12)*VLOOKUP(Year_cost_estimate,'Time-series parameters'!$B$11:$C$89,2,FALSE)*$B70,0))</f>
        <v>0</v>
      </c>
      <c r="G70" s="97">
        <f>IF(Option1="No",0,IF($A70&lt;ImplementationYear,0,IF($A70&gt;(ImplementationYear+(Appraisal_Period-1)),0,Health!$D$21*$B70)))</f>
        <v>0</v>
      </c>
      <c r="H70" s="97">
        <f>IF(Option1="No",0,IF($A70&lt;ImplementationYear,0,IF($A70&gt;(ImplementationYear+(Appraisal_Period-1)),0,Health!$D$22*$B70)))</f>
        <v>0</v>
      </c>
      <c r="I70" s="97">
        <f>IF(Option1="No",0,IF($A70&lt;ImplementationYear,0,IF($A70&gt;(ImplementationYear+(Appraisal_Period-1)),0,SUM('Travel time'!$D$22:$D$23)*$B70)))</f>
        <v>0</v>
      </c>
      <c r="J70" s="97">
        <f>IF(Option1="No",0,IF($A70&lt;ImplementationYear,0,IF($A70&gt;(ImplementationYear+(Appraisal_Period-1)),0,SUM('Travel time'!$D$20:$D$21)*$B70)))</f>
        <v>0</v>
      </c>
      <c r="K70" s="97">
        <f>IF(Option1="No",0,IF($A70&lt;ImplementationYear,0,IF($A70&gt;(ImplementationYear+(Appraisal_Period-1)),0,SUM(Quality!$D$22:$D$23)*$B70)))</f>
        <v>0</v>
      </c>
      <c r="L70" s="97">
        <f>IF(Option1="No",0,IF($A70&lt;ImplementationYear,0,IF($A70&gt;(ImplementationYear+(Appraisal_Period-1)),0,SUM(Quality!$D$20:$D$21)*$B70)))</f>
        <v>0</v>
      </c>
      <c r="M70" s="97">
        <f>IF(Option1="No",0,IF($A70&lt;ImplementationYear,0,IF($A70&gt;(ImplementationYear+(Appraisal_Period-1)),0,'Mode change'!$D$36*$B70)))</f>
        <v>0</v>
      </c>
      <c r="N70" s="97">
        <f>IF(Option1="No",0,IF($A70&lt;ImplementationYear,0,IF($A70&gt;(ImplementationYear+(Appraisal_Period-1)),0,'Mode change'!$D$37*$B70)))</f>
        <v>0</v>
      </c>
      <c r="O70" s="97">
        <f>IF(Option1="No",0,IF($A70&lt;ImplementationYear,0,IF($A70&gt;(ImplementationYear+(Appraisal_Period-1)),0,'Road safety'!$D$22*$B70)))</f>
        <v>0</v>
      </c>
      <c r="P70" s="97">
        <f>IF(Option1="No",0,IF($A70&lt;ImplementationYear,0,IF($A70&gt;(ImplementationYear+(Appraisal_Period-1)),0,'Reduction in car usage'!$D$46*$B70)))</f>
        <v>0</v>
      </c>
      <c r="Q70" s="97">
        <f>IF(Option1="No",0,IF($A70&lt;ImplementationYear,0,IF($A70&gt;(ImplementationYear+(Appraisal_Period-1)),0,'Reduction in car usage'!$D$47*$B70)))</f>
        <v>0</v>
      </c>
      <c r="R70" s="97">
        <f>IF(Option1="No",0,IF($A70&lt;ImplementationYear,0,IF($A70&gt;(ImplementationYear+(Appraisal_Period-1)),0,'Reduction in car usage'!$D$48*$B70)))</f>
        <v>0</v>
      </c>
      <c r="S70" s="92"/>
      <c r="T70" s="94">
        <f>IF(Option2="No",0,IF($A70=ImplementationYear,('Project details'!$L$10-'Project details'!$D$10)*VLOOKUP(Year_cost_estimate,'Time-series parameters'!$B$11:$C$89,2,FALSE)*$B70*(1+Contingency),0))</f>
        <v>0</v>
      </c>
      <c r="U70" s="94">
        <f>IF(Option2="No",0,IF($A70&lt;ImplementationYear,0,IF($A70&gt;(ImplementationYear+(Appraisal_Period-1)),0,('Project details'!$L$11-'Project details'!$D$11)*VLOOKUP(Year_cost_estimate,'Time-series parameters'!$B$11:$C$89,2,0))*$B70))</f>
        <v>0</v>
      </c>
      <c r="V70" s="94">
        <f>IF(Option2="No",0,IF($A70=ImplementationYear,('Project details'!$L$12-'Project details'!$D$12)*VLOOKUP(Year_cost_estimate,'Time-series parameters'!$B$11:$C$89,2,FALSE)*$B70,0))</f>
        <v>0</v>
      </c>
      <c r="W70" s="97">
        <f>IF(Option2="No",0,IF($A70&lt;ImplementationYear,0,IF($A70&gt;(ImplementationYear+(Appraisal_Period-1)),0,Health!$E$21*$B70)))</f>
        <v>0</v>
      </c>
      <c r="X70" s="97">
        <f>IF(Option2="No",0,IF($A70&lt;ImplementationYear,0,IF($A70&gt;(ImplementationYear+(Appraisal_Period-1)),0,Health!$E$22*$B70)))</f>
        <v>0</v>
      </c>
      <c r="Y70" s="97">
        <f>IF(Option2="No",0,IF($A70&lt;ImplementationYear,0,IF($A70&gt;(ImplementationYear+(Appraisal_Period-1)),0,SUM('Travel time'!$E$22:$E$23)*$B70)))</f>
        <v>0</v>
      </c>
      <c r="Z70" s="97">
        <f>IF(Option2="No",0,IF($A70&lt;ImplementationYear,0,IF($A70&gt;(ImplementationYear+(Appraisal_Period-1)),0,SUM('Travel time'!$E$20:$E$21)*$B70)))</f>
        <v>0</v>
      </c>
      <c r="AA70" s="97">
        <f>IF(Option2="No",0,IF($A70&lt;ImplementationYear,0,IF($A70&gt;(ImplementationYear+(Appraisal_Period-1)),0,SUM(Quality!$E$22:$E$23)*$B70)))</f>
        <v>0</v>
      </c>
      <c r="AB70" s="97">
        <f>IF(Option2="No",0,IF($A70&lt;ImplementationYear,0,IF($A70&gt;(ImplementationYear+(Appraisal_Period-1)),0,SUM(Quality!$E$20:$E$21)*$B70)))</f>
        <v>0</v>
      </c>
      <c r="AC70" s="97">
        <f>IF(Option2="No",0,IF($A70&lt;ImplementationYear,0,IF($A70&gt;(ImplementationYear+(Appraisal_Period-1)),0,'Mode change'!$E$36*$B70)))</f>
        <v>0</v>
      </c>
      <c r="AD70" s="97">
        <f>IF(Option2="No",0,IF($A70&lt;ImplementationYear,0,IF($A70&gt;(ImplementationYear+(Appraisal_Period-1)),0,'Mode change'!$E$37*$B70)))</f>
        <v>0</v>
      </c>
      <c r="AE70" s="97">
        <f>IF(Option2="No",0,IF($A70&lt;ImplementationYear,0,IF($A70&gt;(ImplementationYear+(Appraisal_Period-1)),0,'Road safety'!$E$22*$B70)))</f>
        <v>0</v>
      </c>
      <c r="AF70" s="97">
        <f>IF(Option2="No",0,IF($A70&lt;ImplementationYear,0,IF($A70&gt;(ImplementationYear+(Appraisal_Period-1)),0,'Reduction in car usage'!$E$46*$B70)))</f>
        <v>0</v>
      </c>
      <c r="AG70" s="97">
        <f>IF(Option2="No",0,IF($A70&lt;ImplementationYear,0,IF($A70&gt;(ImplementationYear+(Appraisal_Period-1)),0,'Reduction in car usage'!$E$47*$B70)))</f>
        <v>0</v>
      </c>
      <c r="AH70" s="97">
        <f>IF(Option2="No",0,IF($A70&lt;ImplementationYear,0,IF($A70&gt;(ImplementationYear+(Appraisal_Period-1)),0,'Reduction in car usage'!$E$48*$B70)))</f>
        <v>0</v>
      </c>
      <c r="AJ70" s="94">
        <f>IF(Option3="No",0,IF($A70=ImplementationYear,('Project details'!$P$10-'Project details'!$D$10)*VLOOKUP(Year_cost_estimate,'Time-series parameters'!$B$11:$C$89,2,FALSE)*$B70*(1+Contingency),0))</f>
        <v>0</v>
      </c>
      <c r="AK70" s="94">
        <f>IF(Option3="No",0,IF($A70&lt;ImplementationYear,0,IF($A70&gt;(ImplementationYear+(Appraisal_Period-1)),0,('Project details'!$P$11-'Project details'!$D$11)*VLOOKUP(Year_cost_estimate,'Time-series parameters'!$B$11:$C$89,2,0))*$B70))</f>
        <v>0</v>
      </c>
      <c r="AL70" s="94">
        <f>IF(Option3="No",0,IF($A70=ImplementationYear,('Project details'!$P$12-'Project details'!$D$12)*VLOOKUP(Year_cost_estimate,'Time-series parameters'!$B$11:$C$89,2,FALSE)*$B70,0))</f>
        <v>0</v>
      </c>
      <c r="AM70" s="97">
        <f>IF(Option3="No",0,IF($A70&lt;ImplementationYear,0,IF($A70&gt;(ImplementationYear+(Appraisal_Period-1)),0,Health!$F$21*$B70)))</f>
        <v>0</v>
      </c>
      <c r="AN70" s="97">
        <f>IF(Option3="No",0,IF($A70&lt;ImplementationYear,0,IF($A70&gt;(ImplementationYear+(Appraisal_Period-1)),0,Health!$F$22*$B70)))</f>
        <v>0</v>
      </c>
      <c r="AO70" s="97">
        <f>IF(Option3="No",0,IF($A70&lt;ImplementationYear,0,IF($A70&gt;(ImplementationYear+(Appraisal_Period-1)),0,SUM('Travel time'!$F$22:$F$23)*$B70)))</f>
        <v>0</v>
      </c>
      <c r="AP70" s="97">
        <f>IF(Option3="No",0,IF($A70&lt;ImplementationYear,0,IF($A70&gt;(ImplementationYear+(Appraisal_Period-1)),0,SUM('Travel time'!$F$20:$F$21)*$B70)))</f>
        <v>0</v>
      </c>
      <c r="AQ70" s="97">
        <f>IF(Option3="No",0,IF($A70&lt;ImplementationYear,0,IF($A70&gt;(ImplementationYear+(Appraisal_Period-1)),0,SUM(Quality!$F$22:$F$23)*$B70)))</f>
        <v>0</v>
      </c>
      <c r="AR70" s="97">
        <f>IF(Option3="No",0,IF($A70&lt;ImplementationYear,0,IF($A70&gt;(ImplementationYear+(Appraisal_Period-1)),0,SUM(Quality!$F$20:$F$21)*$B70)))</f>
        <v>0</v>
      </c>
      <c r="AS70" s="97">
        <f>IF(Option3="No",0,IF($A70&lt;ImplementationYear,0,IF($A70&gt;(ImplementationYear+(Appraisal_Period-1)),0,'Mode change'!$F$36*$B70)))</f>
        <v>0</v>
      </c>
      <c r="AT70" s="97">
        <f>IF(Option3="No",0,IF($A70&lt;ImplementationYear,0,IF($A70&gt;(ImplementationYear+(Appraisal_Period-1)),0,'Mode change'!$F$37*$B70)))</f>
        <v>0</v>
      </c>
      <c r="AU70" s="97">
        <f>IF(Option3="No",0,IF($A70&lt;ImplementationYear,0,IF($A70&gt;(ImplementationYear+(Appraisal_Period-1)),0,'Road safety'!$F$22*$B70)))</f>
        <v>0</v>
      </c>
      <c r="AV70" s="97">
        <f>IF(Option3="No",0,IF($A70&lt;ImplementationYear,0,IF($A70&gt;(ImplementationYear+(Appraisal_Period-1)),0,'Reduction in car usage'!$F$46*$B70)))</f>
        <v>0</v>
      </c>
      <c r="AW70" s="97">
        <f>IF(Option3="No",0,IF($A70&lt;ImplementationYear,0,IF($A70&gt;(ImplementationYear+(Appraisal_Period-1)),0,'Reduction in car usage'!$F$47*$B70)))</f>
        <v>0</v>
      </c>
      <c r="AX70" s="97">
        <f>IF(Option3="No",0,IF($A70&lt;ImplementationYear,0,IF($A70&gt;(ImplementationYear+(Appraisal_Period-1)),0,'Reduction in car usage'!$F$48*$B70)))</f>
        <v>0</v>
      </c>
    </row>
    <row r="71" spans="1:50">
      <c r="A71" s="335">
        <v>2066</v>
      </c>
      <c r="B71" s="62">
        <f>VLOOKUP($A71,'Time-series parameters'!$E$11:$H$89,3,FALSE)</f>
        <v>3.3268402561233673E-2</v>
      </c>
      <c r="C71" s="89"/>
      <c r="D71" s="94">
        <f>IF(Option1="No",0,IF($A71=ImplementationYear,('Project details'!$H$10-'Project details'!$D$10)*VLOOKUP(Year_cost_estimate,'Time-series parameters'!$B$11:$C$89,2,FALSE)*$B71*(1+Contingency),0))</f>
        <v>0</v>
      </c>
      <c r="E71" s="94">
        <f>IF(Option1="No",0,IF($A71&lt;ImplementationYear,0,IF($A71&gt;(ImplementationYear+(Appraisal_Period-1)),0,('Project details'!$H$11-'Project details'!$D$11)*VLOOKUP(Year_cost_estimate,'Time-series parameters'!$B$11:$C$89,2,0))*$B71))</f>
        <v>0</v>
      </c>
      <c r="F71" s="94">
        <f>IF(Option1="No",0,IF($A71=ImplementationYear,('Project details'!$H$12-'Project details'!$D$12)*VLOOKUP(Year_cost_estimate,'Time-series parameters'!$B$11:$C$89,2,FALSE)*$B71,0))</f>
        <v>0</v>
      </c>
      <c r="G71" s="97">
        <f>IF(Option1="No",0,IF($A71&lt;ImplementationYear,0,IF($A71&gt;(ImplementationYear+(Appraisal_Period-1)),0,Health!$D$21*$B71)))</f>
        <v>0</v>
      </c>
      <c r="H71" s="97">
        <f>IF(Option1="No",0,IF($A71&lt;ImplementationYear,0,IF($A71&gt;(ImplementationYear+(Appraisal_Period-1)),0,Health!$D$22*$B71)))</f>
        <v>0</v>
      </c>
      <c r="I71" s="97">
        <f>IF(Option1="No",0,IF($A71&lt;ImplementationYear,0,IF($A71&gt;(ImplementationYear+(Appraisal_Period-1)),0,SUM('Travel time'!$D$22:$D$23)*$B71)))</f>
        <v>0</v>
      </c>
      <c r="J71" s="97">
        <f>IF(Option1="No",0,IF($A71&lt;ImplementationYear,0,IF($A71&gt;(ImplementationYear+(Appraisal_Period-1)),0,SUM('Travel time'!$D$20:$D$21)*$B71)))</f>
        <v>0</v>
      </c>
      <c r="K71" s="97">
        <f>IF(Option1="No",0,IF($A71&lt;ImplementationYear,0,IF($A71&gt;(ImplementationYear+(Appraisal_Period-1)),0,SUM(Quality!$D$22:$D$23)*$B71)))</f>
        <v>0</v>
      </c>
      <c r="L71" s="97">
        <f>IF(Option1="No",0,IF($A71&lt;ImplementationYear,0,IF($A71&gt;(ImplementationYear+(Appraisal_Period-1)),0,SUM(Quality!$D$20:$D$21)*$B71)))</f>
        <v>0</v>
      </c>
      <c r="M71" s="97">
        <f>IF(Option1="No",0,IF($A71&lt;ImplementationYear,0,IF($A71&gt;(ImplementationYear+(Appraisal_Period-1)),0,'Mode change'!$D$36*$B71)))</f>
        <v>0</v>
      </c>
      <c r="N71" s="97">
        <f>IF(Option1="No",0,IF($A71&lt;ImplementationYear,0,IF($A71&gt;(ImplementationYear+(Appraisal_Period-1)),0,'Mode change'!$D$37*$B71)))</f>
        <v>0</v>
      </c>
      <c r="O71" s="97">
        <f>IF(Option1="No",0,IF($A71&lt;ImplementationYear,0,IF($A71&gt;(ImplementationYear+(Appraisal_Period-1)),0,'Road safety'!$D$22*$B71)))</f>
        <v>0</v>
      </c>
      <c r="P71" s="97">
        <f>IF(Option1="No",0,IF($A71&lt;ImplementationYear,0,IF($A71&gt;(ImplementationYear+(Appraisal_Period-1)),0,'Reduction in car usage'!$D$46*$B71)))</f>
        <v>0</v>
      </c>
      <c r="Q71" s="97">
        <f>IF(Option1="No",0,IF($A71&lt;ImplementationYear,0,IF($A71&gt;(ImplementationYear+(Appraisal_Period-1)),0,'Reduction in car usage'!$D$47*$B71)))</f>
        <v>0</v>
      </c>
      <c r="R71" s="97">
        <f>IF(Option1="No",0,IF($A71&lt;ImplementationYear,0,IF($A71&gt;(ImplementationYear+(Appraisal_Period-1)),0,'Reduction in car usage'!$D$48*$B71)))</f>
        <v>0</v>
      </c>
      <c r="S71" s="92"/>
      <c r="T71" s="94">
        <f>IF(Option2="No",0,IF($A71=ImplementationYear,('Project details'!$L$10-'Project details'!$D$10)*VLOOKUP(Year_cost_estimate,'Time-series parameters'!$B$11:$C$89,2,FALSE)*$B71*(1+Contingency),0))</f>
        <v>0</v>
      </c>
      <c r="U71" s="94">
        <f>IF(Option2="No",0,IF($A71&lt;ImplementationYear,0,IF($A71&gt;(ImplementationYear+(Appraisal_Period-1)),0,('Project details'!$L$11-'Project details'!$D$11)*VLOOKUP(Year_cost_estimate,'Time-series parameters'!$B$11:$C$89,2,0))*$B71))</f>
        <v>0</v>
      </c>
      <c r="V71" s="94">
        <f>IF(Option2="No",0,IF($A71=ImplementationYear,('Project details'!$L$12-'Project details'!$D$12)*VLOOKUP(Year_cost_estimate,'Time-series parameters'!$B$11:$C$89,2,FALSE)*$B71,0))</f>
        <v>0</v>
      </c>
      <c r="W71" s="97">
        <f>IF(Option2="No",0,IF($A71&lt;ImplementationYear,0,IF($A71&gt;(ImplementationYear+(Appraisal_Period-1)),0,Health!$E$21*$B71)))</f>
        <v>0</v>
      </c>
      <c r="X71" s="97">
        <f>IF(Option2="No",0,IF($A71&lt;ImplementationYear,0,IF($A71&gt;(ImplementationYear+(Appraisal_Period-1)),0,Health!$E$22*$B71)))</f>
        <v>0</v>
      </c>
      <c r="Y71" s="97">
        <f>IF(Option2="No",0,IF($A71&lt;ImplementationYear,0,IF($A71&gt;(ImplementationYear+(Appraisal_Period-1)),0,SUM('Travel time'!$E$22:$E$23)*$B71)))</f>
        <v>0</v>
      </c>
      <c r="Z71" s="97">
        <f>IF(Option2="No",0,IF($A71&lt;ImplementationYear,0,IF($A71&gt;(ImplementationYear+(Appraisal_Period-1)),0,SUM('Travel time'!$E$20:$E$21)*$B71)))</f>
        <v>0</v>
      </c>
      <c r="AA71" s="97">
        <f>IF(Option2="No",0,IF($A71&lt;ImplementationYear,0,IF($A71&gt;(ImplementationYear+(Appraisal_Period-1)),0,SUM(Quality!$E$22:$E$23)*$B71)))</f>
        <v>0</v>
      </c>
      <c r="AB71" s="97">
        <f>IF(Option2="No",0,IF($A71&lt;ImplementationYear,0,IF($A71&gt;(ImplementationYear+(Appraisal_Period-1)),0,SUM(Quality!$E$20:$E$21)*$B71)))</f>
        <v>0</v>
      </c>
      <c r="AC71" s="97">
        <f>IF(Option2="No",0,IF($A71&lt;ImplementationYear,0,IF($A71&gt;(ImplementationYear+(Appraisal_Period-1)),0,'Mode change'!$E$36*$B71)))</f>
        <v>0</v>
      </c>
      <c r="AD71" s="97">
        <f>IF(Option2="No",0,IF($A71&lt;ImplementationYear,0,IF($A71&gt;(ImplementationYear+(Appraisal_Period-1)),0,'Mode change'!$E$37*$B71)))</f>
        <v>0</v>
      </c>
      <c r="AE71" s="97">
        <f>IF(Option2="No",0,IF($A71&lt;ImplementationYear,0,IF($A71&gt;(ImplementationYear+(Appraisal_Period-1)),0,'Road safety'!$E$22*$B71)))</f>
        <v>0</v>
      </c>
      <c r="AF71" s="97">
        <f>IF(Option2="No",0,IF($A71&lt;ImplementationYear,0,IF($A71&gt;(ImplementationYear+(Appraisal_Period-1)),0,'Reduction in car usage'!$E$46*$B71)))</f>
        <v>0</v>
      </c>
      <c r="AG71" s="97">
        <f>IF(Option2="No",0,IF($A71&lt;ImplementationYear,0,IF($A71&gt;(ImplementationYear+(Appraisal_Period-1)),0,'Reduction in car usage'!$E$47*$B71)))</f>
        <v>0</v>
      </c>
      <c r="AH71" s="97">
        <f>IF(Option2="No",0,IF($A71&lt;ImplementationYear,0,IF($A71&gt;(ImplementationYear+(Appraisal_Period-1)),0,'Reduction in car usage'!$E$48*$B71)))</f>
        <v>0</v>
      </c>
      <c r="AJ71" s="94">
        <f>IF(Option3="No",0,IF($A71=ImplementationYear,('Project details'!$P$10-'Project details'!$D$10)*VLOOKUP(Year_cost_estimate,'Time-series parameters'!$B$11:$C$89,2,FALSE)*$B71*(1+Contingency),0))</f>
        <v>0</v>
      </c>
      <c r="AK71" s="94">
        <f>IF(Option3="No",0,IF($A71&lt;ImplementationYear,0,IF($A71&gt;(ImplementationYear+(Appraisal_Period-1)),0,('Project details'!$P$11-'Project details'!$D$11)*VLOOKUP(Year_cost_estimate,'Time-series parameters'!$B$11:$C$89,2,0))*$B71))</f>
        <v>0</v>
      </c>
      <c r="AL71" s="94">
        <f>IF(Option3="No",0,IF($A71=ImplementationYear,('Project details'!$P$12-'Project details'!$D$12)*VLOOKUP(Year_cost_estimate,'Time-series parameters'!$B$11:$C$89,2,FALSE)*$B71,0))</f>
        <v>0</v>
      </c>
      <c r="AM71" s="97">
        <f>IF(Option3="No",0,IF($A71&lt;ImplementationYear,0,IF($A71&gt;(ImplementationYear+(Appraisal_Period-1)),0,Health!$F$21*$B71)))</f>
        <v>0</v>
      </c>
      <c r="AN71" s="97">
        <f>IF(Option3="No",0,IF($A71&lt;ImplementationYear,0,IF($A71&gt;(ImplementationYear+(Appraisal_Period-1)),0,Health!$F$22*$B71)))</f>
        <v>0</v>
      </c>
      <c r="AO71" s="97">
        <f>IF(Option3="No",0,IF($A71&lt;ImplementationYear,0,IF($A71&gt;(ImplementationYear+(Appraisal_Period-1)),0,SUM('Travel time'!$F$22:$F$23)*$B71)))</f>
        <v>0</v>
      </c>
      <c r="AP71" s="97">
        <f>IF(Option3="No",0,IF($A71&lt;ImplementationYear,0,IF($A71&gt;(ImplementationYear+(Appraisal_Period-1)),0,SUM('Travel time'!$F$20:$F$21)*$B71)))</f>
        <v>0</v>
      </c>
      <c r="AQ71" s="97">
        <f>IF(Option3="No",0,IF($A71&lt;ImplementationYear,0,IF($A71&gt;(ImplementationYear+(Appraisal_Period-1)),0,SUM(Quality!$F$22:$F$23)*$B71)))</f>
        <v>0</v>
      </c>
      <c r="AR71" s="97">
        <f>IF(Option3="No",0,IF($A71&lt;ImplementationYear,0,IF($A71&gt;(ImplementationYear+(Appraisal_Period-1)),0,SUM(Quality!$F$20:$F$21)*$B71)))</f>
        <v>0</v>
      </c>
      <c r="AS71" s="97">
        <f>IF(Option3="No",0,IF($A71&lt;ImplementationYear,0,IF($A71&gt;(ImplementationYear+(Appraisal_Period-1)),0,'Mode change'!$F$36*$B71)))</f>
        <v>0</v>
      </c>
      <c r="AT71" s="97">
        <f>IF(Option3="No",0,IF($A71&lt;ImplementationYear,0,IF($A71&gt;(ImplementationYear+(Appraisal_Period-1)),0,'Mode change'!$F$37*$B71)))</f>
        <v>0</v>
      </c>
      <c r="AU71" s="97">
        <f>IF(Option3="No",0,IF($A71&lt;ImplementationYear,0,IF($A71&gt;(ImplementationYear+(Appraisal_Period-1)),0,'Road safety'!$F$22*$B71)))</f>
        <v>0</v>
      </c>
      <c r="AV71" s="97">
        <f>IF(Option3="No",0,IF($A71&lt;ImplementationYear,0,IF($A71&gt;(ImplementationYear+(Appraisal_Period-1)),0,'Reduction in car usage'!$F$46*$B71)))</f>
        <v>0</v>
      </c>
      <c r="AW71" s="97">
        <f>IF(Option3="No",0,IF($A71&lt;ImplementationYear,0,IF($A71&gt;(ImplementationYear+(Appraisal_Period-1)),0,'Reduction in car usage'!$F$47*$B71)))</f>
        <v>0</v>
      </c>
      <c r="AX71" s="97">
        <f>IF(Option3="No",0,IF($A71&lt;ImplementationYear,0,IF($A71&gt;(ImplementationYear+(Appraisal_Period-1)),0,'Reduction in car usage'!$F$48*$B71)))</f>
        <v>0</v>
      </c>
    </row>
    <row r="72" spans="1:50">
      <c r="A72" s="335">
        <v>2067</v>
      </c>
      <c r="B72" s="62">
        <f>VLOOKUP($A72,'Time-series parameters'!$E$11:$H$89,3,FALSE)</f>
        <v>3.127229840755965E-2</v>
      </c>
      <c r="C72" s="89"/>
      <c r="D72" s="94">
        <f>IF(Option1="No",0,IF($A72=ImplementationYear,('Project details'!$H$10-'Project details'!$D$10)*VLOOKUP(Year_cost_estimate,'Time-series parameters'!$B$11:$C$89,2,FALSE)*$B72*(1+Contingency),0))</f>
        <v>0</v>
      </c>
      <c r="E72" s="94">
        <f>IF(Option1="No",0,IF($A72&lt;ImplementationYear,0,IF($A72&gt;(ImplementationYear+(Appraisal_Period-1)),0,('Project details'!$H$11-'Project details'!$D$11)*VLOOKUP(Year_cost_estimate,'Time-series parameters'!$B$11:$C$89,2,0))*$B72))</f>
        <v>0</v>
      </c>
      <c r="F72" s="94">
        <f>IF(Option1="No",0,IF($A72=ImplementationYear,('Project details'!$H$12-'Project details'!$D$12)*VLOOKUP(Year_cost_estimate,'Time-series parameters'!$B$11:$C$89,2,FALSE)*$B72,0))</f>
        <v>0</v>
      </c>
      <c r="G72" s="97">
        <f>IF(Option1="No",0,IF($A72&lt;ImplementationYear,0,IF($A72&gt;(ImplementationYear+(Appraisal_Period-1)),0,Health!$D$21*$B72)))</f>
        <v>0</v>
      </c>
      <c r="H72" s="97">
        <f>IF(Option1="No",0,IF($A72&lt;ImplementationYear,0,IF($A72&gt;(ImplementationYear+(Appraisal_Period-1)),0,Health!$D$22*$B72)))</f>
        <v>0</v>
      </c>
      <c r="I72" s="97">
        <f>IF(Option1="No",0,IF($A72&lt;ImplementationYear,0,IF($A72&gt;(ImplementationYear+(Appraisal_Period-1)),0,SUM('Travel time'!$D$22:$D$23)*$B72)))</f>
        <v>0</v>
      </c>
      <c r="J72" s="97">
        <f>IF(Option1="No",0,IF($A72&lt;ImplementationYear,0,IF($A72&gt;(ImplementationYear+(Appraisal_Period-1)),0,SUM('Travel time'!$D$20:$D$21)*$B72)))</f>
        <v>0</v>
      </c>
      <c r="K72" s="97">
        <f>IF(Option1="No",0,IF($A72&lt;ImplementationYear,0,IF($A72&gt;(ImplementationYear+(Appraisal_Period-1)),0,SUM(Quality!$D$22:$D$23)*$B72)))</f>
        <v>0</v>
      </c>
      <c r="L72" s="97">
        <f>IF(Option1="No",0,IF($A72&lt;ImplementationYear,0,IF($A72&gt;(ImplementationYear+(Appraisal_Period-1)),0,SUM(Quality!$D$20:$D$21)*$B72)))</f>
        <v>0</v>
      </c>
      <c r="M72" s="97">
        <f>IF(Option1="No",0,IF($A72&lt;ImplementationYear,0,IF($A72&gt;(ImplementationYear+(Appraisal_Period-1)),0,'Mode change'!$D$36*$B72)))</f>
        <v>0</v>
      </c>
      <c r="N72" s="97">
        <f>IF(Option1="No",0,IF($A72&lt;ImplementationYear,0,IF($A72&gt;(ImplementationYear+(Appraisal_Period-1)),0,'Mode change'!$D$37*$B72)))</f>
        <v>0</v>
      </c>
      <c r="O72" s="97">
        <f>IF(Option1="No",0,IF($A72&lt;ImplementationYear,0,IF($A72&gt;(ImplementationYear+(Appraisal_Period-1)),0,'Road safety'!$D$22*$B72)))</f>
        <v>0</v>
      </c>
      <c r="P72" s="97">
        <f>IF(Option1="No",0,IF($A72&lt;ImplementationYear,0,IF($A72&gt;(ImplementationYear+(Appraisal_Period-1)),0,'Reduction in car usage'!$D$46*$B72)))</f>
        <v>0</v>
      </c>
      <c r="Q72" s="97">
        <f>IF(Option1="No",0,IF($A72&lt;ImplementationYear,0,IF($A72&gt;(ImplementationYear+(Appraisal_Period-1)),0,'Reduction in car usage'!$D$47*$B72)))</f>
        <v>0</v>
      </c>
      <c r="R72" s="97">
        <f>IF(Option1="No",0,IF($A72&lt;ImplementationYear,0,IF($A72&gt;(ImplementationYear+(Appraisal_Period-1)),0,'Reduction in car usage'!$D$48*$B72)))</f>
        <v>0</v>
      </c>
      <c r="S72" s="92"/>
      <c r="T72" s="94">
        <f>IF(Option2="No",0,IF($A72=ImplementationYear,('Project details'!$L$10-'Project details'!$D$10)*VLOOKUP(Year_cost_estimate,'Time-series parameters'!$B$11:$C$89,2,FALSE)*$B72*(1+Contingency),0))</f>
        <v>0</v>
      </c>
      <c r="U72" s="94">
        <f>IF(Option2="No",0,IF($A72&lt;ImplementationYear,0,IF($A72&gt;(ImplementationYear+(Appraisal_Period-1)),0,('Project details'!$L$11-'Project details'!$D$11)*VLOOKUP(Year_cost_estimate,'Time-series parameters'!$B$11:$C$89,2,0))*$B72))</f>
        <v>0</v>
      </c>
      <c r="V72" s="94">
        <f>IF(Option2="No",0,IF($A72=ImplementationYear,('Project details'!$L$12-'Project details'!$D$12)*VLOOKUP(Year_cost_estimate,'Time-series parameters'!$B$11:$C$89,2,FALSE)*$B72,0))</f>
        <v>0</v>
      </c>
      <c r="W72" s="97">
        <f>IF(Option2="No",0,IF($A72&lt;ImplementationYear,0,IF($A72&gt;(ImplementationYear+(Appraisal_Period-1)),0,Health!$E$21*$B72)))</f>
        <v>0</v>
      </c>
      <c r="X72" s="97">
        <f>IF(Option2="No",0,IF($A72&lt;ImplementationYear,0,IF($A72&gt;(ImplementationYear+(Appraisal_Period-1)),0,Health!$E$22*$B72)))</f>
        <v>0</v>
      </c>
      <c r="Y72" s="97">
        <f>IF(Option2="No",0,IF($A72&lt;ImplementationYear,0,IF($A72&gt;(ImplementationYear+(Appraisal_Period-1)),0,SUM('Travel time'!$E$22:$E$23)*$B72)))</f>
        <v>0</v>
      </c>
      <c r="Z72" s="97">
        <f>IF(Option2="No",0,IF($A72&lt;ImplementationYear,0,IF($A72&gt;(ImplementationYear+(Appraisal_Period-1)),0,SUM('Travel time'!$E$20:$E$21)*$B72)))</f>
        <v>0</v>
      </c>
      <c r="AA72" s="97">
        <f>IF(Option2="No",0,IF($A72&lt;ImplementationYear,0,IF($A72&gt;(ImplementationYear+(Appraisal_Period-1)),0,SUM(Quality!$E$22:$E$23)*$B72)))</f>
        <v>0</v>
      </c>
      <c r="AB72" s="97">
        <f>IF(Option2="No",0,IF($A72&lt;ImplementationYear,0,IF($A72&gt;(ImplementationYear+(Appraisal_Period-1)),0,SUM(Quality!$E$20:$E$21)*$B72)))</f>
        <v>0</v>
      </c>
      <c r="AC72" s="97">
        <f>IF(Option2="No",0,IF($A72&lt;ImplementationYear,0,IF($A72&gt;(ImplementationYear+(Appraisal_Period-1)),0,'Mode change'!$E$36*$B72)))</f>
        <v>0</v>
      </c>
      <c r="AD72" s="97">
        <f>IF(Option2="No",0,IF($A72&lt;ImplementationYear,0,IF($A72&gt;(ImplementationYear+(Appraisal_Period-1)),0,'Mode change'!$E$37*$B72)))</f>
        <v>0</v>
      </c>
      <c r="AE72" s="97">
        <f>IF(Option2="No",0,IF($A72&lt;ImplementationYear,0,IF($A72&gt;(ImplementationYear+(Appraisal_Period-1)),0,'Road safety'!$E$22*$B72)))</f>
        <v>0</v>
      </c>
      <c r="AF72" s="97">
        <f>IF(Option2="No",0,IF($A72&lt;ImplementationYear,0,IF($A72&gt;(ImplementationYear+(Appraisal_Period-1)),0,'Reduction in car usage'!$E$46*$B72)))</f>
        <v>0</v>
      </c>
      <c r="AG72" s="97">
        <f>IF(Option2="No",0,IF($A72&lt;ImplementationYear,0,IF($A72&gt;(ImplementationYear+(Appraisal_Period-1)),0,'Reduction in car usage'!$E$47*$B72)))</f>
        <v>0</v>
      </c>
      <c r="AH72" s="97">
        <f>IF(Option2="No",0,IF($A72&lt;ImplementationYear,0,IF($A72&gt;(ImplementationYear+(Appraisal_Period-1)),0,'Reduction in car usage'!$E$48*$B72)))</f>
        <v>0</v>
      </c>
      <c r="AJ72" s="94">
        <f>IF(Option3="No",0,IF($A72=ImplementationYear,('Project details'!$P$10-'Project details'!$D$10)*VLOOKUP(Year_cost_estimate,'Time-series parameters'!$B$11:$C$89,2,FALSE)*$B72*(1+Contingency),0))</f>
        <v>0</v>
      </c>
      <c r="AK72" s="94">
        <f>IF(Option3="No",0,IF($A72&lt;ImplementationYear,0,IF($A72&gt;(ImplementationYear+(Appraisal_Period-1)),0,('Project details'!$P$11-'Project details'!$D$11)*VLOOKUP(Year_cost_estimate,'Time-series parameters'!$B$11:$C$89,2,0))*$B72))</f>
        <v>0</v>
      </c>
      <c r="AL72" s="94">
        <f>IF(Option3="No",0,IF($A72=ImplementationYear,('Project details'!$P$12-'Project details'!$D$12)*VLOOKUP(Year_cost_estimate,'Time-series parameters'!$B$11:$C$89,2,FALSE)*$B72,0))</f>
        <v>0</v>
      </c>
      <c r="AM72" s="97">
        <f>IF(Option3="No",0,IF($A72&lt;ImplementationYear,0,IF($A72&gt;(ImplementationYear+(Appraisal_Period-1)),0,Health!$F$21*$B72)))</f>
        <v>0</v>
      </c>
      <c r="AN72" s="97">
        <f>IF(Option3="No",0,IF($A72&lt;ImplementationYear,0,IF($A72&gt;(ImplementationYear+(Appraisal_Period-1)),0,Health!$F$22*$B72)))</f>
        <v>0</v>
      </c>
      <c r="AO72" s="97">
        <f>IF(Option3="No",0,IF($A72&lt;ImplementationYear,0,IF($A72&gt;(ImplementationYear+(Appraisal_Period-1)),0,SUM('Travel time'!$F$22:$F$23)*$B72)))</f>
        <v>0</v>
      </c>
      <c r="AP72" s="97">
        <f>IF(Option3="No",0,IF($A72&lt;ImplementationYear,0,IF($A72&gt;(ImplementationYear+(Appraisal_Period-1)),0,SUM('Travel time'!$F$20:$F$21)*$B72)))</f>
        <v>0</v>
      </c>
      <c r="AQ72" s="97">
        <f>IF(Option3="No",0,IF($A72&lt;ImplementationYear,0,IF($A72&gt;(ImplementationYear+(Appraisal_Period-1)),0,SUM(Quality!$F$22:$F$23)*$B72)))</f>
        <v>0</v>
      </c>
      <c r="AR72" s="97">
        <f>IF(Option3="No",0,IF($A72&lt;ImplementationYear,0,IF($A72&gt;(ImplementationYear+(Appraisal_Period-1)),0,SUM(Quality!$F$20:$F$21)*$B72)))</f>
        <v>0</v>
      </c>
      <c r="AS72" s="97">
        <f>IF(Option3="No",0,IF($A72&lt;ImplementationYear,0,IF($A72&gt;(ImplementationYear+(Appraisal_Period-1)),0,'Mode change'!$F$36*$B72)))</f>
        <v>0</v>
      </c>
      <c r="AT72" s="97">
        <f>IF(Option3="No",0,IF($A72&lt;ImplementationYear,0,IF($A72&gt;(ImplementationYear+(Appraisal_Period-1)),0,'Mode change'!$F$37*$B72)))</f>
        <v>0</v>
      </c>
      <c r="AU72" s="97">
        <f>IF(Option3="No",0,IF($A72&lt;ImplementationYear,0,IF($A72&gt;(ImplementationYear+(Appraisal_Period-1)),0,'Road safety'!$F$22*$B72)))</f>
        <v>0</v>
      </c>
      <c r="AV72" s="97">
        <f>IF(Option3="No",0,IF($A72&lt;ImplementationYear,0,IF($A72&gt;(ImplementationYear+(Appraisal_Period-1)),0,'Reduction in car usage'!$F$46*$B72)))</f>
        <v>0</v>
      </c>
      <c r="AW72" s="97">
        <f>IF(Option3="No",0,IF($A72&lt;ImplementationYear,0,IF($A72&gt;(ImplementationYear+(Appraisal_Period-1)),0,'Reduction in car usage'!$F$47*$B72)))</f>
        <v>0</v>
      </c>
      <c r="AX72" s="97">
        <f>IF(Option3="No",0,IF($A72&lt;ImplementationYear,0,IF($A72&gt;(ImplementationYear+(Appraisal_Period-1)),0,'Reduction in car usage'!$F$48*$B72)))</f>
        <v>0</v>
      </c>
    </row>
    <row r="73" spans="1:50">
      <c r="A73" s="335">
        <v>2068</v>
      </c>
      <c r="B73" s="62">
        <f>VLOOKUP($A73,'Time-series parameters'!$E$11:$H$89,3,FALSE)</f>
        <v>2.9395960503106069E-2</v>
      </c>
      <c r="C73" s="89"/>
      <c r="D73" s="94">
        <f>IF(Option1="No",0,IF($A73=ImplementationYear,('Project details'!$H$10-'Project details'!$D$10)*VLOOKUP(Year_cost_estimate,'Time-series parameters'!$B$11:$C$89,2,FALSE)*$B73*(1+Contingency),0))</f>
        <v>0</v>
      </c>
      <c r="E73" s="94">
        <f>IF(Option1="No",0,IF($A73&lt;ImplementationYear,0,IF($A73&gt;(ImplementationYear+(Appraisal_Period-1)),0,('Project details'!$H$11-'Project details'!$D$11)*VLOOKUP(Year_cost_estimate,'Time-series parameters'!$B$11:$C$89,2,0))*$B73))</f>
        <v>0</v>
      </c>
      <c r="F73" s="94">
        <f>IF(Option1="No",0,IF($A73=ImplementationYear,('Project details'!$H$12-'Project details'!$D$12)*VLOOKUP(Year_cost_estimate,'Time-series parameters'!$B$11:$C$89,2,FALSE)*$B73,0))</f>
        <v>0</v>
      </c>
      <c r="G73" s="97">
        <f>IF(Option1="No",0,IF($A73&lt;ImplementationYear,0,IF($A73&gt;(ImplementationYear+(Appraisal_Period-1)),0,Health!$D$21*$B73)))</f>
        <v>0</v>
      </c>
      <c r="H73" s="97">
        <f>IF(Option1="No",0,IF($A73&lt;ImplementationYear,0,IF($A73&gt;(ImplementationYear+(Appraisal_Period-1)),0,Health!$D$22*$B73)))</f>
        <v>0</v>
      </c>
      <c r="I73" s="97">
        <f>IF(Option1="No",0,IF($A73&lt;ImplementationYear,0,IF($A73&gt;(ImplementationYear+(Appraisal_Period-1)),0,SUM('Travel time'!$D$22:$D$23)*$B73)))</f>
        <v>0</v>
      </c>
      <c r="J73" s="97">
        <f>IF(Option1="No",0,IF($A73&lt;ImplementationYear,0,IF($A73&gt;(ImplementationYear+(Appraisal_Period-1)),0,SUM('Travel time'!$D$20:$D$21)*$B73)))</f>
        <v>0</v>
      </c>
      <c r="K73" s="97">
        <f>IF(Option1="No",0,IF($A73&lt;ImplementationYear,0,IF($A73&gt;(ImplementationYear+(Appraisal_Period-1)),0,SUM(Quality!$D$22:$D$23)*$B73)))</f>
        <v>0</v>
      </c>
      <c r="L73" s="97">
        <f>IF(Option1="No",0,IF($A73&lt;ImplementationYear,0,IF($A73&gt;(ImplementationYear+(Appraisal_Period-1)),0,SUM(Quality!$D$20:$D$21)*$B73)))</f>
        <v>0</v>
      </c>
      <c r="M73" s="97">
        <f>IF(Option1="No",0,IF($A73&lt;ImplementationYear,0,IF($A73&gt;(ImplementationYear+(Appraisal_Period-1)),0,'Mode change'!$D$36*$B73)))</f>
        <v>0</v>
      </c>
      <c r="N73" s="97">
        <f>IF(Option1="No",0,IF($A73&lt;ImplementationYear,0,IF($A73&gt;(ImplementationYear+(Appraisal_Period-1)),0,'Mode change'!$D$37*$B73)))</f>
        <v>0</v>
      </c>
      <c r="O73" s="97">
        <f>IF(Option1="No",0,IF($A73&lt;ImplementationYear,0,IF($A73&gt;(ImplementationYear+(Appraisal_Period-1)),0,'Road safety'!$D$22*$B73)))</f>
        <v>0</v>
      </c>
      <c r="P73" s="97">
        <f>IF(Option1="No",0,IF($A73&lt;ImplementationYear,0,IF($A73&gt;(ImplementationYear+(Appraisal_Period-1)),0,'Reduction in car usage'!$D$46*$B73)))</f>
        <v>0</v>
      </c>
      <c r="Q73" s="97">
        <f>IF(Option1="No",0,IF($A73&lt;ImplementationYear,0,IF($A73&gt;(ImplementationYear+(Appraisal_Period-1)),0,'Reduction in car usage'!$D$47*$B73)))</f>
        <v>0</v>
      </c>
      <c r="R73" s="97">
        <f>IF(Option1="No",0,IF($A73&lt;ImplementationYear,0,IF($A73&gt;(ImplementationYear+(Appraisal_Period-1)),0,'Reduction in car usage'!$D$48*$B73)))</f>
        <v>0</v>
      </c>
      <c r="S73" s="92"/>
      <c r="T73" s="94">
        <f>IF(Option2="No",0,IF($A73=ImplementationYear,('Project details'!$L$10-'Project details'!$D$10)*VLOOKUP(Year_cost_estimate,'Time-series parameters'!$B$11:$C$89,2,FALSE)*$B73*(1+Contingency),0))</f>
        <v>0</v>
      </c>
      <c r="U73" s="94">
        <f>IF(Option2="No",0,IF($A73&lt;ImplementationYear,0,IF($A73&gt;(ImplementationYear+(Appraisal_Period-1)),0,('Project details'!$L$11-'Project details'!$D$11)*VLOOKUP(Year_cost_estimate,'Time-series parameters'!$B$11:$C$89,2,0))*$B73))</f>
        <v>0</v>
      </c>
      <c r="V73" s="94">
        <f>IF(Option2="No",0,IF($A73=ImplementationYear,('Project details'!$L$12-'Project details'!$D$12)*VLOOKUP(Year_cost_estimate,'Time-series parameters'!$B$11:$C$89,2,FALSE)*$B73,0))</f>
        <v>0</v>
      </c>
      <c r="W73" s="97">
        <f>IF(Option2="No",0,IF($A73&lt;ImplementationYear,0,IF($A73&gt;(ImplementationYear+(Appraisal_Period-1)),0,Health!$E$21*$B73)))</f>
        <v>0</v>
      </c>
      <c r="X73" s="97">
        <f>IF(Option2="No",0,IF($A73&lt;ImplementationYear,0,IF($A73&gt;(ImplementationYear+(Appraisal_Period-1)),0,Health!$E$22*$B73)))</f>
        <v>0</v>
      </c>
      <c r="Y73" s="97">
        <f>IF(Option2="No",0,IF($A73&lt;ImplementationYear,0,IF($A73&gt;(ImplementationYear+(Appraisal_Period-1)),0,SUM('Travel time'!$E$22:$E$23)*$B73)))</f>
        <v>0</v>
      </c>
      <c r="Z73" s="97">
        <f>IF(Option2="No",0,IF($A73&lt;ImplementationYear,0,IF($A73&gt;(ImplementationYear+(Appraisal_Period-1)),0,SUM('Travel time'!$E$20:$E$21)*$B73)))</f>
        <v>0</v>
      </c>
      <c r="AA73" s="97">
        <f>IF(Option2="No",0,IF($A73&lt;ImplementationYear,0,IF($A73&gt;(ImplementationYear+(Appraisal_Period-1)),0,SUM(Quality!$E$22:$E$23)*$B73)))</f>
        <v>0</v>
      </c>
      <c r="AB73" s="97">
        <f>IF(Option2="No",0,IF($A73&lt;ImplementationYear,0,IF($A73&gt;(ImplementationYear+(Appraisal_Period-1)),0,SUM(Quality!$E$20:$E$21)*$B73)))</f>
        <v>0</v>
      </c>
      <c r="AC73" s="97">
        <f>IF(Option2="No",0,IF($A73&lt;ImplementationYear,0,IF($A73&gt;(ImplementationYear+(Appraisal_Period-1)),0,'Mode change'!$E$36*$B73)))</f>
        <v>0</v>
      </c>
      <c r="AD73" s="97">
        <f>IF(Option2="No",0,IF($A73&lt;ImplementationYear,0,IF($A73&gt;(ImplementationYear+(Appraisal_Period-1)),0,'Mode change'!$E$37*$B73)))</f>
        <v>0</v>
      </c>
      <c r="AE73" s="97">
        <f>IF(Option2="No",0,IF($A73&lt;ImplementationYear,0,IF($A73&gt;(ImplementationYear+(Appraisal_Period-1)),0,'Road safety'!$E$22*$B73)))</f>
        <v>0</v>
      </c>
      <c r="AF73" s="97">
        <f>IF(Option2="No",0,IF($A73&lt;ImplementationYear,0,IF($A73&gt;(ImplementationYear+(Appraisal_Period-1)),0,'Reduction in car usage'!$E$46*$B73)))</f>
        <v>0</v>
      </c>
      <c r="AG73" s="97">
        <f>IF(Option2="No",0,IF($A73&lt;ImplementationYear,0,IF($A73&gt;(ImplementationYear+(Appraisal_Period-1)),0,'Reduction in car usage'!$E$47*$B73)))</f>
        <v>0</v>
      </c>
      <c r="AH73" s="97">
        <f>IF(Option2="No",0,IF($A73&lt;ImplementationYear,0,IF($A73&gt;(ImplementationYear+(Appraisal_Period-1)),0,'Reduction in car usage'!$E$48*$B73)))</f>
        <v>0</v>
      </c>
      <c r="AJ73" s="94">
        <f>IF(Option3="No",0,IF($A73=ImplementationYear,('Project details'!$P$10-'Project details'!$D$10)*VLOOKUP(Year_cost_estimate,'Time-series parameters'!$B$11:$C$89,2,FALSE)*$B73*(1+Contingency),0))</f>
        <v>0</v>
      </c>
      <c r="AK73" s="94">
        <f>IF(Option3="No",0,IF($A73&lt;ImplementationYear,0,IF($A73&gt;(ImplementationYear+(Appraisal_Period-1)),0,('Project details'!$P$11-'Project details'!$D$11)*VLOOKUP(Year_cost_estimate,'Time-series parameters'!$B$11:$C$89,2,0))*$B73))</f>
        <v>0</v>
      </c>
      <c r="AL73" s="94">
        <f>IF(Option3="No",0,IF($A73=ImplementationYear,('Project details'!$P$12-'Project details'!$D$12)*VLOOKUP(Year_cost_estimate,'Time-series parameters'!$B$11:$C$89,2,FALSE)*$B73,0))</f>
        <v>0</v>
      </c>
      <c r="AM73" s="97">
        <f>IF(Option3="No",0,IF($A73&lt;ImplementationYear,0,IF($A73&gt;(ImplementationYear+(Appraisal_Period-1)),0,Health!$F$21*$B73)))</f>
        <v>0</v>
      </c>
      <c r="AN73" s="97">
        <f>IF(Option3="No",0,IF($A73&lt;ImplementationYear,0,IF($A73&gt;(ImplementationYear+(Appraisal_Period-1)),0,Health!$F$22*$B73)))</f>
        <v>0</v>
      </c>
      <c r="AO73" s="97">
        <f>IF(Option3="No",0,IF($A73&lt;ImplementationYear,0,IF($A73&gt;(ImplementationYear+(Appraisal_Period-1)),0,SUM('Travel time'!$F$22:$F$23)*$B73)))</f>
        <v>0</v>
      </c>
      <c r="AP73" s="97">
        <f>IF(Option3="No",0,IF($A73&lt;ImplementationYear,0,IF($A73&gt;(ImplementationYear+(Appraisal_Period-1)),0,SUM('Travel time'!$F$20:$F$21)*$B73)))</f>
        <v>0</v>
      </c>
      <c r="AQ73" s="97">
        <f>IF(Option3="No",0,IF($A73&lt;ImplementationYear,0,IF($A73&gt;(ImplementationYear+(Appraisal_Period-1)),0,SUM(Quality!$F$22:$F$23)*$B73)))</f>
        <v>0</v>
      </c>
      <c r="AR73" s="97">
        <f>IF(Option3="No",0,IF($A73&lt;ImplementationYear,0,IF($A73&gt;(ImplementationYear+(Appraisal_Period-1)),0,SUM(Quality!$F$20:$F$21)*$B73)))</f>
        <v>0</v>
      </c>
      <c r="AS73" s="97">
        <f>IF(Option3="No",0,IF($A73&lt;ImplementationYear,0,IF($A73&gt;(ImplementationYear+(Appraisal_Period-1)),0,'Mode change'!$F$36*$B73)))</f>
        <v>0</v>
      </c>
      <c r="AT73" s="97">
        <f>IF(Option3="No",0,IF($A73&lt;ImplementationYear,0,IF($A73&gt;(ImplementationYear+(Appraisal_Period-1)),0,'Mode change'!$F$37*$B73)))</f>
        <v>0</v>
      </c>
      <c r="AU73" s="97">
        <f>IF(Option3="No",0,IF($A73&lt;ImplementationYear,0,IF($A73&gt;(ImplementationYear+(Appraisal_Period-1)),0,'Road safety'!$F$22*$B73)))</f>
        <v>0</v>
      </c>
      <c r="AV73" s="97">
        <f>IF(Option3="No",0,IF($A73&lt;ImplementationYear,0,IF($A73&gt;(ImplementationYear+(Appraisal_Period-1)),0,'Reduction in car usage'!$F$46*$B73)))</f>
        <v>0</v>
      </c>
      <c r="AW73" s="97">
        <f>IF(Option3="No",0,IF($A73&lt;ImplementationYear,0,IF($A73&gt;(ImplementationYear+(Appraisal_Period-1)),0,'Reduction in car usage'!$F$47*$B73)))</f>
        <v>0</v>
      </c>
      <c r="AX73" s="97">
        <f>IF(Option3="No",0,IF($A73&lt;ImplementationYear,0,IF($A73&gt;(ImplementationYear+(Appraisal_Period-1)),0,'Reduction in car usage'!$F$48*$B73)))</f>
        <v>0</v>
      </c>
    </row>
    <row r="74" spans="1:50">
      <c r="A74" s="335">
        <v>2069</v>
      </c>
      <c r="B74" s="62">
        <f>VLOOKUP($A74,'Time-series parameters'!$E$11:$H$89,3,FALSE)</f>
        <v>2.7632202872919707E-2</v>
      </c>
      <c r="C74" s="89"/>
      <c r="D74" s="94">
        <f>IF(Option1="No",0,IF($A74=ImplementationYear,('Project details'!$H$10-'Project details'!$D$10)*VLOOKUP(Year_cost_estimate,'Time-series parameters'!$B$11:$C$89,2,FALSE)*$B74*(1+Contingency),0))</f>
        <v>0</v>
      </c>
      <c r="E74" s="94">
        <f>IF(Option1="No",0,IF($A74&lt;ImplementationYear,0,IF($A74&gt;(ImplementationYear+(Appraisal_Period-1)),0,('Project details'!$H$11-'Project details'!$D$11)*VLOOKUP(Year_cost_estimate,'Time-series parameters'!$B$11:$C$89,2,0))*$B74))</f>
        <v>0</v>
      </c>
      <c r="F74" s="94">
        <f>IF(Option1="No",0,IF($A74=ImplementationYear,('Project details'!$H$12-'Project details'!$D$12)*VLOOKUP(Year_cost_estimate,'Time-series parameters'!$B$11:$C$89,2,FALSE)*$B74,0))</f>
        <v>0</v>
      </c>
      <c r="G74" s="97">
        <f>IF(Option1="No",0,IF($A74&lt;ImplementationYear,0,IF($A74&gt;(ImplementationYear+(Appraisal_Period-1)),0,Health!$D$21*$B74)))</f>
        <v>0</v>
      </c>
      <c r="H74" s="97">
        <f>IF(Option1="No",0,IF($A74&lt;ImplementationYear,0,IF($A74&gt;(ImplementationYear+(Appraisal_Period-1)),0,Health!$D$22*$B74)))</f>
        <v>0</v>
      </c>
      <c r="I74" s="97">
        <f>IF(Option1="No",0,IF($A74&lt;ImplementationYear,0,IF($A74&gt;(ImplementationYear+(Appraisal_Period-1)),0,SUM('Travel time'!$D$22:$D$23)*$B74)))</f>
        <v>0</v>
      </c>
      <c r="J74" s="97">
        <f>IF(Option1="No",0,IF($A74&lt;ImplementationYear,0,IF($A74&gt;(ImplementationYear+(Appraisal_Period-1)),0,SUM('Travel time'!$D$20:$D$21)*$B74)))</f>
        <v>0</v>
      </c>
      <c r="K74" s="97">
        <f>IF(Option1="No",0,IF($A74&lt;ImplementationYear,0,IF($A74&gt;(ImplementationYear+(Appraisal_Period-1)),0,SUM(Quality!$D$22:$D$23)*$B74)))</f>
        <v>0</v>
      </c>
      <c r="L74" s="97">
        <f>IF(Option1="No",0,IF($A74&lt;ImplementationYear,0,IF($A74&gt;(ImplementationYear+(Appraisal_Period-1)),0,SUM(Quality!$D$20:$D$21)*$B74)))</f>
        <v>0</v>
      </c>
      <c r="M74" s="97">
        <f>IF(Option1="No",0,IF($A74&lt;ImplementationYear,0,IF($A74&gt;(ImplementationYear+(Appraisal_Period-1)),0,'Mode change'!$D$36*$B74)))</f>
        <v>0</v>
      </c>
      <c r="N74" s="97">
        <f>IF(Option1="No",0,IF($A74&lt;ImplementationYear,0,IF($A74&gt;(ImplementationYear+(Appraisal_Period-1)),0,'Mode change'!$D$37*$B74)))</f>
        <v>0</v>
      </c>
      <c r="O74" s="97">
        <f>IF(Option1="No",0,IF($A74&lt;ImplementationYear,0,IF($A74&gt;(ImplementationYear+(Appraisal_Period-1)),0,'Road safety'!$D$22*$B74)))</f>
        <v>0</v>
      </c>
      <c r="P74" s="97">
        <f>IF(Option1="No",0,IF($A74&lt;ImplementationYear,0,IF($A74&gt;(ImplementationYear+(Appraisal_Period-1)),0,'Reduction in car usage'!$D$46*$B74)))</f>
        <v>0</v>
      </c>
      <c r="Q74" s="97">
        <f>IF(Option1="No",0,IF($A74&lt;ImplementationYear,0,IF($A74&gt;(ImplementationYear+(Appraisal_Period-1)),0,'Reduction in car usage'!$D$47*$B74)))</f>
        <v>0</v>
      </c>
      <c r="R74" s="97">
        <f>IF(Option1="No",0,IF($A74&lt;ImplementationYear,0,IF($A74&gt;(ImplementationYear+(Appraisal_Period-1)),0,'Reduction in car usage'!$D$48*$B74)))</f>
        <v>0</v>
      </c>
      <c r="S74" s="92"/>
      <c r="T74" s="94">
        <f>IF(Option2="No",0,IF($A74=ImplementationYear,('Project details'!$L$10-'Project details'!$D$10)*VLOOKUP(Year_cost_estimate,'Time-series parameters'!$B$11:$C$89,2,FALSE)*$B74*(1+Contingency),0))</f>
        <v>0</v>
      </c>
      <c r="U74" s="94">
        <f>IF(Option2="No",0,IF($A74&lt;ImplementationYear,0,IF($A74&gt;(ImplementationYear+(Appraisal_Period-1)),0,('Project details'!$L$11-'Project details'!$D$11)*VLOOKUP(Year_cost_estimate,'Time-series parameters'!$B$11:$C$89,2,0))*$B74))</f>
        <v>0</v>
      </c>
      <c r="V74" s="94">
        <f>IF(Option2="No",0,IF($A74=ImplementationYear,('Project details'!$L$12-'Project details'!$D$12)*VLOOKUP(Year_cost_estimate,'Time-series parameters'!$B$11:$C$89,2,FALSE)*$B74,0))</f>
        <v>0</v>
      </c>
      <c r="W74" s="97">
        <f>IF(Option2="No",0,IF($A74&lt;ImplementationYear,0,IF($A74&gt;(ImplementationYear+(Appraisal_Period-1)),0,Health!$E$21*$B74)))</f>
        <v>0</v>
      </c>
      <c r="X74" s="97">
        <f>IF(Option2="No",0,IF($A74&lt;ImplementationYear,0,IF($A74&gt;(ImplementationYear+(Appraisal_Period-1)),0,Health!$E$22*$B74)))</f>
        <v>0</v>
      </c>
      <c r="Y74" s="97">
        <f>IF(Option2="No",0,IF($A74&lt;ImplementationYear,0,IF($A74&gt;(ImplementationYear+(Appraisal_Period-1)),0,SUM('Travel time'!$E$22:$E$23)*$B74)))</f>
        <v>0</v>
      </c>
      <c r="Z74" s="97">
        <f>IF(Option2="No",0,IF($A74&lt;ImplementationYear,0,IF($A74&gt;(ImplementationYear+(Appraisal_Period-1)),0,SUM('Travel time'!$E$20:$E$21)*$B74)))</f>
        <v>0</v>
      </c>
      <c r="AA74" s="97">
        <f>IF(Option2="No",0,IF($A74&lt;ImplementationYear,0,IF($A74&gt;(ImplementationYear+(Appraisal_Period-1)),0,SUM(Quality!$E$22:$E$23)*$B74)))</f>
        <v>0</v>
      </c>
      <c r="AB74" s="97">
        <f>IF(Option2="No",0,IF($A74&lt;ImplementationYear,0,IF($A74&gt;(ImplementationYear+(Appraisal_Period-1)),0,SUM(Quality!$E$20:$E$21)*$B74)))</f>
        <v>0</v>
      </c>
      <c r="AC74" s="97">
        <f>IF(Option2="No",0,IF($A74&lt;ImplementationYear,0,IF($A74&gt;(ImplementationYear+(Appraisal_Period-1)),0,'Mode change'!$E$36*$B74)))</f>
        <v>0</v>
      </c>
      <c r="AD74" s="97">
        <f>IF(Option2="No",0,IF($A74&lt;ImplementationYear,0,IF($A74&gt;(ImplementationYear+(Appraisal_Period-1)),0,'Mode change'!$E$37*$B74)))</f>
        <v>0</v>
      </c>
      <c r="AE74" s="97">
        <f>IF(Option2="No",0,IF($A74&lt;ImplementationYear,0,IF($A74&gt;(ImplementationYear+(Appraisal_Period-1)),0,'Road safety'!$E$22*$B74)))</f>
        <v>0</v>
      </c>
      <c r="AF74" s="97">
        <f>IF(Option2="No",0,IF($A74&lt;ImplementationYear,0,IF($A74&gt;(ImplementationYear+(Appraisal_Period-1)),0,'Reduction in car usage'!$E$46*$B74)))</f>
        <v>0</v>
      </c>
      <c r="AG74" s="97">
        <f>IF(Option2="No",0,IF($A74&lt;ImplementationYear,0,IF($A74&gt;(ImplementationYear+(Appraisal_Period-1)),0,'Reduction in car usage'!$E$47*$B74)))</f>
        <v>0</v>
      </c>
      <c r="AH74" s="97">
        <f>IF(Option2="No",0,IF($A74&lt;ImplementationYear,0,IF($A74&gt;(ImplementationYear+(Appraisal_Period-1)),0,'Reduction in car usage'!$E$48*$B74)))</f>
        <v>0</v>
      </c>
      <c r="AJ74" s="94">
        <f>IF(Option3="No",0,IF($A74=ImplementationYear,('Project details'!$P$10-'Project details'!$D$10)*VLOOKUP(Year_cost_estimate,'Time-series parameters'!$B$11:$C$89,2,FALSE)*$B74*(1+Contingency),0))</f>
        <v>0</v>
      </c>
      <c r="AK74" s="94">
        <f>IF(Option3="No",0,IF($A74&lt;ImplementationYear,0,IF($A74&gt;(ImplementationYear+(Appraisal_Period-1)),0,('Project details'!$P$11-'Project details'!$D$11)*VLOOKUP(Year_cost_estimate,'Time-series parameters'!$B$11:$C$89,2,0))*$B74))</f>
        <v>0</v>
      </c>
      <c r="AL74" s="94">
        <f>IF(Option3="No",0,IF($A74=ImplementationYear,('Project details'!$P$12-'Project details'!$D$12)*VLOOKUP(Year_cost_estimate,'Time-series parameters'!$B$11:$C$89,2,FALSE)*$B74,0))</f>
        <v>0</v>
      </c>
      <c r="AM74" s="97">
        <f>IF(Option3="No",0,IF($A74&lt;ImplementationYear,0,IF($A74&gt;(ImplementationYear+(Appraisal_Period-1)),0,Health!$F$21*$B74)))</f>
        <v>0</v>
      </c>
      <c r="AN74" s="97">
        <f>IF(Option3="No",0,IF($A74&lt;ImplementationYear,0,IF($A74&gt;(ImplementationYear+(Appraisal_Period-1)),0,Health!$F$22*$B74)))</f>
        <v>0</v>
      </c>
      <c r="AO74" s="97">
        <f>IF(Option3="No",0,IF($A74&lt;ImplementationYear,0,IF($A74&gt;(ImplementationYear+(Appraisal_Period-1)),0,SUM('Travel time'!$F$22:$F$23)*$B74)))</f>
        <v>0</v>
      </c>
      <c r="AP74" s="97">
        <f>IF(Option3="No",0,IF($A74&lt;ImplementationYear,0,IF($A74&gt;(ImplementationYear+(Appraisal_Period-1)),0,SUM('Travel time'!$F$20:$F$21)*$B74)))</f>
        <v>0</v>
      </c>
      <c r="AQ74" s="97">
        <f>IF(Option3="No",0,IF($A74&lt;ImplementationYear,0,IF($A74&gt;(ImplementationYear+(Appraisal_Period-1)),0,SUM(Quality!$F$22:$F$23)*$B74)))</f>
        <v>0</v>
      </c>
      <c r="AR74" s="97">
        <f>IF(Option3="No",0,IF($A74&lt;ImplementationYear,0,IF($A74&gt;(ImplementationYear+(Appraisal_Period-1)),0,SUM(Quality!$F$20:$F$21)*$B74)))</f>
        <v>0</v>
      </c>
      <c r="AS74" s="97">
        <f>IF(Option3="No",0,IF($A74&lt;ImplementationYear,0,IF($A74&gt;(ImplementationYear+(Appraisal_Period-1)),0,'Mode change'!$F$36*$B74)))</f>
        <v>0</v>
      </c>
      <c r="AT74" s="97">
        <f>IF(Option3="No",0,IF($A74&lt;ImplementationYear,0,IF($A74&gt;(ImplementationYear+(Appraisal_Period-1)),0,'Mode change'!$F$37*$B74)))</f>
        <v>0</v>
      </c>
      <c r="AU74" s="97">
        <f>IF(Option3="No",0,IF($A74&lt;ImplementationYear,0,IF($A74&gt;(ImplementationYear+(Appraisal_Period-1)),0,'Road safety'!$F$22*$B74)))</f>
        <v>0</v>
      </c>
      <c r="AV74" s="97">
        <f>IF(Option3="No",0,IF($A74&lt;ImplementationYear,0,IF($A74&gt;(ImplementationYear+(Appraisal_Period-1)),0,'Reduction in car usage'!$F$46*$B74)))</f>
        <v>0</v>
      </c>
      <c r="AW74" s="97">
        <f>IF(Option3="No",0,IF($A74&lt;ImplementationYear,0,IF($A74&gt;(ImplementationYear+(Appraisal_Period-1)),0,'Reduction in car usage'!$F$47*$B74)))</f>
        <v>0</v>
      </c>
      <c r="AX74" s="97">
        <f>IF(Option3="No",0,IF($A74&lt;ImplementationYear,0,IF($A74&gt;(ImplementationYear+(Appraisal_Period-1)),0,'Reduction in car usage'!$F$48*$B74)))</f>
        <v>0</v>
      </c>
    </row>
    <row r="75" spans="1:50">
      <c r="A75" s="335">
        <v>2070</v>
      </c>
      <c r="B75" s="62">
        <f>VLOOKUP($A75,'Time-series parameters'!$E$11:$H$89,3,FALSE)</f>
        <v>2.5974270700544526E-2</v>
      </c>
      <c r="C75" s="89"/>
      <c r="D75" s="94">
        <f>IF(Option1="No",0,IF($A75=ImplementationYear,('Project details'!$H$10-'Project details'!$D$10)*VLOOKUP(Year_cost_estimate,'Time-series parameters'!$B$11:$C$89,2,FALSE)*$B75*(1+Contingency),0))</f>
        <v>0</v>
      </c>
      <c r="E75" s="94">
        <f>IF(Option1="No",0,IF($A75&lt;ImplementationYear,0,IF($A75&gt;(ImplementationYear+(Appraisal_Period-1)),0,('Project details'!$H$11-'Project details'!$D$11)*VLOOKUP(Year_cost_estimate,'Time-series parameters'!$B$11:$C$89,2,0))*$B75))</f>
        <v>0</v>
      </c>
      <c r="F75" s="94">
        <f>IF(Option1="No",0,IF($A75=ImplementationYear,('Project details'!$H$12-'Project details'!$D$12)*VLOOKUP(Year_cost_estimate,'Time-series parameters'!$B$11:$C$89,2,FALSE)*$B75,0))</f>
        <v>0</v>
      </c>
      <c r="G75" s="97">
        <f>IF(Option1="No",0,IF($A75&lt;ImplementationYear,0,IF($A75&gt;(ImplementationYear+(Appraisal_Period-1)),0,Health!$D$21*$B75)))</f>
        <v>0</v>
      </c>
      <c r="H75" s="97">
        <f>IF(Option1="No",0,IF($A75&lt;ImplementationYear,0,IF($A75&gt;(ImplementationYear+(Appraisal_Period-1)),0,Health!$D$22*$B75)))</f>
        <v>0</v>
      </c>
      <c r="I75" s="97">
        <f>IF(Option1="No",0,IF($A75&lt;ImplementationYear,0,IF($A75&gt;(ImplementationYear+(Appraisal_Period-1)),0,SUM('Travel time'!$D$22:$D$23)*$B75)))</f>
        <v>0</v>
      </c>
      <c r="J75" s="97">
        <f>IF(Option1="No",0,IF($A75&lt;ImplementationYear,0,IF($A75&gt;(ImplementationYear+(Appraisal_Period-1)),0,SUM('Travel time'!$D$20:$D$21)*$B75)))</f>
        <v>0</v>
      </c>
      <c r="K75" s="97">
        <f>IF(Option1="No",0,IF($A75&lt;ImplementationYear,0,IF($A75&gt;(ImplementationYear+(Appraisal_Period-1)),0,SUM(Quality!$D$22:$D$23)*$B75)))</f>
        <v>0</v>
      </c>
      <c r="L75" s="97">
        <f>IF(Option1="No",0,IF($A75&lt;ImplementationYear,0,IF($A75&gt;(ImplementationYear+(Appraisal_Period-1)),0,SUM(Quality!$D$20:$D$21)*$B75)))</f>
        <v>0</v>
      </c>
      <c r="M75" s="97">
        <f>IF(Option1="No",0,IF($A75&lt;ImplementationYear,0,IF($A75&gt;(ImplementationYear+(Appraisal_Period-1)),0,'Mode change'!$D$36*$B75)))</f>
        <v>0</v>
      </c>
      <c r="N75" s="97">
        <f>IF(Option1="No",0,IF($A75&lt;ImplementationYear,0,IF($A75&gt;(ImplementationYear+(Appraisal_Period-1)),0,'Mode change'!$D$37*$B75)))</f>
        <v>0</v>
      </c>
      <c r="O75" s="97">
        <f>IF(Option1="No",0,IF($A75&lt;ImplementationYear,0,IF($A75&gt;(ImplementationYear+(Appraisal_Period-1)),0,'Road safety'!$D$22*$B75)))</f>
        <v>0</v>
      </c>
      <c r="P75" s="97">
        <f>IF(Option1="No",0,IF($A75&lt;ImplementationYear,0,IF($A75&gt;(ImplementationYear+(Appraisal_Period-1)),0,'Reduction in car usage'!$D$46*$B75)))</f>
        <v>0</v>
      </c>
      <c r="Q75" s="97">
        <f>IF(Option1="No",0,IF($A75&lt;ImplementationYear,0,IF($A75&gt;(ImplementationYear+(Appraisal_Period-1)),0,'Reduction in car usage'!$D$47*$B75)))</f>
        <v>0</v>
      </c>
      <c r="R75" s="97">
        <f>IF(Option1="No",0,IF($A75&lt;ImplementationYear,0,IF($A75&gt;(ImplementationYear+(Appraisal_Period-1)),0,'Reduction in car usage'!$D$48*$B75)))</f>
        <v>0</v>
      </c>
      <c r="S75" s="92"/>
      <c r="T75" s="94">
        <f>IF(Option2="No",0,IF($A75=ImplementationYear,('Project details'!$L$10-'Project details'!$D$10)*VLOOKUP(Year_cost_estimate,'Time-series parameters'!$B$11:$C$89,2,FALSE)*$B75*(1+Contingency),0))</f>
        <v>0</v>
      </c>
      <c r="U75" s="94">
        <f>IF(Option2="No",0,IF($A75&lt;ImplementationYear,0,IF($A75&gt;(ImplementationYear+(Appraisal_Period-1)),0,('Project details'!$L$11-'Project details'!$D$11)*VLOOKUP(Year_cost_estimate,'Time-series parameters'!$B$11:$C$89,2,0))*$B75))</f>
        <v>0</v>
      </c>
      <c r="V75" s="94">
        <f>IF(Option2="No",0,IF($A75=ImplementationYear,('Project details'!$L$12-'Project details'!$D$12)*VLOOKUP(Year_cost_estimate,'Time-series parameters'!$B$11:$C$89,2,FALSE)*$B75,0))</f>
        <v>0</v>
      </c>
      <c r="W75" s="97">
        <f>IF(Option2="No",0,IF($A75&lt;ImplementationYear,0,IF($A75&gt;(ImplementationYear+(Appraisal_Period-1)),0,Health!$E$21*$B75)))</f>
        <v>0</v>
      </c>
      <c r="X75" s="97">
        <f>IF(Option2="No",0,IF($A75&lt;ImplementationYear,0,IF($A75&gt;(ImplementationYear+(Appraisal_Period-1)),0,Health!$E$22*$B75)))</f>
        <v>0</v>
      </c>
      <c r="Y75" s="97">
        <f>IF(Option2="No",0,IF($A75&lt;ImplementationYear,0,IF($A75&gt;(ImplementationYear+(Appraisal_Period-1)),0,SUM('Travel time'!$E$22:$E$23)*$B75)))</f>
        <v>0</v>
      </c>
      <c r="Z75" s="97">
        <f>IF(Option2="No",0,IF($A75&lt;ImplementationYear,0,IF($A75&gt;(ImplementationYear+(Appraisal_Period-1)),0,SUM('Travel time'!$E$20:$E$21)*$B75)))</f>
        <v>0</v>
      </c>
      <c r="AA75" s="97">
        <f>IF(Option2="No",0,IF($A75&lt;ImplementationYear,0,IF($A75&gt;(ImplementationYear+(Appraisal_Period-1)),0,SUM(Quality!$E$22:$E$23)*$B75)))</f>
        <v>0</v>
      </c>
      <c r="AB75" s="97">
        <f>IF(Option2="No",0,IF($A75&lt;ImplementationYear,0,IF($A75&gt;(ImplementationYear+(Appraisal_Period-1)),0,SUM(Quality!$E$20:$E$21)*$B75)))</f>
        <v>0</v>
      </c>
      <c r="AC75" s="97">
        <f>IF(Option2="No",0,IF($A75&lt;ImplementationYear,0,IF($A75&gt;(ImplementationYear+(Appraisal_Period-1)),0,'Mode change'!$E$36*$B75)))</f>
        <v>0</v>
      </c>
      <c r="AD75" s="97">
        <f>IF(Option2="No",0,IF($A75&lt;ImplementationYear,0,IF($A75&gt;(ImplementationYear+(Appraisal_Period-1)),0,'Mode change'!$E$37*$B75)))</f>
        <v>0</v>
      </c>
      <c r="AE75" s="97">
        <f>IF(Option2="No",0,IF($A75&lt;ImplementationYear,0,IF($A75&gt;(ImplementationYear+(Appraisal_Period-1)),0,'Road safety'!$E$22*$B75)))</f>
        <v>0</v>
      </c>
      <c r="AF75" s="97">
        <f>IF(Option2="No",0,IF($A75&lt;ImplementationYear,0,IF($A75&gt;(ImplementationYear+(Appraisal_Period-1)),0,'Reduction in car usage'!$E$46*$B75)))</f>
        <v>0</v>
      </c>
      <c r="AG75" s="97">
        <f>IF(Option2="No",0,IF($A75&lt;ImplementationYear,0,IF($A75&gt;(ImplementationYear+(Appraisal_Period-1)),0,'Reduction in car usage'!$E$47*$B75)))</f>
        <v>0</v>
      </c>
      <c r="AH75" s="97">
        <f>IF(Option2="No",0,IF($A75&lt;ImplementationYear,0,IF($A75&gt;(ImplementationYear+(Appraisal_Period-1)),0,'Reduction in car usage'!$E$48*$B75)))</f>
        <v>0</v>
      </c>
      <c r="AJ75" s="94">
        <f>IF(Option3="No",0,IF($A75=ImplementationYear,('Project details'!$P$10-'Project details'!$D$10)*VLOOKUP(Year_cost_estimate,'Time-series parameters'!$B$11:$C$89,2,FALSE)*$B75*(1+Contingency),0))</f>
        <v>0</v>
      </c>
      <c r="AK75" s="94">
        <f>IF(Option3="No",0,IF($A75&lt;ImplementationYear,0,IF($A75&gt;(ImplementationYear+(Appraisal_Period-1)),0,('Project details'!$P$11-'Project details'!$D$11)*VLOOKUP(Year_cost_estimate,'Time-series parameters'!$B$11:$C$89,2,0))*$B75))</f>
        <v>0</v>
      </c>
      <c r="AL75" s="94">
        <f>IF(Option3="No",0,IF($A75=ImplementationYear,('Project details'!$P$12-'Project details'!$D$12)*VLOOKUP(Year_cost_estimate,'Time-series parameters'!$B$11:$C$89,2,FALSE)*$B75,0))</f>
        <v>0</v>
      </c>
      <c r="AM75" s="97">
        <f>IF(Option3="No",0,IF($A75&lt;ImplementationYear,0,IF($A75&gt;(ImplementationYear+(Appraisal_Period-1)),0,Health!$F$21*$B75)))</f>
        <v>0</v>
      </c>
      <c r="AN75" s="97">
        <f>IF(Option3="No",0,IF($A75&lt;ImplementationYear,0,IF($A75&gt;(ImplementationYear+(Appraisal_Period-1)),0,Health!$F$22*$B75)))</f>
        <v>0</v>
      </c>
      <c r="AO75" s="97">
        <f>IF(Option3="No",0,IF($A75&lt;ImplementationYear,0,IF($A75&gt;(ImplementationYear+(Appraisal_Period-1)),0,SUM('Travel time'!$F$22:$F$23)*$B75)))</f>
        <v>0</v>
      </c>
      <c r="AP75" s="97">
        <f>IF(Option3="No",0,IF($A75&lt;ImplementationYear,0,IF($A75&gt;(ImplementationYear+(Appraisal_Period-1)),0,SUM('Travel time'!$F$20:$F$21)*$B75)))</f>
        <v>0</v>
      </c>
      <c r="AQ75" s="97">
        <f>IF(Option3="No",0,IF($A75&lt;ImplementationYear,0,IF($A75&gt;(ImplementationYear+(Appraisal_Period-1)),0,SUM(Quality!$F$22:$F$23)*$B75)))</f>
        <v>0</v>
      </c>
      <c r="AR75" s="97">
        <f>IF(Option3="No",0,IF($A75&lt;ImplementationYear,0,IF($A75&gt;(ImplementationYear+(Appraisal_Period-1)),0,SUM(Quality!$F$20:$F$21)*$B75)))</f>
        <v>0</v>
      </c>
      <c r="AS75" s="97">
        <f>IF(Option3="No",0,IF($A75&lt;ImplementationYear,0,IF($A75&gt;(ImplementationYear+(Appraisal_Period-1)),0,'Mode change'!$F$36*$B75)))</f>
        <v>0</v>
      </c>
      <c r="AT75" s="97">
        <f>IF(Option3="No",0,IF($A75&lt;ImplementationYear,0,IF($A75&gt;(ImplementationYear+(Appraisal_Period-1)),0,'Mode change'!$F$37*$B75)))</f>
        <v>0</v>
      </c>
      <c r="AU75" s="97">
        <f>IF(Option3="No",0,IF($A75&lt;ImplementationYear,0,IF($A75&gt;(ImplementationYear+(Appraisal_Period-1)),0,'Road safety'!$F$22*$B75)))</f>
        <v>0</v>
      </c>
      <c r="AV75" s="97">
        <f>IF(Option3="No",0,IF($A75&lt;ImplementationYear,0,IF($A75&gt;(ImplementationYear+(Appraisal_Period-1)),0,'Reduction in car usage'!$F$46*$B75)))</f>
        <v>0</v>
      </c>
      <c r="AW75" s="97">
        <f>IF(Option3="No",0,IF($A75&lt;ImplementationYear,0,IF($A75&gt;(ImplementationYear+(Appraisal_Period-1)),0,'Reduction in car usage'!$F$47*$B75)))</f>
        <v>0</v>
      </c>
      <c r="AX75" s="97">
        <f>IF(Option3="No",0,IF($A75&lt;ImplementationYear,0,IF($A75&gt;(ImplementationYear+(Appraisal_Period-1)),0,'Reduction in car usage'!$F$48*$B75)))</f>
        <v>0</v>
      </c>
    </row>
    <row r="76" spans="1:50">
      <c r="A76" s="335">
        <v>2071</v>
      </c>
      <c r="B76" s="62">
        <f>VLOOKUP($A76,'Time-series parameters'!$E$11:$H$89,3,FALSE)</f>
        <v>2.4415814458511854E-2</v>
      </c>
      <c r="C76" s="89"/>
      <c r="D76" s="94">
        <f>IF(Option1="No",0,IF($A76=ImplementationYear,('Project details'!$H$10-'Project details'!$D$10)*VLOOKUP(Year_cost_estimate,'Time-series parameters'!$B$11:$C$89,2,FALSE)*$B76*(1+Contingency),0))</f>
        <v>0</v>
      </c>
      <c r="E76" s="94">
        <f>IF(Option1="No",0,IF($A76&lt;ImplementationYear,0,IF($A76&gt;(ImplementationYear+(Appraisal_Period-1)),0,('Project details'!$H$11-'Project details'!$D$11)*VLOOKUP(Year_cost_estimate,'Time-series parameters'!$B$11:$C$89,2,0))*$B76))</f>
        <v>0</v>
      </c>
      <c r="F76" s="94">
        <f>IF(Option1="No",0,IF($A76=ImplementationYear,('Project details'!$H$12-'Project details'!$D$12)*VLOOKUP(Year_cost_estimate,'Time-series parameters'!$B$11:$C$89,2,FALSE)*$B76,0))</f>
        <v>0</v>
      </c>
      <c r="G76" s="97">
        <f>IF(Option1="No",0,IF($A76&lt;ImplementationYear,0,IF($A76&gt;(ImplementationYear+(Appraisal_Period-1)),0,Health!$D$21*$B76)))</f>
        <v>0</v>
      </c>
      <c r="H76" s="97">
        <f>IF(Option1="No",0,IF($A76&lt;ImplementationYear,0,IF($A76&gt;(ImplementationYear+(Appraisal_Period-1)),0,Health!$D$22*$B76)))</f>
        <v>0</v>
      </c>
      <c r="I76" s="97">
        <f>IF(Option1="No",0,IF($A76&lt;ImplementationYear,0,IF($A76&gt;(ImplementationYear+(Appraisal_Period-1)),0,SUM('Travel time'!$D$22:$D$23)*$B76)))</f>
        <v>0</v>
      </c>
      <c r="J76" s="97">
        <f>IF(Option1="No",0,IF($A76&lt;ImplementationYear,0,IF($A76&gt;(ImplementationYear+(Appraisal_Period-1)),0,SUM('Travel time'!$D$20:$D$21)*$B76)))</f>
        <v>0</v>
      </c>
      <c r="K76" s="97">
        <f>IF(Option1="No",0,IF($A76&lt;ImplementationYear,0,IF($A76&gt;(ImplementationYear+(Appraisal_Period-1)),0,SUM(Quality!$D$22:$D$23)*$B76)))</f>
        <v>0</v>
      </c>
      <c r="L76" s="97">
        <f>IF(Option1="No",0,IF($A76&lt;ImplementationYear,0,IF($A76&gt;(ImplementationYear+(Appraisal_Period-1)),0,SUM(Quality!$D$20:$D$21)*$B76)))</f>
        <v>0</v>
      </c>
      <c r="M76" s="97">
        <f>IF(Option1="No",0,IF($A76&lt;ImplementationYear,0,IF($A76&gt;(ImplementationYear+(Appraisal_Period-1)),0,'Mode change'!$D$36*$B76)))</f>
        <v>0</v>
      </c>
      <c r="N76" s="97">
        <f>IF(Option1="No",0,IF($A76&lt;ImplementationYear,0,IF($A76&gt;(ImplementationYear+(Appraisal_Period-1)),0,'Mode change'!$D$37*$B76)))</f>
        <v>0</v>
      </c>
      <c r="O76" s="97">
        <f>IF(Option1="No",0,IF($A76&lt;ImplementationYear,0,IF($A76&gt;(ImplementationYear+(Appraisal_Period-1)),0,'Road safety'!$D$22*$B76)))</f>
        <v>0</v>
      </c>
      <c r="P76" s="97">
        <f>IF(Option1="No",0,IF($A76&lt;ImplementationYear,0,IF($A76&gt;(ImplementationYear+(Appraisal_Period-1)),0,'Reduction in car usage'!$D$46*$B76)))</f>
        <v>0</v>
      </c>
      <c r="Q76" s="97">
        <f>IF(Option1="No",0,IF($A76&lt;ImplementationYear,0,IF($A76&gt;(ImplementationYear+(Appraisal_Period-1)),0,'Reduction in car usage'!$D$47*$B76)))</f>
        <v>0</v>
      </c>
      <c r="R76" s="97">
        <f>IF(Option1="No",0,IF($A76&lt;ImplementationYear,0,IF($A76&gt;(ImplementationYear+(Appraisal_Period-1)),0,'Reduction in car usage'!$D$48*$B76)))</f>
        <v>0</v>
      </c>
      <c r="S76" s="92"/>
      <c r="T76" s="94">
        <f>IF(Option2="No",0,IF($A76=ImplementationYear,('Project details'!$L$10-'Project details'!$D$10)*VLOOKUP(Year_cost_estimate,'Time-series parameters'!$B$11:$C$89,2,FALSE)*$B76*(1+Contingency),0))</f>
        <v>0</v>
      </c>
      <c r="U76" s="94">
        <f>IF(Option2="No",0,IF($A76&lt;ImplementationYear,0,IF($A76&gt;(ImplementationYear+(Appraisal_Period-1)),0,('Project details'!$L$11-'Project details'!$D$11)*VLOOKUP(Year_cost_estimate,'Time-series parameters'!$B$11:$C$89,2,0))*$B76))</f>
        <v>0</v>
      </c>
      <c r="V76" s="94">
        <f>IF(Option2="No",0,IF($A76=ImplementationYear,('Project details'!$L$12-'Project details'!$D$12)*VLOOKUP(Year_cost_estimate,'Time-series parameters'!$B$11:$C$89,2,FALSE)*$B76,0))</f>
        <v>0</v>
      </c>
      <c r="W76" s="97">
        <f>IF(Option2="No",0,IF($A76&lt;ImplementationYear,0,IF($A76&gt;(ImplementationYear+(Appraisal_Period-1)),0,Health!$E$21*$B76)))</f>
        <v>0</v>
      </c>
      <c r="X76" s="97">
        <f>IF(Option2="No",0,IF($A76&lt;ImplementationYear,0,IF($A76&gt;(ImplementationYear+(Appraisal_Period-1)),0,Health!$E$22*$B76)))</f>
        <v>0</v>
      </c>
      <c r="Y76" s="97">
        <f>IF(Option2="No",0,IF($A76&lt;ImplementationYear,0,IF($A76&gt;(ImplementationYear+(Appraisal_Period-1)),0,SUM('Travel time'!$E$22:$E$23)*$B76)))</f>
        <v>0</v>
      </c>
      <c r="Z76" s="97">
        <f>IF(Option2="No",0,IF($A76&lt;ImplementationYear,0,IF($A76&gt;(ImplementationYear+(Appraisal_Period-1)),0,SUM('Travel time'!$E$20:$E$21)*$B76)))</f>
        <v>0</v>
      </c>
      <c r="AA76" s="97">
        <f>IF(Option2="No",0,IF($A76&lt;ImplementationYear,0,IF($A76&gt;(ImplementationYear+(Appraisal_Period-1)),0,SUM(Quality!$E$22:$E$23)*$B76)))</f>
        <v>0</v>
      </c>
      <c r="AB76" s="97">
        <f>IF(Option2="No",0,IF($A76&lt;ImplementationYear,0,IF($A76&gt;(ImplementationYear+(Appraisal_Period-1)),0,SUM(Quality!$E$20:$E$21)*$B76)))</f>
        <v>0</v>
      </c>
      <c r="AC76" s="97">
        <f>IF(Option2="No",0,IF($A76&lt;ImplementationYear,0,IF($A76&gt;(ImplementationYear+(Appraisal_Period-1)),0,'Mode change'!$E$36*$B76)))</f>
        <v>0</v>
      </c>
      <c r="AD76" s="97">
        <f>IF(Option2="No",0,IF($A76&lt;ImplementationYear,0,IF($A76&gt;(ImplementationYear+(Appraisal_Period-1)),0,'Mode change'!$E$37*$B76)))</f>
        <v>0</v>
      </c>
      <c r="AE76" s="97">
        <f>IF(Option2="No",0,IF($A76&lt;ImplementationYear,0,IF($A76&gt;(ImplementationYear+(Appraisal_Period-1)),0,'Road safety'!$E$22*$B76)))</f>
        <v>0</v>
      </c>
      <c r="AF76" s="97">
        <f>IF(Option2="No",0,IF($A76&lt;ImplementationYear,0,IF($A76&gt;(ImplementationYear+(Appraisal_Period-1)),0,'Reduction in car usage'!$E$46*$B76)))</f>
        <v>0</v>
      </c>
      <c r="AG76" s="97">
        <f>IF(Option2="No",0,IF($A76&lt;ImplementationYear,0,IF($A76&gt;(ImplementationYear+(Appraisal_Period-1)),0,'Reduction in car usage'!$E$47*$B76)))</f>
        <v>0</v>
      </c>
      <c r="AH76" s="97">
        <f>IF(Option2="No",0,IF($A76&lt;ImplementationYear,0,IF($A76&gt;(ImplementationYear+(Appraisal_Period-1)),0,'Reduction in car usage'!$E$48*$B76)))</f>
        <v>0</v>
      </c>
      <c r="AJ76" s="94">
        <f>IF(Option3="No",0,IF($A76=ImplementationYear,('Project details'!$P$10-'Project details'!$D$10)*VLOOKUP(Year_cost_estimate,'Time-series parameters'!$B$11:$C$89,2,FALSE)*$B76*(1+Contingency),0))</f>
        <v>0</v>
      </c>
      <c r="AK76" s="94">
        <f>IF(Option3="No",0,IF($A76&lt;ImplementationYear,0,IF($A76&gt;(ImplementationYear+(Appraisal_Period-1)),0,('Project details'!$P$11-'Project details'!$D$11)*VLOOKUP(Year_cost_estimate,'Time-series parameters'!$B$11:$C$89,2,0))*$B76))</f>
        <v>0</v>
      </c>
      <c r="AL76" s="94">
        <f>IF(Option3="No",0,IF($A76=ImplementationYear,('Project details'!$P$12-'Project details'!$D$12)*VLOOKUP(Year_cost_estimate,'Time-series parameters'!$B$11:$C$89,2,FALSE)*$B76,0))</f>
        <v>0</v>
      </c>
      <c r="AM76" s="97">
        <f>IF(Option3="No",0,IF($A76&lt;ImplementationYear,0,IF($A76&gt;(ImplementationYear+(Appraisal_Period-1)),0,Health!$F$21*$B76)))</f>
        <v>0</v>
      </c>
      <c r="AN76" s="97">
        <f>IF(Option3="No",0,IF($A76&lt;ImplementationYear,0,IF($A76&gt;(ImplementationYear+(Appraisal_Period-1)),0,Health!$F$22*$B76)))</f>
        <v>0</v>
      </c>
      <c r="AO76" s="97">
        <f>IF(Option3="No",0,IF($A76&lt;ImplementationYear,0,IF($A76&gt;(ImplementationYear+(Appraisal_Period-1)),0,SUM('Travel time'!$F$22:$F$23)*$B76)))</f>
        <v>0</v>
      </c>
      <c r="AP76" s="97">
        <f>IF(Option3="No",0,IF($A76&lt;ImplementationYear,0,IF($A76&gt;(ImplementationYear+(Appraisal_Period-1)),0,SUM('Travel time'!$F$20:$F$21)*$B76)))</f>
        <v>0</v>
      </c>
      <c r="AQ76" s="97">
        <f>IF(Option3="No",0,IF($A76&lt;ImplementationYear,0,IF($A76&gt;(ImplementationYear+(Appraisal_Period-1)),0,SUM(Quality!$F$22:$F$23)*$B76)))</f>
        <v>0</v>
      </c>
      <c r="AR76" s="97">
        <f>IF(Option3="No",0,IF($A76&lt;ImplementationYear,0,IF($A76&gt;(ImplementationYear+(Appraisal_Period-1)),0,SUM(Quality!$F$20:$F$21)*$B76)))</f>
        <v>0</v>
      </c>
      <c r="AS76" s="97">
        <f>IF(Option3="No",0,IF($A76&lt;ImplementationYear,0,IF($A76&gt;(ImplementationYear+(Appraisal_Period-1)),0,'Mode change'!$F$36*$B76)))</f>
        <v>0</v>
      </c>
      <c r="AT76" s="97">
        <f>IF(Option3="No",0,IF($A76&lt;ImplementationYear,0,IF($A76&gt;(ImplementationYear+(Appraisal_Period-1)),0,'Mode change'!$F$37*$B76)))</f>
        <v>0</v>
      </c>
      <c r="AU76" s="97">
        <f>IF(Option3="No",0,IF($A76&lt;ImplementationYear,0,IF($A76&gt;(ImplementationYear+(Appraisal_Period-1)),0,'Road safety'!$F$22*$B76)))</f>
        <v>0</v>
      </c>
      <c r="AV76" s="97">
        <f>IF(Option3="No",0,IF($A76&lt;ImplementationYear,0,IF($A76&gt;(ImplementationYear+(Appraisal_Period-1)),0,'Reduction in car usage'!$F$46*$B76)))</f>
        <v>0</v>
      </c>
      <c r="AW76" s="97">
        <f>IF(Option3="No",0,IF($A76&lt;ImplementationYear,0,IF($A76&gt;(ImplementationYear+(Appraisal_Period-1)),0,'Reduction in car usage'!$F$47*$B76)))</f>
        <v>0</v>
      </c>
      <c r="AX76" s="97">
        <f>IF(Option3="No",0,IF($A76&lt;ImplementationYear,0,IF($A76&gt;(ImplementationYear+(Appraisal_Period-1)),0,'Reduction in car usage'!$F$48*$B76)))</f>
        <v>0</v>
      </c>
    </row>
    <row r="77" spans="1:50">
      <c r="A77" s="335">
        <v>2072</v>
      </c>
      <c r="B77" s="62">
        <f>VLOOKUP($A77,'Time-series parameters'!$E$11:$H$89,3,FALSE)</f>
        <v>2.2950865591001145E-2</v>
      </c>
      <c r="C77" s="89"/>
      <c r="D77" s="94">
        <f>IF(Option1="No",0,IF($A77=ImplementationYear,('Project details'!$H$10-'Project details'!$D$10)*VLOOKUP(Year_cost_estimate,'Time-series parameters'!$B$11:$C$89,2,FALSE)*$B77*(1+Contingency),0))</f>
        <v>0</v>
      </c>
      <c r="E77" s="94">
        <f>IF(Option1="No",0,IF($A77&lt;ImplementationYear,0,IF($A77&gt;(ImplementationYear+(Appraisal_Period-1)),0,('Project details'!$H$11-'Project details'!$D$11)*VLOOKUP(Year_cost_estimate,'Time-series parameters'!$B$11:$C$89,2,0))*$B77))</f>
        <v>0</v>
      </c>
      <c r="F77" s="94">
        <f>IF(Option1="No",0,IF($A77=ImplementationYear,('Project details'!$H$12-'Project details'!$D$12)*VLOOKUP(Year_cost_estimate,'Time-series parameters'!$B$11:$C$89,2,FALSE)*$B77,0))</f>
        <v>0</v>
      </c>
      <c r="G77" s="97">
        <f>IF(Option1="No",0,IF($A77&lt;ImplementationYear,0,IF($A77&gt;(ImplementationYear+(Appraisal_Period-1)),0,Health!$D$21*$B77)))</f>
        <v>0</v>
      </c>
      <c r="H77" s="97">
        <f>IF(Option1="No",0,IF($A77&lt;ImplementationYear,0,IF($A77&gt;(ImplementationYear+(Appraisal_Period-1)),0,Health!$D$22*$B77)))</f>
        <v>0</v>
      </c>
      <c r="I77" s="97">
        <f>IF(Option1="No",0,IF($A77&lt;ImplementationYear,0,IF($A77&gt;(ImplementationYear+(Appraisal_Period-1)),0,SUM('Travel time'!$D$22:$D$23)*$B77)))</f>
        <v>0</v>
      </c>
      <c r="J77" s="97">
        <f>IF(Option1="No",0,IF($A77&lt;ImplementationYear,0,IF($A77&gt;(ImplementationYear+(Appraisal_Period-1)),0,SUM('Travel time'!$D$20:$D$21)*$B77)))</f>
        <v>0</v>
      </c>
      <c r="K77" s="97">
        <f>IF(Option1="No",0,IF($A77&lt;ImplementationYear,0,IF($A77&gt;(ImplementationYear+(Appraisal_Period-1)),0,SUM(Quality!$D$22:$D$23)*$B77)))</f>
        <v>0</v>
      </c>
      <c r="L77" s="97">
        <f>IF(Option1="No",0,IF($A77&lt;ImplementationYear,0,IF($A77&gt;(ImplementationYear+(Appraisal_Period-1)),0,SUM(Quality!$D$20:$D$21)*$B77)))</f>
        <v>0</v>
      </c>
      <c r="M77" s="97">
        <f>IF(Option1="No",0,IF($A77&lt;ImplementationYear,0,IF($A77&gt;(ImplementationYear+(Appraisal_Period-1)),0,'Mode change'!$D$36*$B77)))</f>
        <v>0</v>
      </c>
      <c r="N77" s="97">
        <f>IF(Option1="No",0,IF($A77&lt;ImplementationYear,0,IF($A77&gt;(ImplementationYear+(Appraisal_Period-1)),0,'Mode change'!$D$37*$B77)))</f>
        <v>0</v>
      </c>
      <c r="O77" s="97">
        <f>IF(Option1="No",0,IF($A77&lt;ImplementationYear,0,IF($A77&gt;(ImplementationYear+(Appraisal_Period-1)),0,'Road safety'!$D$22*$B77)))</f>
        <v>0</v>
      </c>
      <c r="P77" s="97">
        <f>IF(Option1="No",0,IF($A77&lt;ImplementationYear,0,IF($A77&gt;(ImplementationYear+(Appraisal_Period-1)),0,'Reduction in car usage'!$D$46*$B77)))</f>
        <v>0</v>
      </c>
      <c r="Q77" s="97">
        <f>IF(Option1="No",0,IF($A77&lt;ImplementationYear,0,IF($A77&gt;(ImplementationYear+(Appraisal_Period-1)),0,'Reduction in car usage'!$D$47*$B77)))</f>
        <v>0</v>
      </c>
      <c r="R77" s="97">
        <f>IF(Option1="No",0,IF($A77&lt;ImplementationYear,0,IF($A77&gt;(ImplementationYear+(Appraisal_Period-1)),0,'Reduction in car usage'!$D$48*$B77)))</f>
        <v>0</v>
      </c>
      <c r="S77" s="92"/>
      <c r="T77" s="94">
        <f>IF(Option2="No",0,IF($A77=ImplementationYear,('Project details'!$L$10-'Project details'!$D$10)*VLOOKUP(Year_cost_estimate,'Time-series parameters'!$B$11:$C$89,2,FALSE)*$B77*(1+Contingency),0))</f>
        <v>0</v>
      </c>
      <c r="U77" s="94">
        <f>IF(Option2="No",0,IF($A77&lt;ImplementationYear,0,IF($A77&gt;(ImplementationYear+(Appraisal_Period-1)),0,('Project details'!$L$11-'Project details'!$D$11)*VLOOKUP(Year_cost_estimate,'Time-series parameters'!$B$11:$C$89,2,0))*$B77))</f>
        <v>0</v>
      </c>
      <c r="V77" s="94">
        <f>IF(Option2="No",0,IF($A77=ImplementationYear,('Project details'!$L$12-'Project details'!$D$12)*VLOOKUP(Year_cost_estimate,'Time-series parameters'!$B$11:$C$89,2,FALSE)*$B77,0))</f>
        <v>0</v>
      </c>
      <c r="W77" s="97">
        <f>IF(Option2="No",0,IF($A77&lt;ImplementationYear,0,IF($A77&gt;(ImplementationYear+(Appraisal_Period-1)),0,Health!$E$21*$B77)))</f>
        <v>0</v>
      </c>
      <c r="X77" s="97">
        <f>IF(Option2="No",0,IF($A77&lt;ImplementationYear,0,IF($A77&gt;(ImplementationYear+(Appraisal_Period-1)),0,Health!$E$22*$B77)))</f>
        <v>0</v>
      </c>
      <c r="Y77" s="97">
        <f>IF(Option2="No",0,IF($A77&lt;ImplementationYear,0,IF($A77&gt;(ImplementationYear+(Appraisal_Period-1)),0,SUM('Travel time'!$E$22:$E$23)*$B77)))</f>
        <v>0</v>
      </c>
      <c r="Z77" s="97">
        <f>IF(Option2="No",0,IF($A77&lt;ImplementationYear,0,IF($A77&gt;(ImplementationYear+(Appraisal_Period-1)),0,SUM('Travel time'!$E$20:$E$21)*$B77)))</f>
        <v>0</v>
      </c>
      <c r="AA77" s="97">
        <f>IF(Option2="No",0,IF($A77&lt;ImplementationYear,0,IF($A77&gt;(ImplementationYear+(Appraisal_Period-1)),0,SUM(Quality!$E$22:$E$23)*$B77)))</f>
        <v>0</v>
      </c>
      <c r="AB77" s="97">
        <f>IF(Option2="No",0,IF($A77&lt;ImplementationYear,0,IF($A77&gt;(ImplementationYear+(Appraisal_Period-1)),0,SUM(Quality!$E$20:$E$21)*$B77)))</f>
        <v>0</v>
      </c>
      <c r="AC77" s="97">
        <f>IF(Option2="No",0,IF($A77&lt;ImplementationYear,0,IF($A77&gt;(ImplementationYear+(Appraisal_Period-1)),0,'Mode change'!$E$36*$B77)))</f>
        <v>0</v>
      </c>
      <c r="AD77" s="97">
        <f>IF(Option2="No",0,IF($A77&lt;ImplementationYear,0,IF($A77&gt;(ImplementationYear+(Appraisal_Period-1)),0,'Mode change'!$E$37*$B77)))</f>
        <v>0</v>
      </c>
      <c r="AE77" s="97">
        <f>IF(Option2="No",0,IF($A77&lt;ImplementationYear,0,IF($A77&gt;(ImplementationYear+(Appraisal_Period-1)),0,'Road safety'!$E$22*$B77)))</f>
        <v>0</v>
      </c>
      <c r="AF77" s="97">
        <f>IF(Option2="No",0,IF($A77&lt;ImplementationYear,0,IF($A77&gt;(ImplementationYear+(Appraisal_Period-1)),0,'Reduction in car usage'!$E$46*$B77)))</f>
        <v>0</v>
      </c>
      <c r="AG77" s="97">
        <f>IF(Option2="No",0,IF($A77&lt;ImplementationYear,0,IF($A77&gt;(ImplementationYear+(Appraisal_Period-1)),0,'Reduction in car usage'!$E$47*$B77)))</f>
        <v>0</v>
      </c>
      <c r="AH77" s="97">
        <f>IF(Option2="No",0,IF($A77&lt;ImplementationYear,0,IF($A77&gt;(ImplementationYear+(Appraisal_Period-1)),0,'Reduction in car usage'!$E$48*$B77)))</f>
        <v>0</v>
      </c>
      <c r="AJ77" s="94">
        <f>IF(Option3="No",0,IF($A77=ImplementationYear,('Project details'!$P$10-'Project details'!$D$10)*VLOOKUP(Year_cost_estimate,'Time-series parameters'!$B$11:$C$89,2,FALSE)*$B77*(1+Contingency),0))</f>
        <v>0</v>
      </c>
      <c r="AK77" s="94">
        <f>IF(Option3="No",0,IF($A77&lt;ImplementationYear,0,IF($A77&gt;(ImplementationYear+(Appraisal_Period-1)),0,('Project details'!$P$11-'Project details'!$D$11)*VLOOKUP(Year_cost_estimate,'Time-series parameters'!$B$11:$C$89,2,0))*$B77))</f>
        <v>0</v>
      </c>
      <c r="AL77" s="94">
        <f>IF(Option3="No",0,IF($A77=ImplementationYear,('Project details'!$P$12-'Project details'!$D$12)*VLOOKUP(Year_cost_estimate,'Time-series parameters'!$B$11:$C$89,2,FALSE)*$B77,0))</f>
        <v>0</v>
      </c>
      <c r="AM77" s="97">
        <f>IF(Option3="No",0,IF($A77&lt;ImplementationYear,0,IF($A77&gt;(ImplementationYear+(Appraisal_Period-1)),0,Health!$F$21*$B77)))</f>
        <v>0</v>
      </c>
      <c r="AN77" s="97">
        <f>IF(Option3="No",0,IF($A77&lt;ImplementationYear,0,IF($A77&gt;(ImplementationYear+(Appraisal_Period-1)),0,Health!$F$22*$B77)))</f>
        <v>0</v>
      </c>
      <c r="AO77" s="97">
        <f>IF(Option3="No",0,IF($A77&lt;ImplementationYear,0,IF($A77&gt;(ImplementationYear+(Appraisal_Period-1)),0,SUM('Travel time'!$F$22:$F$23)*$B77)))</f>
        <v>0</v>
      </c>
      <c r="AP77" s="97">
        <f>IF(Option3="No",0,IF($A77&lt;ImplementationYear,0,IF($A77&gt;(ImplementationYear+(Appraisal_Period-1)),0,SUM('Travel time'!$F$20:$F$21)*$B77)))</f>
        <v>0</v>
      </c>
      <c r="AQ77" s="97">
        <f>IF(Option3="No",0,IF($A77&lt;ImplementationYear,0,IF($A77&gt;(ImplementationYear+(Appraisal_Period-1)),0,SUM(Quality!$F$22:$F$23)*$B77)))</f>
        <v>0</v>
      </c>
      <c r="AR77" s="97">
        <f>IF(Option3="No",0,IF($A77&lt;ImplementationYear,0,IF($A77&gt;(ImplementationYear+(Appraisal_Period-1)),0,SUM(Quality!$F$20:$F$21)*$B77)))</f>
        <v>0</v>
      </c>
      <c r="AS77" s="97">
        <f>IF(Option3="No",0,IF($A77&lt;ImplementationYear,0,IF($A77&gt;(ImplementationYear+(Appraisal_Period-1)),0,'Mode change'!$F$36*$B77)))</f>
        <v>0</v>
      </c>
      <c r="AT77" s="97">
        <f>IF(Option3="No",0,IF($A77&lt;ImplementationYear,0,IF($A77&gt;(ImplementationYear+(Appraisal_Period-1)),0,'Mode change'!$F$37*$B77)))</f>
        <v>0</v>
      </c>
      <c r="AU77" s="97">
        <f>IF(Option3="No",0,IF($A77&lt;ImplementationYear,0,IF($A77&gt;(ImplementationYear+(Appraisal_Period-1)),0,'Road safety'!$F$22*$B77)))</f>
        <v>0</v>
      </c>
      <c r="AV77" s="97">
        <f>IF(Option3="No",0,IF($A77&lt;ImplementationYear,0,IF($A77&gt;(ImplementationYear+(Appraisal_Period-1)),0,'Reduction in car usage'!$F$46*$B77)))</f>
        <v>0</v>
      </c>
      <c r="AW77" s="97">
        <f>IF(Option3="No",0,IF($A77&lt;ImplementationYear,0,IF($A77&gt;(ImplementationYear+(Appraisal_Period-1)),0,'Reduction in car usage'!$F$47*$B77)))</f>
        <v>0</v>
      </c>
      <c r="AX77" s="97">
        <f>IF(Option3="No",0,IF($A77&lt;ImplementationYear,0,IF($A77&gt;(ImplementationYear+(Appraisal_Period-1)),0,'Reduction in car usage'!$F$48*$B77)))</f>
        <v>0</v>
      </c>
    </row>
    <row r="78" spans="1:50">
      <c r="A78" s="335">
        <v>2073</v>
      </c>
      <c r="B78" s="62">
        <f>VLOOKUP($A78,'Time-series parameters'!$E$11:$H$89,3,FALSE)</f>
        <v>2.1573813655541077E-2</v>
      </c>
      <c r="C78" s="89"/>
      <c r="D78" s="94">
        <f>IF(Option1="No",0,IF($A78=ImplementationYear,('Project details'!$H$10-'Project details'!$D$10)*VLOOKUP(Year_cost_estimate,'Time-series parameters'!$B$11:$C$89,2,FALSE)*$B78*(1+Contingency),0))</f>
        <v>0</v>
      </c>
      <c r="E78" s="94">
        <f>IF(Option1="No",0,IF($A78&lt;ImplementationYear,0,IF($A78&gt;(ImplementationYear+(Appraisal_Period-1)),0,('Project details'!$H$11-'Project details'!$D$11)*VLOOKUP(Year_cost_estimate,'Time-series parameters'!$B$11:$C$89,2,0))*$B78))</f>
        <v>0</v>
      </c>
      <c r="F78" s="94">
        <f>IF(Option1="No",0,IF($A78=ImplementationYear,('Project details'!$H$12-'Project details'!$D$12)*VLOOKUP(Year_cost_estimate,'Time-series parameters'!$B$11:$C$89,2,FALSE)*$B78,0))</f>
        <v>0</v>
      </c>
      <c r="G78" s="97">
        <f>IF(Option1="No",0,IF($A78&lt;ImplementationYear,0,IF($A78&gt;(ImplementationYear+(Appraisal_Period-1)),0,Health!$D$21*$B78)))</f>
        <v>0</v>
      </c>
      <c r="H78" s="97">
        <f>IF(Option1="No",0,IF($A78&lt;ImplementationYear,0,IF($A78&gt;(ImplementationYear+(Appraisal_Period-1)),0,Health!$D$22*$B78)))</f>
        <v>0</v>
      </c>
      <c r="I78" s="97">
        <f>IF(Option1="No",0,IF($A78&lt;ImplementationYear,0,IF($A78&gt;(ImplementationYear+(Appraisal_Period-1)),0,SUM('Travel time'!$D$22:$D$23)*$B78)))</f>
        <v>0</v>
      </c>
      <c r="J78" s="97">
        <f>IF(Option1="No",0,IF($A78&lt;ImplementationYear,0,IF($A78&gt;(ImplementationYear+(Appraisal_Period-1)),0,SUM('Travel time'!$D$20:$D$21)*$B78)))</f>
        <v>0</v>
      </c>
      <c r="K78" s="97">
        <f>IF(Option1="No",0,IF($A78&lt;ImplementationYear,0,IF($A78&gt;(ImplementationYear+(Appraisal_Period-1)),0,SUM(Quality!$D$22:$D$23)*$B78)))</f>
        <v>0</v>
      </c>
      <c r="L78" s="97">
        <f>IF(Option1="No",0,IF($A78&lt;ImplementationYear,0,IF($A78&gt;(ImplementationYear+(Appraisal_Period-1)),0,SUM(Quality!$D$20:$D$21)*$B78)))</f>
        <v>0</v>
      </c>
      <c r="M78" s="97">
        <f>IF(Option1="No",0,IF($A78&lt;ImplementationYear,0,IF($A78&gt;(ImplementationYear+(Appraisal_Period-1)),0,'Mode change'!$D$36*$B78)))</f>
        <v>0</v>
      </c>
      <c r="N78" s="97">
        <f>IF(Option1="No",0,IF($A78&lt;ImplementationYear,0,IF($A78&gt;(ImplementationYear+(Appraisal_Period-1)),0,'Mode change'!$D$37*$B78)))</f>
        <v>0</v>
      </c>
      <c r="O78" s="97">
        <f>IF(Option1="No",0,IF($A78&lt;ImplementationYear,0,IF($A78&gt;(ImplementationYear+(Appraisal_Period-1)),0,'Road safety'!$D$22*$B78)))</f>
        <v>0</v>
      </c>
      <c r="P78" s="97">
        <f>IF(Option1="No",0,IF($A78&lt;ImplementationYear,0,IF($A78&gt;(ImplementationYear+(Appraisal_Period-1)),0,'Reduction in car usage'!$D$46*$B78)))</f>
        <v>0</v>
      </c>
      <c r="Q78" s="97">
        <f>IF(Option1="No",0,IF($A78&lt;ImplementationYear,0,IF($A78&gt;(ImplementationYear+(Appraisal_Period-1)),0,'Reduction in car usage'!$D$47*$B78)))</f>
        <v>0</v>
      </c>
      <c r="R78" s="97">
        <f>IF(Option1="No",0,IF($A78&lt;ImplementationYear,0,IF($A78&gt;(ImplementationYear+(Appraisal_Period-1)),0,'Reduction in car usage'!$D$48*$B78)))</f>
        <v>0</v>
      </c>
      <c r="S78" s="92"/>
      <c r="T78" s="94">
        <f>IF(Option2="No",0,IF($A78=ImplementationYear,('Project details'!$L$10-'Project details'!$D$10)*VLOOKUP(Year_cost_estimate,'Time-series parameters'!$B$11:$C$89,2,FALSE)*$B78*(1+Contingency),0))</f>
        <v>0</v>
      </c>
      <c r="U78" s="94">
        <f>IF(Option2="No",0,IF($A78&lt;ImplementationYear,0,IF($A78&gt;(ImplementationYear+(Appraisal_Period-1)),0,('Project details'!$L$11-'Project details'!$D$11)*VLOOKUP(Year_cost_estimate,'Time-series parameters'!$B$11:$C$89,2,0))*$B78))</f>
        <v>0</v>
      </c>
      <c r="V78" s="94">
        <f>IF(Option2="No",0,IF($A78=ImplementationYear,('Project details'!$L$12-'Project details'!$D$12)*VLOOKUP(Year_cost_estimate,'Time-series parameters'!$B$11:$C$89,2,FALSE)*$B78,0))</f>
        <v>0</v>
      </c>
      <c r="W78" s="97">
        <f>IF(Option2="No",0,IF($A78&lt;ImplementationYear,0,IF($A78&gt;(ImplementationYear+(Appraisal_Period-1)),0,Health!$E$21*$B78)))</f>
        <v>0</v>
      </c>
      <c r="X78" s="97">
        <f>IF(Option2="No",0,IF($A78&lt;ImplementationYear,0,IF($A78&gt;(ImplementationYear+(Appraisal_Period-1)),0,Health!$E$22*$B78)))</f>
        <v>0</v>
      </c>
      <c r="Y78" s="97">
        <f>IF(Option2="No",0,IF($A78&lt;ImplementationYear,0,IF($A78&gt;(ImplementationYear+(Appraisal_Period-1)),0,SUM('Travel time'!$E$22:$E$23)*$B78)))</f>
        <v>0</v>
      </c>
      <c r="Z78" s="97">
        <f>IF(Option2="No",0,IF($A78&lt;ImplementationYear,0,IF($A78&gt;(ImplementationYear+(Appraisal_Period-1)),0,SUM('Travel time'!$E$20:$E$21)*$B78)))</f>
        <v>0</v>
      </c>
      <c r="AA78" s="97">
        <f>IF(Option2="No",0,IF($A78&lt;ImplementationYear,0,IF($A78&gt;(ImplementationYear+(Appraisal_Period-1)),0,SUM(Quality!$E$22:$E$23)*$B78)))</f>
        <v>0</v>
      </c>
      <c r="AB78" s="97">
        <f>IF(Option2="No",0,IF($A78&lt;ImplementationYear,0,IF($A78&gt;(ImplementationYear+(Appraisal_Period-1)),0,SUM(Quality!$E$20:$E$21)*$B78)))</f>
        <v>0</v>
      </c>
      <c r="AC78" s="97">
        <f>IF(Option2="No",0,IF($A78&lt;ImplementationYear,0,IF($A78&gt;(ImplementationYear+(Appraisal_Period-1)),0,'Mode change'!$E$36*$B78)))</f>
        <v>0</v>
      </c>
      <c r="AD78" s="97">
        <f>IF(Option2="No",0,IF($A78&lt;ImplementationYear,0,IF($A78&gt;(ImplementationYear+(Appraisal_Period-1)),0,'Mode change'!$E$37*$B78)))</f>
        <v>0</v>
      </c>
      <c r="AE78" s="97">
        <f>IF(Option2="No",0,IF($A78&lt;ImplementationYear,0,IF($A78&gt;(ImplementationYear+(Appraisal_Period-1)),0,'Road safety'!$E$22*$B78)))</f>
        <v>0</v>
      </c>
      <c r="AF78" s="97">
        <f>IF(Option2="No",0,IF($A78&lt;ImplementationYear,0,IF($A78&gt;(ImplementationYear+(Appraisal_Period-1)),0,'Reduction in car usage'!$E$46*$B78)))</f>
        <v>0</v>
      </c>
      <c r="AG78" s="97">
        <f>IF(Option2="No",0,IF($A78&lt;ImplementationYear,0,IF($A78&gt;(ImplementationYear+(Appraisal_Period-1)),0,'Reduction in car usage'!$E$47*$B78)))</f>
        <v>0</v>
      </c>
      <c r="AH78" s="97">
        <f>IF(Option2="No",0,IF($A78&lt;ImplementationYear,0,IF($A78&gt;(ImplementationYear+(Appraisal_Period-1)),0,'Reduction in car usage'!$E$48*$B78)))</f>
        <v>0</v>
      </c>
      <c r="AJ78" s="94">
        <f>IF(Option3="No",0,IF($A78=ImplementationYear,('Project details'!$P$10-'Project details'!$D$10)*VLOOKUP(Year_cost_estimate,'Time-series parameters'!$B$11:$C$89,2,FALSE)*$B78*(1+Contingency),0))</f>
        <v>0</v>
      </c>
      <c r="AK78" s="94">
        <f>IF(Option3="No",0,IF($A78&lt;ImplementationYear,0,IF($A78&gt;(ImplementationYear+(Appraisal_Period-1)),0,('Project details'!$P$11-'Project details'!$D$11)*VLOOKUP(Year_cost_estimate,'Time-series parameters'!$B$11:$C$89,2,0))*$B78))</f>
        <v>0</v>
      </c>
      <c r="AL78" s="94">
        <f>IF(Option3="No",0,IF($A78=ImplementationYear,('Project details'!$P$12-'Project details'!$D$12)*VLOOKUP(Year_cost_estimate,'Time-series parameters'!$B$11:$C$89,2,FALSE)*$B78,0))</f>
        <v>0</v>
      </c>
      <c r="AM78" s="97">
        <f>IF(Option3="No",0,IF($A78&lt;ImplementationYear,0,IF($A78&gt;(ImplementationYear+(Appraisal_Period-1)),0,Health!$F$21*$B78)))</f>
        <v>0</v>
      </c>
      <c r="AN78" s="97">
        <f>IF(Option3="No",0,IF($A78&lt;ImplementationYear,0,IF($A78&gt;(ImplementationYear+(Appraisal_Period-1)),0,Health!$F$22*$B78)))</f>
        <v>0</v>
      </c>
      <c r="AO78" s="97">
        <f>IF(Option3="No",0,IF($A78&lt;ImplementationYear,0,IF($A78&gt;(ImplementationYear+(Appraisal_Period-1)),0,SUM('Travel time'!$F$22:$F$23)*$B78)))</f>
        <v>0</v>
      </c>
      <c r="AP78" s="97">
        <f>IF(Option3="No",0,IF($A78&lt;ImplementationYear,0,IF($A78&gt;(ImplementationYear+(Appraisal_Period-1)),0,SUM('Travel time'!$F$20:$F$21)*$B78)))</f>
        <v>0</v>
      </c>
      <c r="AQ78" s="97">
        <f>IF(Option3="No",0,IF($A78&lt;ImplementationYear,0,IF($A78&gt;(ImplementationYear+(Appraisal_Period-1)),0,SUM(Quality!$F$22:$F$23)*$B78)))</f>
        <v>0</v>
      </c>
      <c r="AR78" s="97">
        <f>IF(Option3="No",0,IF($A78&lt;ImplementationYear,0,IF($A78&gt;(ImplementationYear+(Appraisal_Period-1)),0,SUM(Quality!$F$20:$F$21)*$B78)))</f>
        <v>0</v>
      </c>
      <c r="AS78" s="97">
        <f>IF(Option3="No",0,IF($A78&lt;ImplementationYear,0,IF($A78&gt;(ImplementationYear+(Appraisal_Period-1)),0,'Mode change'!$F$36*$B78)))</f>
        <v>0</v>
      </c>
      <c r="AT78" s="97">
        <f>IF(Option3="No",0,IF($A78&lt;ImplementationYear,0,IF($A78&gt;(ImplementationYear+(Appraisal_Period-1)),0,'Mode change'!$F$37*$B78)))</f>
        <v>0</v>
      </c>
      <c r="AU78" s="97">
        <f>IF(Option3="No",0,IF($A78&lt;ImplementationYear,0,IF($A78&gt;(ImplementationYear+(Appraisal_Period-1)),0,'Road safety'!$F$22*$B78)))</f>
        <v>0</v>
      </c>
      <c r="AV78" s="97">
        <f>IF(Option3="No",0,IF($A78&lt;ImplementationYear,0,IF($A78&gt;(ImplementationYear+(Appraisal_Period-1)),0,'Reduction in car usage'!$F$46*$B78)))</f>
        <v>0</v>
      </c>
      <c r="AW78" s="97">
        <f>IF(Option3="No",0,IF($A78&lt;ImplementationYear,0,IF($A78&gt;(ImplementationYear+(Appraisal_Period-1)),0,'Reduction in car usage'!$F$47*$B78)))</f>
        <v>0</v>
      </c>
      <c r="AX78" s="97">
        <f>IF(Option3="No",0,IF($A78&lt;ImplementationYear,0,IF($A78&gt;(ImplementationYear+(Appraisal_Period-1)),0,'Reduction in car usage'!$F$48*$B78)))</f>
        <v>0</v>
      </c>
    </row>
    <row r="79" spans="1:50">
      <c r="A79" s="335">
        <v>2074</v>
      </c>
      <c r="B79" s="62">
        <f>VLOOKUP($A79,'Time-series parameters'!$E$11:$H$89,3,FALSE)</f>
        <v>2.0279384836208614E-2</v>
      </c>
      <c r="C79" s="89"/>
      <c r="D79" s="94">
        <f>IF(Option1="No",0,IF($A79=ImplementationYear,('Project details'!$H$10-'Project details'!$D$10)*VLOOKUP(Year_cost_estimate,'Time-series parameters'!$B$11:$C$89,2,FALSE)*$B79*(1+Contingency),0))</f>
        <v>0</v>
      </c>
      <c r="E79" s="94">
        <f>IF(Option1="No",0,IF($A79&lt;ImplementationYear,0,IF($A79&gt;(ImplementationYear+(Appraisal_Period-1)),0,('Project details'!$H$11-'Project details'!$D$11)*VLOOKUP(Year_cost_estimate,'Time-series parameters'!$B$11:$C$89,2,0))*$B79))</f>
        <v>0</v>
      </c>
      <c r="F79" s="94">
        <f>IF(Option1="No",0,IF($A79=ImplementationYear,('Project details'!$H$12-'Project details'!$D$12)*VLOOKUP(Year_cost_estimate,'Time-series parameters'!$B$11:$C$89,2,FALSE)*$B79,0))</f>
        <v>0</v>
      </c>
      <c r="G79" s="97">
        <f>IF(Option1="No",0,IF($A79&lt;ImplementationYear,0,IF($A79&gt;(ImplementationYear+(Appraisal_Period-1)),0,Health!$D$21*$B79)))</f>
        <v>0</v>
      </c>
      <c r="H79" s="97">
        <f>IF(Option1="No",0,IF($A79&lt;ImplementationYear,0,IF($A79&gt;(ImplementationYear+(Appraisal_Period-1)),0,Health!$D$22*$B79)))</f>
        <v>0</v>
      </c>
      <c r="I79" s="97">
        <f>IF(Option1="No",0,IF($A79&lt;ImplementationYear,0,IF($A79&gt;(ImplementationYear+(Appraisal_Period-1)),0,SUM('Travel time'!$D$22:$D$23)*$B79)))</f>
        <v>0</v>
      </c>
      <c r="J79" s="97">
        <f>IF(Option1="No",0,IF($A79&lt;ImplementationYear,0,IF($A79&gt;(ImplementationYear+(Appraisal_Period-1)),0,SUM('Travel time'!$D$20:$D$21)*$B79)))</f>
        <v>0</v>
      </c>
      <c r="K79" s="97">
        <f>IF(Option1="No",0,IF($A79&lt;ImplementationYear,0,IF($A79&gt;(ImplementationYear+(Appraisal_Period-1)),0,SUM(Quality!$D$22:$D$23)*$B79)))</f>
        <v>0</v>
      </c>
      <c r="L79" s="97">
        <f>IF(Option1="No",0,IF($A79&lt;ImplementationYear,0,IF($A79&gt;(ImplementationYear+(Appraisal_Period-1)),0,SUM(Quality!$D$20:$D$21)*$B79)))</f>
        <v>0</v>
      </c>
      <c r="M79" s="97">
        <f>IF(Option1="No",0,IF($A79&lt;ImplementationYear,0,IF($A79&gt;(ImplementationYear+(Appraisal_Period-1)),0,'Mode change'!$D$36*$B79)))</f>
        <v>0</v>
      </c>
      <c r="N79" s="97">
        <f>IF(Option1="No",0,IF($A79&lt;ImplementationYear,0,IF($A79&gt;(ImplementationYear+(Appraisal_Period-1)),0,'Mode change'!$D$37*$B79)))</f>
        <v>0</v>
      </c>
      <c r="O79" s="97">
        <f>IF(Option1="No",0,IF($A79&lt;ImplementationYear,0,IF($A79&gt;(ImplementationYear+(Appraisal_Period-1)),0,'Road safety'!$D$22*$B79)))</f>
        <v>0</v>
      </c>
      <c r="P79" s="97">
        <f>IF(Option1="No",0,IF($A79&lt;ImplementationYear,0,IF($A79&gt;(ImplementationYear+(Appraisal_Period-1)),0,'Reduction in car usage'!$D$46*$B79)))</f>
        <v>0</v>
      </c>
      <c r="Q79" s="97">
        <f>IF(Option1="No",0,IF($A79&lt;ImplementationYear,0,IF($A79&gt;(ImplementationYear+(Appraisal_Period-1)),0,'Reduction in car usage'!$D$47*$B79)))</f>
        <v>0</v>
      </c>
      <c r="R79" s="97">
        <f>IF(Option1="No",0,IF($A79&lt;ImplementationYear,0,IF($A79&gt;(ImplementationYear+(Appraisal_Period-1)),0,'Reduction in car usage'!$D$48*$B79)))</f>
        <v>0</v>
      </c>
      <c r="S79" s="92"/>
      <c r="T79" s="94">
        <f>IF(Option2="No",0,IF($A79=ImplementationYear,('Project details'!$L$10-'Project details'!$D$10)*VLOOKUP(Year_cost_estimate,'Time-series parameters'!$B$11:$C$89,2,FALSE)*$B79*(1+Contingency),0))</f>
        <v>0</v>
      </c>
      <c r="U79" s="94">
        <f>IF(Option2="No",0,IF($A79&lt;ImplementationYear,0,IF($A79&gt;(ImplementationYear+(Appraisal_Period-1)),0,('Project details'!$L$11-'Project details'!$D$11)*VLOOKUP(Year_cost_estimate,'Time-series parameters'!$B$11:$C$89,2,0))*$B79))</f>
        <v>0</v>
      </c>
      <c r="V79" s="94">
        <f>IF(Option2="No",0,IF($A79=ImplementationYear,('Project details'!$L$12-'Project details'!$D$12)*VLOOKUP(Year_cost_estimate,'Time-series parameters'!$B$11:$C$89,2,FALSE)*$B79,0))</f>
        <v>0</v>
      </c>
      <c r="W79" s="97">
        <f>IF(Option2="No",0,IF($A79&lt;ImplementationYear,0,IF($A79&gt;(ImplementationYear+(Appraisal_Period-1)),0,Health!$E$21*$B79)))</f>
        <v>0</v>
      </c>
      <c r="X79" s="97">
        <f>IF(Option2="No",0,IF($A79&lt;ImplementationYear,0,IF($A79&gt;(ImplementationYear+(Appraisal_Period-1)),0,Health!$E$22*$B79)))</f>
        <v>0</v>
      </c>
      <c r="Y79" s="97">
        <f>IF(Option2="No",0,IF($A79&lt;ImplementationYear,0,IF($A79&gt;(ImplementationYear+(Appraisal_Period-1)),0,SUM('Travel time'!$E$22:$E$23)*$B79)))</f>
        <v>0</v>
      </c>
      <c r="Z79" s="97">
        <f>IF(Option2="No",0,IF($A79&lt;ImplementationYear,0,IF($A79&gt;(ImplementationYear+(Appraisal_Period-1)),0,SUM('Travel time'!$E$20:$E$21)*$B79)))</f>
        <v>0</v>
      </c>
      <c r="AA79" s="97">
        <f>IF(Option2="No",0,IF($A79&lt;ImplementationYear,0,IF($A79&gt;(ImplementationYear+(Appraisal_Period-1)),0,SUM(Quality!$E$22:$E$23)*$B79)))</f>
        <v>0</v>
      </c>
      <c r="AB79" s="97">
        <f>IF(Option2="No",0,IF($A79&lt;ImplementationYear,0,IF($A79&gt;(ImplementationYear+(Appraisal_Period-1)),0,SUM(Quality!$E$20:$E$21)*$B79)))</f>
        <v>0</v>
      </c>
      <c r="AC79" s="97">
        <f>IF(Option2="No",0,IF($A79&lt;ImplementationYear,0,IF($A79&gt;(ImplementationYear+(Appraisal_Period-1)),0,'Mode change'!$E$36*$B79)))</f>
        <v>0</v>
      </c>
      <c r="AD79" s="97">
        <f>IF(Option2="No",0,IF($A79&lt;ImplementationYear,0,IF($A79&gt;(ImplementationYear+(Appraisal_Period-1)),0,'Mode change'!$E$37*$B79)))</f>
        <v>0</v>
      </c>
      <c r="AE79" s="97">
        <f>IF(Option2="No",0,IF($A79&lt;ImplementationYear,0,IF($A79&gt;(ImplementationYear+(Appraisal_Period-1)),0,'Road safety'!$E$22*$B79)))</f>
        <v>0</v>
      </c>
      <c r="AF79" s="97">
        <f>IF(Option2="No",0,IF($A79&lt;ImplementationYear,0,IF($A79&gt;(ImplementationYear+(Appraisal_Period-1)),0,'Reduction in car usage'!$E$46*$B79)))</f>
        <v>0</v>
      </c>
      <c r="AG79" s="97">
        <f>IF(Option2="No",0,IF($A79&lt;ImplementationYear,0,IF($A79&gt;(ImplementationYear+(Appraisal_Period-1)),0,'Reduction in car usage'!$E$47*$B79)))</f>
        <v>0</v>
      </c>
      <c r="AH79" s="97">
        <f>IF(Option2="No",0,IF($A79&lt;ImplementationYear,0,IF($A79&gt;(ImplementationYear+(Appraisal_Period-1)),0,'Reduction in car usage'!$E$48*$B79)))</f>
        <v>0</v>
      </c>
      <c r="AJ79" s="94">
        <f>IF(Option3="No",0,IF($A79=ImplementationYear,('Project details'!$P$10-'Project details'!$D$10)*VLOOKUP(Year_cost_estimate,'Time-series parameters'!$B$11:$C$89,2,FALSE)*$B79*(1+Contingency),0))</f>
        <v>0</v>
      </c>
      <c r="AK79" s="94">
        <f>IF(Option3="No",0,IF($A79&lt;ImplementationYear,0,IF($A79&gt;(ImplementationYear+(Appraisal_Period-1)),0,('Project details'!$P$11-'Project details'!$D$11)*VLOOKUP(Year_cost_estimate,'Time-series parameters'!$B$11:$C$89,2,0))*$B79))</f>
        <v>0</v>
      </c>
      <c r="AL79" s="94">
        <f>IF(Option3="No",0,IF($A79=ImplementationYear,('Project details'!$P$12-'Project details'!$D$12)*VLOOKUP(Year_cost_estimate,'Time-series parameters'!$B$11:$C$89,2,FALSE)*$B79,0))</f>
        <v>0</v>
      </c>
      <c r="AM79" s="97">
        <f>IF(Option3="No",0,IF($A79&lt;ImplementationYear,0,IF($A79&gt;(ImplementationYear+(Appraisal_Period-1)),0,Health!$F$21*$B79)))</f>
        <v>0</v>
      </c>
      <c r="AN79" s="97">
        <f>IF(Option3="No",0,IF($A79&lt;ImplementationYear,0,IF($A79&gt;(ImplementationYear+(Appraisal_Period-1)),0,Health!$F$22*$B79)))</f>
        <v>0</v>
      </c>
      <c r="AO79" s="97">
        <f>IF(Option3="No",0,IF($A79&lt;ImplementationYear,0,IF($A79&gt;(ImplementationYear+(Appraisal_Period-1)),0,SUM('Travel time'!$F$22:$F$23)*$B79)))</f>
        <v>0</v>
      </c>
      <c r="AP79" s="97">
        <f>IF(Option3="No",0,IF($A79&lt;ImplementationYear,0,IF($A79&gt;(ImplementationYear+(Appraisal_Period-1)),0,SUM('Travel time'!$F$20:$F$21)*$B79)))</f>
        <v>0</v>
      </c>
      <c r="AQ79" s="97">
        <f>IF(Option3="No",0,IF($A79&lt;ImplementationYear,0,IF($A79&gt;(ImplementationYear+(Appraisal_Period-1)),0,SUM(Quality!$F$22:$F$23)*$B79)))</f>
        <v>0</v>
      </c>
      <c r="AR79" s="97">
        <f>IF(Option3="No",0,IF($A79&lt;ImplementationYear,0,IF($A79&gt;(ImplementationYear+(Appraisal_Period-1)),0,SUM(Quality!$F$20:$F$21)*$B79)))</f>
        <v>0</v>
      </c>
      <c r="AS79" s="97">
        <f>IF(Option3="No",0,IF($A79&lt;ImplementationYear,0,IF($A79&gt;(ImplementationYear+(Appraisal_Period-1)),0,'Mode change'!$F$36*$B79)))</f>
        <v>0</v>
      </c>
      <c r="AT79" s="97">
        <f>IF(Option3="No",0,IF($A79&lt;ImplementationYear,0,IF($A79&gt;(ImplementationYear+(Appraisal_Period-1)),0,'Mode change'!$F$37*$B79)))</f>
        <v>0</v>
      </c>
      <c r="AU79" s="97">
        <f>IF(Option3="No",0,IF($A79&lt;ImplementationYear,0,IF($A79&gt;(ImplementationYear+(Appraisal_Period-1)),0,'Road safety'!$F$22*$B79)))</f>
        <v>0</v>
      </c>
      <c r="AV79" s="97">
        <f>IF(Option3="No",0,IF($A79&lt;ImplementationYear,0,IF($A79&gt;(ImplementationYear+(Appraisal_Period-1)),0,'Reduction in car usage'!$F$46*$B79)))</f>
        <v>0</v>
      </c>
      <c r="AW79" s="97">
        <f>IF(Option3="No",0,IF($A79&lt;ImplementationYear,0,IF($A79&gt;(ImplementationYear+(Appraisal_Period-1)),0,'Reduction in car usage'!$F$47*$B79)))</f>
        <v>0</v>
      </c>
      <c r="AX79" s="97">
        <f>IF(Option3="No",0,IF($A79&lt;ImplementationYear,0,IF($A79&gt;(ImplementationYear+(Appraisal_Period-1)),0,'Reduction in car usage'!$F$48*$B79)))</f>
        <v>0</v>
      </c>
    </row>
    <row r="80" spans="1:50">
      <c r="A80" s="335">
        <v>2075</v>
      </c>
      <c r="B80" s="62">
        <f>VLOOKUP($A80,'Time-series parameters'!$E$11:$H$89,3,FALSE)</f>
        <v>1.9062621746036096E-2</v>
      </c>
      <c r="C80" s="89"/>
      <c r="D80" s="94">
        <f>IF(Option1="No",0,IF($A80=ImplementationYear,('Project details'!$H$10-'Project details'!$D$10)*VLOOKUP(Year_cost_estimate,'Time-series parameters'!$B$11:$C$89,2,FALSE)*$B80*(1+Contingency),0))</f>
        <v>0</v>
      </c>
      <c r="E80" s="94">
        <f>IF(Option1="No",0,IF($A80&lt;ImplementationYear,0,IF($A80&gt;(ImplementationYear+(Appraisal_Period-1)),0,('Project details'!$H$11-'Project details'!$D$11)*VLOOKUP(Year_cost_estimate,'Time-series parameters'!$B$11:$C$89,2,0))*$B80))</f>
        <v>0</v>
      </c>
      <c r="F80" s="94">
        <f>IF(Option1="No",0,IF($A80=ImplementationYear,('Project details'!$H$12-'Project details'!$D$12)*VLOOKUP(Year_cost_estimate,'Time-series parameters'!$B$11:$C$89,2,FALSE)*$B80,0))</f>
        <v>0</v>
      </c>
      <c r="G80" s="97">
        <f>IF(Option1="No",0,IF($A80&lt;ImplementationYear,0,IF($A80&gt;(ImplementationYear+(Appraisal_Period-1)),0,Health!$D$21*$B80)))</f>
        <v>0</v>
      </c>
      <c r="H80" s="97">
        <f>IF(Option1="No",0,IF($A80&lt;ImplementationYear,0,IF($A80&gt;(ImplementationYear+(Appraisal_Period-1)),0,Health!$D$22*$B80)))</f>
        <v>0</v>
      </c>
      <c r="I80" s="97">
        <f>IF(Option1="No",0,IF($A80&lt;ImplementationYear,0,IF($A80&gt;(ImplementationYear+(Appraisal_Period-1)),0,SUM('Travel time'!$D$22:$D$23)*$B80)))</f>
        <v>0</v>
      </c>
      <c r="J80" s="97">
        <f>IF(Option1="No",0,IF($A80&lt;ImplementationYear,0,IF($A80&gt;(ImplementationYear+(Appraisal_Period-1)),0,SUM('Travel time'!$D$20:$D$21)*$B80)))</f>
        <v>0</v>
      </c>
      <c r="K80" s="97">
        <f>IF(Option1="No",0,IF($A80&lt;ImplementationYear,0,IF($A80&gt;(ImplementationYear+(Appraisal_Period-1)),0,SUM(Quality!$D$22:$D$23)*$B80)))</f>
        <v>0</v>
      </c>
      <c r="L80" s="97">
        <f>IF(Option1="No",0,IF($A80&lt;ImplementationYear,0,IF($A80&gt;(ImplementationYear+(Appraisal_Period-1)),0,SUM(Quality!$D$20:$D$21)*$B80)))</f>
        <v>0</v>
      </c>
      <c r="M80" s="97">
        <f>IF(Option1="No",0,IF($A80&lt;ImplementationYear,0,IF($A80&gt;(ImplementationYear+(Appraisal_Period-1)),0,'Mode change'!$D$36*$B80)))</f>
        <v>0</v>
      </c>
      <c r="N80" s="97">
        <f>IF(Option1="No",0,IF($A80&lt;ImplementationYear,0,IF($A80&gt;(ImplementationYear+(Appraisal_Period-1)),0,'Mode change'!$D$37*$B80)))</f>
        <v>0</v>
      </c>
      <c r="O80" s="97">
        <f>IF(Option1="No",0,IF($A80&lt;ImplementationYear,0,IF($A80&gt;(ImplementationYear+(Appraisal_Period-1)),0,'Road safety'!$D$22*$B80)))</f>
        <v>0</v>
      </c>
      <c r="P80" s="97">
        <f>IF(Option1="No",0,IF($A80&lt;ImplementationYear,0,IF($A80&gt;(ImplementationYear+(Appraisal_Period-1)),0,'Reduction in car usage'!$D$46*$B80)))</f>
        <v>0</v>
      </c>
      <c r="Q80" s="97">
        <f>IF(Option1="No",0,IF($A80&lt;ImplementationYear,0,IF($A80&gt;(ImplementationYear+(Appraisal_Period-1)),0,'Reduction in car usage'!$D$47*$B80)))</f>
        <v>0</v>
      </c>
      <c r="R80" s="97">
        <f>IF(Option1="No",0,IF($A80&lt;ImplementationYear,0,IF($A80&gt;(ImplementationYear+(Appraisal_Period-1)),0,'Reduction in car usage'!$D$48*$B80)))</f>
        <v>0</v>
      </c>
      <c r="S80" s="92"/>
      <c r="T80" s="94">
        <f>IF(Option2="No",0,IF($A80=ImplementationYear,('Project details'!$L$10-'Project details'!$D$10)*VLOOKUP(Year_cost_estimate,'Time-series parameters'!$B$11:$C$89,2,FALSE)*$B80*(1+Contingency),0))</f>
        <v>0</v>
      </c>
      <c r="U80" s="94">
        <f>IF(Option2="No",0,IF($A80&lt;ImplementationYear,0,IF($A80&gt;(ImplementationYear+(Appraisal_Period-1)),0,('Project details'!$L$11-'Project details'!$D$11)*VLOOKUP(Year_cost_estimate,'Time-series parameters'!$B$11:$C$89,2,0))*$B80))</f>
        <v>0</v>
      </c>
      <c r="V80" s="94">
        <f>IF(Option2="No",0,IF($A80=ImplementationYear,('Project details'!$L$12-'Project details'!$D$12)*VLOOKUP(Year_cost_estimate,'Time-series parameters'!$B$11:$C$89,2,FALSE)*$B80,0))</f>
        <v>0</v>
      </c>
      <c r="W80" s="97">
        <f>IF(Option2="No",0,IF($A80&lt;ImplementationYear,0,IF($A80&gt;(ImplementationYear+(Appraisal_Period-1)),0,Health!$E$21*$B80)))</f>
        <v>0</v>
      </c>
      <c r="X80" s="97">
        <f>IF(Option2="No",0,IF($A80&lt;ImplementationYear,0,IF($A80&gt;(ImplementationYear+(Appraisal_Period-1)),0,Health!$E$22*$B80)))</f>
        <v>0</v>
      </c>
      <c r="Y80" s="97">
        <f>IF(Option2="No",0,IF($A80&lt;ImplementationYear,0,IF($A80&gt;(ImplementationYear+(Appraisal_Period-1)),0,SUM('Travel time'!$E$22:$E$23)*$B80)))</f>
        <v>0</v>
      </c>
      <c r="Z80" s="97">
        <f>IF(Option2="No",0,IF($A80&lt;ImplementationYear,0,IF($A80&gt;(ImplementationYear+(Appraisal_Period-1)),0,SUM('Travel time'!$E$20:$E$21)*$B80)))</f>
        <v>0</v>
      </c>
      <c r="AA80" s="97">
        <f>IF(Option2="No",0,IF($A80&lt;ImplementationYear,0,IF($A80&gt;(ImplementationYear+(Appraisal_Period-1)),0,SUM(Quality!$E$22:$E$23)*$B80)))</f>
        <v>0</v>
      </c>
      <c r="AB80" s="97">
        <f>IF(Option2="No",0,IF($A80&lt;ImplementationYear,0,IF($A80&gt;(ImplementationYear+(Appraisal_Period-1)),0,SUM(Quality!$E$20:$E$21)*$B80)))</f>
        <v>0</v>
      </c>
      <c r="AC80" s="97">
        <f>IF(Option2="No",0,IF($A80&lt;ImplementationYear,0,IF($A80&gt;(ImplementationYear+(Appraisal_Period-1)),0,'Mode change'!$E$36*$B80)))</f>
        <v>0</v>
      </c>
      <c r="AD80" s="97">
        <f>IF(Option2="No",0,IF($A80&lt;ImplementationYear,0,IF($A80&gt;(ImplementationYear+(Appraisal_Period-1)),0,'Mode change'!$E$37*$B80)))</f>
        <v>0</v>
      </c>
      <c r="AE80" s="97">
        <f>IF(Option2="No",0,IF($A80&lt;ImplementationYear,0,IF($A80&gt;(ImplementationYear+(Appraisal_Period-1)),0,'Road safety'!$E$22*$B80)))</f>
        <v>0</v>
      </c>
      <c r="AF80" s="97">
        <f>IF(Option2="No",0,IF($A80&lt;ImplementationYear,0,IF($A80&gt;(ImplementationYear+(Appraisal_Period-1)),0,'Reduction in car usage'!$E$46*$B80)))</f>
        <v>0</v>
      </c>
      <c r="AG80" s="97">
        <f>IF(Option2="No",0,IF($A80&lt;ImplementationYear,0,IF($A80&gt;(ImplementationYear+(Appraisal_Period-1)),0,'Reduction in car usage'!$E$47*$B80)))</f>
        <v>0</v>
      </c>
      <c r="AH80" s="97">
        <f>IF(Option2="No",0,IF($A80&lt;ImplementationYear,0,IF($A80&gt;(ImplementationYear+(Appraisal_Period-1)),0,'Reduction in car usage'!$E$48*$B80)))</f>
        <v>0</v>
      </c>
      <c r="AJ80" s="94">
        <f>IF(Option3="No",0,IF($A80=ImplementationYear,('Project details'!$P$10-'Project details'!$D$10)*VLOOKUP(Year_cost_estimate,'Time-series parameters'!$B$11:$C$89,2,FALSE)*$B80*(1+Contingency),0))</f>
        <v>0</v>
      </c>
      <c r="AK80" s="94">
        <f>IF(Option3="No",0,IF($A80&lt;ImplementationYear,0,IF($A80&gt;(ImplementationYear+(Appraisal_Period-1)),0,('Project details'!$P$11-'Project details'!$D$11)*VLOOKUP(Year_cost_estimate,'Time-series parameters'!$B$11:$C$89,2,0))*$B80))</f>
        <v>0</v>
      </c>
      <c r="AL80" s="94">
        <f>IF(Option3="No",0,IF($A80=ImplementationYear,('Project details'!$P$12-'Project details'!$D$12)*VLOOKUP(Year_cost_estimate,'Time-series parameters'!$B$11:$C$89,2,FALSE)*$B80,0))</f>
        <v>0</v>
      </c>
      <c r="AM80" s="97">
        <f>IF(Option3="No",0,IF($A80&lt;ImplementationYear,0,IF($A80&gt;(ImplementationYear+(Appraisal_Period-1)),0,Health!$F$21*$B80)))</f>
        <v>0</v>
      </c>
      <c r="AN80" s="97">
        <f>IF(Option3="No",0,IF($A80&lt;ImplementationYear,0,IF($A80&gt;(ImplementationYear+(Appraisal_Period-1)),0,Health!$F$22*$B80)))</f>
        <v>0</v>
      </c>
      <c r="AO80" s="97">
        <f>IF(Option3="No",0,IF($A80&lt;ImplementationYear,0,IF($A80&gt;(ImplementationYear+(Appraisal_Period-1)),0,SUM('Travel time'!$F$22:$F$23)*$B80)))</f>
        <v>0</v>
      </c>
      <c r="AP80" s="97">
        <f>IF(Option3="No",0,IF($A80&lt;ImplementationYear,0,IF($A80&gt;(ImplementationYear+(Appraisal_Period-1)),0,SUM('Travel time'!$F$20:$F$21)*$B80)))</f>
        <v>0</v>
      </c>
      <c r="AQ80" s="97">
        <f>IF(Option3="No",0,IF($A80&lt;ImplementationYear,0,IF($A80&gt;(ImplementationYear+(Appraisal_Period-1)),0,SUM(Quality!$F$22:$F$23)*$B80)))</f>
        <v>0</v>
      </c>
      <c r="AR80" s="97">
        <f>IF(Option3="No",0,IF($A80&lt;ImplementationYear,0,IF($A80&gt;(ImplementationYear+(Appraisal_Period-1)),0,SUM(Quality!$F$20:$F$21)*$B80)))</f>
        <v>0</v>
      </c>
      <c r="AS80" s="97">
        <f>IF(Option3="No",0,IF($A80&lt;ImplementationYear,0,IF($A80&gt;(ImplementationYear+(Appraisal_Period-1)),0,'Mode change'!$F$36*$B80)))</f>
        <v>0</v>
      </c>
      <c r="AT80" s="97">
        <f>IF(Option3="No",0,IF($A80&lt;ImplementationYear,0,IF($A80&gt;(ImplementationYear+(Appraisal_Period-1)),0,'Mode change'!$F$37*$B80)))</f>
        <v>0</v>
      </c>
      <c r="AU80" s="97">
        <f>IF(Option3="No",0,IF($A80&lt;ImplementationYear,0,IF($A80&gt;(ImplementationYear+(Appraisal_Period-1)),0,'Road safety'!$F$22*$B80)))</f>
        <v>0</v>
      </c>
      <c r="AV80" s="97">
        <f>IF(Option3="No",0,IF($A80&lt;ImplementationYear,0,IF($A80&gt;(ImplementationYear+(Appraisal_Period-1)),0,'Reduction in car usage'!$F$46*$B80)))</f>
        <v>0</v>
      </c>
      <c r="AW80" s="97">
        <f>IF(Option3="No",0,IF($A80&lt;ImplementationYear,0,IF($A80&gt;(ImplementationYear+(Appraisal_Period-1)),0,'Reduction in car usage'!$F$47*$B80)))</f>
        <v>0</v>
      </c>
      <c r="AX80" s="97">
        <f>IF(Option3="No",0,IF($A80&lt;ImplementationYear,0,IF($A80&gt;(ImplementationYear+(Appraisal_Period-1)),0,'Reduction in car usage'!$F$48*$B80)))</f>
        <v>0</v>
      </c>
    </row>
    <row r="81" spans="1:50">
      <c r="A81" s="335">
        <v>2076</v>
      </c>
      <c r="B81" s="62">
        <f>VLOOKUP($A81,'Time-series parameters'!$E$11:$H$89,3,FALSE)</f>
        <v>1.791886444127393E-2</v>
      </c>
      <c r="C81" s="89"/>
      <c r="D81" s="94">
        <f>IF(Option1="No",0,IF($A81=ImplementationYear,('Project details'!$H$10-'Project details'!$D$10)*VLOOKUP(Year_cost_estimate,'Time-series parameters'!$B$11:$C$89,2,FALSE)*$B81*(1+Contingency),0))</f>
        <v>0</v>
      </c>
      <c r="E81" s="94">
        <f>IF(Option1="No",0,IF($A81&lt;ImplementationYear,0,IF($A81&gt;(ImplementationYear+(Appraisal_Period-1)),0,('Project details'!$H$11-'Project details'!$D$11)*VLOOKUP(Year_cost_estimate,'Time-series parameters'!$B$11:$C$89,2,0))*$B81))</f>
        <v>0</v>
      </c>
      <c r="F81" s="94">
        <f>IF(Option1="No",0,IF($A81=ImplementationYear,('Project details'!$H$12-'Project details'!$D$12)*VLOOKUP(Year_cost_estimate,'Time-series parameters'!$B$11:$C$89,2,FALSE)*$B81,0))</f>
        <v>0</v>
      </c>
      <c r="G81" s="97">
        <f>IF(Option1="No",0,IF($A81&lt;ImplementationYear,0,IF($A81&gt;(ImplementationYear+(Appraisal_Period-1)),0,Health!$D$21*$B81)))</f>
        <v>0</v>
      </c>
      <c r="H81" s="97">
        <f>IF(Option1="No",0,IF($A81&lt;ImplementationYear,0,IF($A81&gt;(ImplementationYear+(Appraisal_Period-1)),0,Health!$D$22*$B81)))</f>
        <v>0</v>
      </c>
      <c r="I81" s="97">
        <f>IF(Option1="No",0,IF($A81&lt;ImplementationYear,0,IF($A81&gt;(ImplementationYear+(Appraisal_Period-1)),0,SUM('Travel time'!$D$22:$D$23)*$B81)))</f>
        <v>0</v>
      </c>
      <c r="J81" s="97">
        <f>IF(Option1="No",0,IF($A81&lt;ImplementationYear,0,IF($A81&gt;(ImplementationYear+(Appraisal_Period-1)),0,SUM('Travel time'!$D$20:$D$21)*$B81)))</f>
        <v>0</v>
      </c>
      <c r="K81" s="97">
        <f>IF(Option1="No",0,IF($A81&lt;ImplementationYear,0,IF($A81&gt;(ImplementationYear+(Appraisal_Period-1)),0,SUM(Quality!$D$22:$D$23)*$B81)))</f>
        <v>0</v>
      </c>
      <c r="L81" s="97">
        <f>IF(Option1="No",0,IF($A81&lt;ImplementationYear,0,IF($A81&gt;(ImplementationYear+(Appraisal_Period-1)),0,SUM(Quality!$D$20:$D$21)*$B81)))</f>
        <v>0</v>
      </c>
      <c r="M81" s="97">
        <f>IF(Option1="No",0,IF($A81&lt;ImplementationYear,0,IF($A81&gt;(ImplementationYear+(Appraisal_Period-1)),0,'Mode change'!$D$36*$B81)))</f>
        <v>0</v>
      </c>
      <c r="N81" s="97">
        <f>IF(Option1="No",0,IF($A81&lt;ImplementationYear,0,IF($A81&gt;(ImplementationYear+(Appraisal_Period-1)),0,'Mode change'!$D$37*$B81)))</f>
        <v>0</v>
      </c>
      <c r="O81" s="97">
        <f>IF(Option1="No",0,IF($A81&lt;ImplementationYear,0,IF($A81&gt;(ImplementationYear+(Appraisal_Period-1)),0,'Road safety'!$D$22*$B81)))</f>
        <v>0</v>
      </c>
      <c r="P81" s="97">
        <f>IF(Option1="No",0,IF($A81&lt;ImplementationYear,0,IF($A81&gt;(ImplementationYear+(Appraisal_Period-1)),0,'Reduction in car usage'!$D$46*$B81)))</f>
        <v>0</v>
      </c>
      <c r="Q81" s="97">
        <f>IF(Option1="No",0,IF($A81&lt;ImplementationYear,0,IF($A81&gt;(ImplementationYear+(Appraisal_Period-1)),0,'Reduction in car usage'!$D$47*$B81)))</f>
        <v>0</v>
      </c>
      <c r="R81" s="97">
        <f>IF(Option1="No",0,IF($A81&lt;ImplementationYear,0,IF($A81&gt;(ImplementationYear+(Appraisal_Period-1)),0,'Reduction in car usage'!$D$48*$B81)))</f>
        <v>0</v>
      </c>
      <c r="S81" s="92"/>
      <c r="T81" s="94">
        <f>IF(Option2="No",0,IF($A81=ImplementationYear,('Project details'!$L$10-'Project details'!$D$10)*VLOOKUP(Year_cost_estimate,'Time-series parameters'!$B$11:$C$89,2,FALSE)*$B81*(1+Contingency),0))</f>
        <v>0</v>
      </c>
      <c r="U81" s="94">
        <f>IF(Option2="No",0,IF($A81&lt;ImplementationYear,0,IF($A81&gt;(ImplementationYear+(Appraisal_Period-1)),0,('Project details'!$L$11-'Project details'!$D$11)*VLOOKUP(Year_cost_estimate,'Time-series parameters'!$B$11:$C$89,2,0))*$B81))</f>
        <v>0</v>
      </c>
      <c r="V81" s="94">
        <f>IF(Option2="No",0,IF($A81=ImplementationYear,('Project details'!$L$12-'Project details'!$D$12)*VLOOKUP(Year_cost_estimate,'Time-series parameters'!$B$11:$C$89,2,FALSE)*$B81,0))</f>
        <v>0</v>
      </c>
      <c r="W81" s="97">
        <f>IF(Option2="No",0,IF($A81&lt;ImplementationYear,0,IF($A81&gt;(ImplementationYear+(Appraisal_Period-1)),0,Health!$E$21*$B81)))</f>
        <v>0</v>
      </c>
      <c r="X81" s="97">
        <f>IF(Option2="No",0,IF($A81&lt;ImplementationYear,0,IF($A81&gt;(ImplementationYear+(Appraisal_Period-1)),0,Health!$E$22*$B81)))</f>
        <v>0</v>
      </c>
      <c r="Y81" s="97">
        <f>IF(Option2="No",0,IF($A81&lt;ImplementationYear,0,IF($A81&gt;(ImplementationYear+(Appraisal_Period-1)),0,SUM('Travel time'!$E$22:$E$23)*$B81)))</f>
        <v>0</v>
      </c>
      <c r="Z81" s="97">
        <f>IF(Option2="No",0,IF($A81&lt;ImplementationYear,0,IF($A81&gt;(ImplementationYear+(Appraisal_Period-1)),0,SUM('Travel time'!$E$20:$E$21)*$B81)))</f>
        <v>0</v>
      </c>
      <c r="AA81" s="97">
        <f>IF(Option2="No",0,IF($A81&lt;ImplementationYear,0,IF($A81&gt;(ImplementationYear+(Appraisal_Period-1)),0,SUM(Quality!$E$22:$E$23)*$B81)))</f>
        <v>0</v>
      </c>
      <c r="AB81" s="97">
        <f>IF(Option2="No",0,IF($A81&lt;ImplementationYear,0,IF($A81&gt;(ImplementationYear+(Appraisal_Period-1)),0,SUM(Quality!$E$20:$E$21)*$B81)))</f>
        <v>0</v>
      </c>
      <c r="AC81" s="97">
        <f>IF(Option2="No",0,IF($A81&lt;ImplementationYear,0,IF($A81&gt;(ImplementationYear+(Appraisal_Period-1)),0,'Mode change'!$E$36*$B81)))</f>
        <v>0</v>
      </c>
      <c r="AD81" s="97">
        <f>IF(Option2="No",0,IF($A81&lt;ImplementationYear,0,IF($A81&gt;(ImplementationYear+(Appraisal_Period-1)),0,'Mode change'!$E$37*$B81)))</f>
        <v>0</v>
      </c>
      <c r="AE81" s="97">
        <f>IF(Option2="No",0,IF($A81&lt;ImplementationYear,0,IF($A81&gt;(ImplementationYear+(Appraisal_Period-1)),0,'Road safety'!$E$22*$B81)))</f>
        <v>0</v>
      </c>
      <c r="AF81" s="97">
        <f>IF(Option2="No",0,IF($A81&lt;ImplementationYear,0,IF($A81&gt;(ImplementationYear+(Appraisal_Period-1)),0,'Reduction in car usage'!$E$46*$B81)))</f>
        <v>0</v>
      </c>
      <c r="AG81" s="97">
        <f>IF(Option2="No",0,IF($A81&lt;ImplementationYear,0,IF($A81&gt;(ImplementationYear+(Appraisal_Period-1)),0,'Reduction in car usage'!$E$47*$B81)))</f>
        <v>0</v>
      </c>
      <c r="AH81" s="97">
        <f>IF(Option2="No",0,IF($A81&lt;ImplementationYear,0,IF($A81&gt;(ImplementationYear+(Appraisal_Period-1)),0,'Reduction in car usage'!$E$48*$B81)))</f>
        <v>0</v>
      </c>
      <c r="AJ81" s="94">
        <f>IF(Option3="No",0,IF($A81=ImplementationYear,('Project details'!$P$10-'Project details'!$D$10)*VLOOKUP(Year_cost_estimate,'Time-series parameters'!$B$11:$C$89,2,FALSE)*$B81*(1+Contingency),0))</f>
        <v>0</v>
      </c>
      <c r="AK81" s="94">
        <f>IF(Option3="No",0,IF($A81&lt;ImplementationYear,0,IF($A81&gt;(ImplementationYear+(Appraisal_Period-1)),0,('Project details'!$P$11-'Project details'!$D$11)*VLOOKUP(Year_cost_estimate,'Time-series parameters'!$B$11:$C$89,2,0))*$B81))</f>
        <v>0</v>
      </c>
      <c r="AL81" s="94">
        <f>IF(Option3="No",0,IF($A81=ImplementationYear,('Project details'!$P$12-'Project details'!$D$12)*VLOOKUP(Year_cost_estimate,'Time-series parameters'!$B$11:$C$89,2,FALSE)*$B81,0))</f>
        <v>0</v>
      </c>
      <c r="AM81" s="97">
        <f>IF(Option3="No",0,IF($A81&lt;ImplementationYear,0,IF($A81&gt;(ImplementationYear+(Appraisal_Period-1)),0,Health!$F$21*$B81)))</f>
        <v>0</v>
      </c>
      <c r="AN81" s="97">
        <f>IF(Option3="No",0,IF($A81&lt;ImplementationYear,0,IF($A81&gt;(ImplementationYear+(Appraisal_Period-1)),0,Health!$F$22*$B81)))</f>
        <v>0</v>
      </c>
      <c r="AO81" s="97">
        <f>IF(Option3="No",0,IF($A81&lt;ImplementationYear,0,IF($A81&gt;(ImplementationYear+(Appraisal_Period-1)),0,SUM('Travel time'!$F$22:$F$23)*$B81)))</f>
        <v>0</v>
      </c>
      <c r="AP81" s="97">
        <f>IF(Option3="No",0,IF($A81&lt;ImplementationYear,0,IF($A81&gt;(ImplementationYear+(Appraisal_Period-1)),0,SUM('Travel time'!$F$20:$F$21)*$B81)))</f>
        <v>0</v>
      </c>
      <c r="AQ81" s="97">
        <f>IF(Option3="No",0,IF($A81&lt;ImplementationYear,0,IF($A81&gt;(ImplementationYear+(Appraisal_Period-1)),0,SUM(Quality!$F$22:$F$23)*$B81)))</f>
        <v>0</v>
      </c>
      <c r="AR81" s="97">
        <f>IF(Option3="No",0,IF($A81&lt;ImplementationYear,0,IF($A81&gt;(ImplementationYear+(Appraisal_Period-1)),0,SUM(Quality!$F$20:$F$21)*$B81)))</f>
        <v>0</v>
      </c>
      <c r="AS81" s="97">
        <f>IF(Option3="No",0,IF($A81&lt;ImplementationYear,0,IF($A81&gt;(ImplementationYear+(Appraisal_Period-1)),0,'Mode change'!$F$36*$B81)))</f>
        <v>0</v>
      </c>
      <c r="AT81" s="97">
        <f>IF(Option3="No",0,IF($A81&lt;ImplementationYear,0,IF($A81&gt;(ImplementationYear+(Appraisal_Period-1)),0,'Mode change'!$F$37*$B81)))</f>
        <v>0</v>
      </c>
      <c r="AU81" s="97">
        <f>IF(Option3="No",0,IF($A81&lt;ImplementationYear,0,IF($A81&gt;(ImplementationYear+(Appraisal_Period-1)),0,'Road safety'!$F$22*$B81)))</f>
        <v>0</v>
      </c>
      <c r="AV81" s="97">
        <f>IF(Option3="No",0,IF($A81&lt;ImplementationYear,0,IF($A81&gt;(ImplementationYear+(Appraisal_Period-1)),0,'Reduction in car usage'!$F$46*$B81)))</f>
        <v>0</v>
      </c>
      <c r="AW81" s="97">
        <f>IF(Option3="No",0,IF($A81&lt;ImplementationYear,0,IF($A81&gt;(ImplementationYear+(Appraisal_Period-1)),0,'Reduction in car usage'!$F$47*$B81)))</f>
        <v>0</v>
      </c>
      <c r="AX81" s="97">
        <f>IF(Option3="No",0,IF($A81&lt;ImplementationYear,0,IF($A81&gt;(ImplementationYear+(Appraisal_Period-1)),0,'Reduction in car usage'!$F$48*$B81)))</f>
        <v>0</v>
      </c>
    </row>
    <row r="82" spans="1:50">
      <c r="A82" s="336">
        <v>2077</v>
      </c>
      <c r="B82" s="62">
        <f>VLOOKUP($A82,'Time-series parameters'!$E$11:$H$89,3,FALSE)</f>
        <v>1.6843732574797494E-2</v>
      </c>
      <c r="C82" s="89"/>
      <c r="D82" s="94">
        <f>IF(Option1="No",0,IF($A82=ImplementationYear,('Project details'!$H$10-'Project details'!$D$10)*VLOOKUP(Year_cost_estimate,'Time-series parameters'!$B$11:$C$89,2,FALSE)*$B82*(1+Contingency),0))</f>
        <v>0</v>
      </c>
      <c r="E82" s="94">
        <f>IF(Option1="No",0,IF($A82&lt;ImplementationYear,0,IF($A82&gt;(ImplementationYear+(Appraisal_Period-1)),0,('Project details'!$H$11-'Project details'!$D$11)*VLOOKUP(Year_cost_estimate,'Time-series parameters'!$B$11:$C$89,2,0))*$B82))</f>
        <v>0</v>
      </c>
      <c r="F82" s="94">
        <f>IF(Option1="No",0,IF($A82=ImplementationYear,('Project details'!$H$12-'Project details'!$D$12)*VLOOKUP(Year_cost_estimate,'Time-series parameters'!$B$11:$C$89,2,FALSE)*$B82,0))</f>
        <v>0</v>
      </c>
      <c r="G82" s="97">
        <f>IF(Option1="No",0,IF($A82&lt;ImplementationYear,0,IF($A82&gt;(ImplementationYear+(Appraisal_Period-1)),0,Health!$D$21*$B82)))</f>
        <v>0</v>
      </c>
      <c r="H82" s="97">
        <f>IF(Option1="No",0,IF($A82&lt;ImplementationYear,0,IF($A82&gt;(ImplementationYear+(Appraisal_Period-1)),0,Health!$D$22*$B82)))</f>
        <v>0</v>
      </c>
      <c r="I82" s="97">
        <f>IF(Option1="No",0,IF($A82&lt;ImplementationYear,0,IF($A82&gt;(ImplementationYear+(Appraisal_Period-1)),0,SUM('Travel time'!$D$22:$D$23)*$B82)))</f>
        <v>0</v>
      </c>
      <c r="J82" s="97">
        <f>IF(Option1="No",0,IF($A82&lt;ImplementationYear,0,IF($A82&gt;(ImplementationYear+(Appraisal_Period-1)),0,SUM('Travel time'!$D$20:$D$21)*$B82)))</f>
        <v>0</v>
      </c>
      <c r="K82" s="97">
        <f>IF(Option1="No",0,IF($A82&lt;ImplementationYear,0,IF($A82&gt;(ImplementationYear+(Appraisal_Period-1)),0,SUM(Quality!$D$22:$D$23)*$B82)))</f>
        <v>0</v>
      </c>
      <c r="L82" s="97">
        <f>IF(Option1="No",0,IF($A82&lt;ImplementationYear,0,IF($A82&gt;(ImplementationYear+(Appraisal_Period-1)),0,SUM(Quality!$D$20:$D$21)*$B82)))</f>
        <v>0</v>
      </c>
      <c r="M82" s="97">
        <f>IF(Option1="No",0,IF($A82&lt;ImplementationYear,0,IF($A82&gt;(ImplementationYear+(Appraisal_Period-1)),0,'Mode change'!$D$36*$B82)))</f>
        <v>0</v>
      </c>
      <c r="N82" s="97">
        <f>IF(Option1="No",0,IF($A82&lt;ImplementationYear,0,IF($A82&gt;(ImplementationYear+(Appraisal_Period-1)),0,'Mode change'!$D$37*$B82)))</f>
        <v>0</v>
      </c>
      <c r="O82" s="97">
        <f>IF(Option1="No",0,IF($A82&lt;ImplementationYear,0,IF($A82&gt;(ImplementationYear+(Appraisal_Period-1)),0,'Road safety'!$D$22*$B82)))</f>
        <v>0</v>
      </c>
      <c r="P82" s="97">
        <f>IF(Option1="No",0,IF($A82&lt;ImplementationYear,0,IF($A82&gt;(ImplementationYear+(Appraisal_Period-1)),0,'Reduction in car usage'!$D$46*$B82)))</f>
        <v>0</v>
      </c>
      <c r="Q82" s="97">
        <f>IF(Option1="No",0,IF($A82&lt;ImplementationYear,0,IF($A82&gt;(ImplementationYear+(Appraisal_Period-1)),0,'Reduction in car usage'!$D$47*$B82)))</f>
        <v>0</v>
      </c>
      <c r="R82" s="97">
        <f>IF(Option1="No",0,IF($A82&lt;ImplementationYear,0,IF($A82&gt;(ImplementationYear+(Appraisal_Period-1)),0,'Reduction in car usage'!$D$48*$B82)))</f>
        <v>0</v>
      </c>
      <c r="S82" s="92"/>
      <c r="T82" s="94">
        <f>IF(Option2="No",0,IF($A82=ImplementationYear,('Project details'!$L$10-'Project details'!$D$10)*VLOOKUP(Year_cost_estimate,'Time-series parameters'!$B$11:$C$89,2,FALSE)*$B82*(1+Contingency),0))</f>
        <v>0</v>
      </c>
      <c r="U82" s="94">
        <f>IF(Option2="No",0,IF($A82&lt;ImplementationYear,0,IF($A82&gt;(ImplementationYear+(Appraisal_Period-1)),0,('Project details'!$L$11-'Project details'!$D$11)*VLOOKUP(Year_cost_estimate,'Time-series parameters'!$B$11:$C$89,2,0))*$B82))</f>
        <v>0</v>
      </c>
      <c r="V82" s="94">
        <f>IF(Option2="No",0,IF($A82=ImplementationYear,('Project details'!$L$12-'Project details'!$D$12)*VLOOKUP(Year_cost_estimate,'Time-series parameters'!$B$11:$C$89,2,FALSE)*$B82,0))</f>
        <v>0</v>
      </c>
      <c r="W82" s="97">
        <f>IF(Option2="No",0,IF($A82&lt;ImplementationYear,0,IF($A82&gt;(ImplementationYear+(Appraisal_Period-1)),0,Health!$E$21*$B82)))</f>
        <v>0</v>
      </c>
      <c r="X82" s="97">
        <f>IF(Option2="No",0,IF($A82&lt;ImplementationYear,0,IF($A82&gt;(ImplementationYear+(Appraisal_Period-1)),0,Health!$E$22*$B82)))</f>
        <v>0</v>
      </c>
      <c r="Y82" s="97">
        <f>IF(Option2="No",0,IF($A82&lt;ImplementationYear,0,IF($A82&gt;(ImplementationYear+(Appraisal_Period-1)),0,SUM('Travel time'!$E$22:$E$23)*$B82)))</f>
        <v>0</v>
      </c>
      <c r="Z82" s="97">
        <f>IF(Option2="No",0,IF($A82&lt;ImplementationYear,0,IF($A82&gt;(ImplementationYear+(Appraisal_Period-1)),0,SUM('Travel time'!$E$20:$E$21)*$B82)))</f>
        <v>0</v>
      </c>
      <c r="AA82" s="97">
        <f>IF(Option2="No",0,IF($A82&lt;ImplementationYear,0,IF($A82&gt;(ImplementationYear+(Appraisal_Period-1)),0,SUM(Quality!$E$22:$E$23)*$B82)))</f>
        <v>0</v>
      </c>
      <c r="AB82" s="97">
        <f>IF(Option2="No",0,IF($A82&lt;ImplementationYear,0,IF($A82&gt;(ImplementationYear+(Appraisal_Period-1)),0,SUM(Quality!$E$20:$E$21)*$B82)))</f>
        <v>0</v>
      </c>
      <c r="AC82" s="97">
        <f>IF(Option2="No",0,IF($A82&lt;ImplementationYear,0,IF($A82&gt;(ImplementationYear+(Appraisal_Period-1)),0,'Mode change'!$E$36*$B82)))</f>
        <v>0</v>
      </c>
      <c r="AD82" s="97">
        <f>IF(Option2="No",0,IF($A82&lt;ImplementationYear,0,IF($A82&gt;(ImplementationYear+(Appraisal_Period-1)),0,'Mode change'!$E$37*$B82)))</f>
        <v>0</v>
      </c>
      <c r="AE82" s="97">
        <f>IF(Option2="No",0,IF($A82&lt;ImplementationYear,0,IF($A82&gt;(ImplementationYear+(Appraisal_Period-1)),0,'Road safety'!$E$22*$B82)))</f>
        <v>0</v>
      </c>
      <c r="AF82" s="97">
        <f>IF(Option2="No",0,IF($A82&lt;ImplementationYear,0,IF($A82&gt;(ImplementationYear+(Appraisal_Period-1)),0,'Reduction in car usage'!$E$46*$B82)))</f>
        <v>0</v>
      </c>
      <c r="AG82" s="97">
        <f>IF(Option2="No",0,IF($A82&lt;ImplementationYear,0,IF($A82&gt;(ImplementationYear+(Appraisal_Period-1)),0,'Reduction in car usage'!$E$47*$B82)))</f>
        <v>0</v>
      </c>
      <c r="AH82" s="97">
        <f>IF(Option2="No",0,IF($A82&lt;ImplementationYear,0,IF($A82&gt;(ImplementationYear+(Appraisal_Period-1)),0,'Reduction in car usage'!$E$48*$B82)))</f>
        <v>0</v>
      </c>
      <c r="AJ82" s="94">
        <f>IF(Option3="No",0,IF($A82=ImplementationYear,('Project details'!$P$10-'Project details'!$D$10)*VLOOKUP(Year_cost_estimate,'Time-series parameters'!$B$11:$C$89,2,FALSE)*$B82*(1+Contingency),0))</f>
        <v>0</v>
      </c>
      <c r="AK82" s="94">
        <f>IF(Option3="No",0,IF($A82&lt;ImplementationYear,0,IF($A82&gt;(ImplementationYear+(Appraisal_Period-1)),0,('Project details'!$P$11-'Project details'!$D$11)*VLOOKUP(Year_cost_estimate,'Time-series parameters'!$B$11:$C$89,2,0))*$B82))</f>
        <v>0</v>
      </c>
      <c r="AL82" s="94">
        <f>IF(Option3="No",0,IF($A82=ImplementationYear,('Project details'!$P$12-'Project details'!$D$12)*VLOOKUP(Year_cost_estimate,'Time-series parameters'!$B$11:$C$89,2,FALSE)*$B82,0))</f>
        <v>0</v>
      </c>
      <c r="AM82" s="97">
        <f>IF(Option3="No",0,IF($A82&lt;ImplementationYear,0,IF($A82&gt;(ImplementationYear+(Appraisal_Period-1)),0,Health!$F$21*$B82)))</f>
        <v>0</v>
      </c>
      <c r="AN82" s="97">
        <f>IF(Option3="No",0,IF($A82&lt;ImplementationYear,0,IF($A82&gt;(ImplementationYear+(Appraisal_Period-1)),0,Health!$F$22*$B82)))</f>
        <v>0</v>
      </c>
      <c r="AO82" s="97">
        <f>IF(Option3="No",0,IF($A82&lt;ImplementationYear,0,IF($A82&gt;(ImplementationYear+(Appraisal_Period-1)),0,SUM('Travel time'!$F$22:$F$23)*$B82)))</f>
        <v>0</v>
      </c>
      <c r="AP82" s="97">
        <f>IF(Option3="No",0,IF($A82&lt;ImplementationYear,0,IF($A82&gt;(ImplementationYear+(Appraisal_Period-1)),0,SUM('Travel time'!$F$20:$F$21)*$B82)))</f>
        <v>0</v>
      </c>
      <c r="AQ82" s="97">
        <f>IF(Option3="No",0,IF($A82&lt;ImplementationYear,0,IF($A82&gt;(ImplementationYear+(Appraisal_Period-1)),0,SUM(Quality!$F$22:$F$23)*$B82)))</f>
        <v>0</v>
      </c>
      <c r="AR82" s="97">
        <f>IF(Option3="No",0,IF($A82&lt;ImplementationYear,0,IF($A82&gt;(ImplementationYear+(Appraisal_Period-1)),0,SUM(Quality!$F$20:$F$21)*$B82)))</f>
        <v>0</v>
      </c>
      <c r="AS82" s="97">
        <f>IF(Option3="No",0,IF($A82&lt;ImplementationYear,0,IF($A82&gt;(ImplementationYear+(Appraisal_Period-1)),0,'Mode change'!$F$36*$B82)))</f>
        <v>0</v>
      </c>
      <c r="AT82" s="97">
        <f>IF(Option3="No",0,IF($A82&lt;ImplementationYear,0,IF($A82&gt;(ImplementationYear+(Appraisal_Period-1)),0,'Mode change'!$F$37*$B82)))</f>
        <v>0</v>
      </c>
      <c r="AU82" s="97">
        <f>IF(Option3="No",0,IF($A82&lt;ImplementationYear,0,IF($A82&gt;(ImplementationYear+(Appraisal_Period-1)),0,'Road safety'!$F$22*$B82)))</f>
        <v>0</v>
      </c>
      <c r="AV82" s="97">
        <f>IF(Option3="No",0,IF($A82&lt;ImplementationYear,0,IF($A82&gt;(ImplementationYear+(Appraisal_Period-1)),0,'Reduction in car usage'!$F$46*$B82)))</f>
        <v>0</v>
      </c>
      <c r="AW82" s="97">
        <f>IF(Option3="No",0,IF($A82&lt;ImplementationYear,0,IF($A82&gt;(ImplementationYear+(Appraisal_Period-1)),0,'Reduction in car usage'!$F$47*$B82)))</f>
        <v>0</v>
      </c>
      <c r="AX82" s="97">
        <f>IF(Option3="No",0,IF($A82&lt;ImplementationYear,0,IF($A82&gt;(ImplementationYear+(Appraisal_Period-1)),0,'Reduction in car usage'!$F$48*$B82)))</f>
        <v>0</v>
      </c>
    </row>
    <row r="83" spans="1:50">
      <c r="A83" s="336">
        <v>2078</v>
      </c>
      <c r="B83" s="62">
        <f>VLOOKUP($A83,'Time-series parameters'!$E$11:$H$89,3,FALSE)</f>
        <v>1.5833108620309646E-2</v>
      </c>
      <c r="C83" s="89"/>
      <c r="D83" s="94">
        <f>IF(Option1="No",0,IF($A83=ImplementationYear,('Project details'!$H$10-'Project details'!$D$10)*VLOOKUP(Year_cost_estimate,'Time-series parameters'!$B$11:$C$89,2,FALSE)*$B83*(1+Contingency),0))</f>
        <v>0</v>
      </c>
      <c r="E83" s="94">
        <f>IF(Option1="No",0,IF($A83&lt;ImplementationYear,0,IF($A83&gt;(ImplementationYear+(Appraisal_Period-1)),0,('Project details'!$H$11-'Project details'!$D$11)*VLOOKUP(Year_cost_estimate,'Time-series parameters'!$B$11:$C$89,2,0))*$B83))</f>
        <v>0</v>
      </c>
      <c r="F83" s="94">
        <f>IF(Option1="No",0,IF($A83=ImplementationYear,('Project details'!$H$12-'Project details'!$D$12)*VLOOKUP(Year_cost_estimate,'Time-series parameters'!$B$11:$C$89,2,FALSE)*$B83,0))</f>
        <v>0</v>
      </c>
      <c r="G83" s="97">
        <f>IF(Option1="No",0,IF($A83&lt;ImplementationYear,0,IF($A83&gt;(ImplementationYear+(Appraisal_Period-1)),0,Health!$D$21*$B83)))</f>
        <v>0</v>
      </c>
      <c r="H83" s="97">
        <f>IF(Option1="No",0,IF($A83&lt;ImplementationYear,0,IF($A83&gt;(ImplementationYear+(Appraisal_Period-1)),0,Health!$D$22*$B83)))</f>
        <v>0</v>
      </c>
      <c r="I83" s="97">
        <f>IF(Option1="No",0,IF($A83&lt;ImplementationYear,0,IF($A83&gt;(ImplementationYear+(Appraisal_Period-1)),0,SUM('Travel time'!$D$22:$D$23)*$B83)))</f>
        <v>0</v>
      </c>
      <c r="J83" s="97">
        <f>IF(Option1="No",0,IF($A83&lt;ImplementationYear,0,IF($A83&gt;(ImplementationYear+(Appraisal_Period-1)),0,SUM('Travel time'!$D$20:$D$21)*$B83)))</f>
        <v>0</v>
      </c>
      <c r="K83" s="97">
        <f>IF(Option1="No",0,IF($A83&lt;ImplementationYear,0,IF($A83&gt;(ImplementationYear+(Appraisal_Period-1)),0,SUM(Quality!$D$22:$D$23)*$B83)))</f>
        <v>0</v>
      </c>
      <c r="L83" s="97">
        <f>IF(Option1="No",0,IF($A83&lt;ImplementationYear,0,IF($A83&gt;(ImplementationYear+(Appraisal_Period-1)),0,SUM(Quality!$D$20:$D$21)*$B83)))</f>
        <v>0</v>
      </c>
      <c r="M83" s="97">
        <f>IF(Option1="No",0,IF($A83&lt;ImplementationYear,0,IF($A83&gt;(ImplementationYear+(Appraisal_Period-1)),0,'Mode change'!$D$36*$B83)))</f>
        <v>0</v>
      </c>
      <c r="N83" s="97">
        <f>IF(Option1="No",0,IF($A83&lt;ImplementationYear,0,IF($A83&gt;(ImplementationYear+(Appraisal_Period-1)),0,'Mode change'!$D$37*$B83)))</f>
        <v>0</v>
      </c>
      <c r="O83" s="97">
        <f>IF(Option1="No",0,IF($A83&lt;ImplementationYear,0,IF($A83&gt;(ImplementationYear+(Appraisal_Period-1)),0,'Road safety'!$D$22*$B83)))</f>
        <v>0</v>
      </c>
      <c r="P83" s="97">
        <f>IF(Option1="No",0,IF($A83&lt;ImplementationYear,0,IF($A83&gt;(ImplementationYear+(Appraisal_Period-1)),0,'Reduction in car usage'!$D$46*$B83)))</f>
        <v>0</v>
      </c>
      <c r="Q83" s="97">
        <f>IF(Option1="No",0,IF($A83&lt;ImplementationYear,0,IF($A83&gt;(ImplementationYear+(Appraisal_Period-1)),0,'Reduction in car usage'!$D$47*$B83)))</f>
        <v>0</v>
      </c>
      <c r="R83" s="97">
        <f>IF(Option1="No",0,IF($A83&lt;ImplementationYear,0,IF($A83&gt;(ImplementationYear+(Appraisal_Period-1)),0,'Reduction in car usage'!$D$48*$B83)))</f>
        <v>0</v>
      </c>
      <c r="S83" s="92"/>
      <c r="T83" s="94">
        <f>IF(Option2="No",0,IF($A83=ImplementationYear,('Project details'!$L$10-'Project details'!$D$10)*VLOOKUP(Year_cost_estimate,'Time-series parameters'!$B$11:$C$89,2,FALSE)*$B83*(1+Contingency),0))</f>
        <v>0</v>
      </c>
      <c r="U83" s="94">
        <f>IF(Option2="No",0,IF($A83&lt;ImplementationYear,0,IF($A83&gt;(ImplementationYear+(Appraisal_Period-1)),0,('Project details'!$L$11-'Project details'!$D$11)*VLOOKUP(Year_cost_estimate,'Time-series parameters'!$B$11:$C$89,2,0))*$B83))</f>
        <v>0</v>
      </c>
      <c r="V83" s="94">
        <f>IF(Option2="No",0,IF($A83=ImplementationYear,('Project details'!$L$12-'Project details'!$D$12)*VLOOKUP(Year_cost_estimate,'Time-series parameters'!$B$11:$C$89,2,FALSE)*$B83,0))</f>
        <v>0</v>
      </c>
      <c r="W83" s="97">
        <f>IF(Option2="No",0,IF($A83&lt;ImplementationYear,0,IF($A83&gt;(ImplementationYear+(Appraisal_Period-1)),0,Health!$E$21*$B83)))</f>
        <v>0</v>
      </c>
      <c r="X83" s="97">
        <f>IF(Option2="No",0,IF($A83&lt;ImplementationYear,0,IF($A83&gt;(ImplementationYear+(Appraisal_Period-1)),0,Health!$E$22*$B83)))</f>
        <v>0</v>
      </c>
      <c r="Y83" s="97">
        <f>IF(Option2="No",0,IF($A83&lt;ImplementationYear,0,IF($A83&gt;(ImplementationYear+(Appraisal_Period-1)),0,SUM('Travel time'!$E$22:$E$23)*$B83)))</f>
        <v>0</v>
      </c>
      <c r="Z83" s="97">
        <f>IF(Option2="No",0,IF($A83&lt;ImplementationYear,0,IF($A83&gt;(ImplementationYear+(Appraisal_Period-1)),0,SUM('Travel time'!$E$20:$E$21)*$B83)))</f>
        <v>0</v>
      </c>
      <c r="AA83" s="97">
        <f>IF(Option2="No",0,IF($A83&lt;ImplementationYear,0,IF($A83&gt;(ImplementationYear+(Appraisal_Period-1)),0,SUM(Quality!$E$22:$E$23)*$B83)))</f>
        <v>0</v>
      </c>
      <c r="AB83" s="97">
        <f>IF(Option2="No",0,IF($A83&lt;ImplementationYear,0,IF($A83&gt;(ImplementationYear+(Appraisal_Period-1)),0,SUM(Quality!$E$20:$E$21)*$B83)))</f>
        <v>0</v>
      </c>
      <c r="AC83" s="97">
        <f>IF(Option2="No",0,IF($A83&lt;ImplementationYear,0,IF($A83&gt;(ImplementationYear+(Appraisal_Period-1)),0,'Mode change'!$E$36*$B83)))</f>
        <v>0</v>
      </c>
      <c r="AD83" s="97">
        <f>IF(Option2="No",0,IF($A83&lt;ImplementationYear,0,IF($A83&gt;(ImplementationYear+(Appraisal_Period-1)),0,'Mode change'!$E$37*$B83)))</f>
        <v>0</v>
      </c>
      <c r="AE83" s="97">
        <f>IF(Option2="No",0,IF($A83&lt;ImplementationYear,0,IF($A83&gt;(ImplementationYear+(Appraisal_Period-1)),0,'Road safety'!$E$22*$B83)))</f>
        <v>0</v>
      </c>
      <c r="AF83" s="97">
        <f>IF(Option2="No",0,IF($A83&lt;ImplementationYear,0,IF($A83&gt;(ImplementationYear+(Appraisal_Period-1)),0,'Reduction in car usage'!$E$46*$B83)))</f>
        <v>0</v>
      </c>
      <c r="AG83" s="97">
        <f>IF(Option2="No",0,IF($A83&lt;ImplementationYear,0,IF($A83&gt;(ImplementationYear+(Appraisal_Period-1)),0,'Reduction in car usage'!$E$47*$B83)))</f>
        <v>0</v>
      </c>
      <c r="AH83" s="97">
        <f>IF(Option2="No",0,IF($A83&lt;ImplementationYear,0,IF($A83&gt;(ImplementationYear+(Appraisal_Period-1)),0,'Reduction in car usage'!$E$48*$B83)))</f>
        <v>0</v>
      </c>
      <c r="AJ83" s="94">
        <f>IF(Option3="No",0,IF($A83=ImplementationYear,('Project details'!$P$10-'Project details'!$D$10)*VLOOKUP(Year_cost_estimate,'Time-series parameters'!$B$11:$C$89,2,FALSE)*$B83*(1+Contingency),0))</f>
        <v>0</v>
      </c>
      <c r="AK83" s="94">
        <f>IF(Option3="No",0,IF($A83&lt;ImplementationYear,0,IF($A83&gt;(ImplementationYear+(Appraisal_Period-1)),0,('Project details'!$P$11-'Project details'!$D$11)*VLOOKUP(Year_cost_estimate,'Time-series parameters'!$B$11:$C$89,2,0))*$B83))</f>
        <v>0</v>
      </c>
      <c r="AL83" s="94">
        <f>IF(Option3="No",0,IF($A83=ImplementationYear,('Project details'!$P$12-'Project details'!$D$12)*VLOOKUP(Year_cost_estimate,'Time-series parameters'!$B$11:$C$89,2,FALSE)*$B83,0))</f>
        <v>0</v>
      </c>
      <c r="AM83" s="97">
        <f>IF(Option3="No",0,IF($A83&lt;ImplementationYear,0,IF($A83&gt;(ImplementationYear+(Appraisal_Period-1)),0,Health!$F$21*$B83)))</f>
        <v>0</v>
      </c>
      <c r="AN83" s="97">
        <f>IF(Option3="No",0,IF($A83&lt;ImplementationYear,0,IF($A83&gt;(ImplementationYear+(Appraisal_Period-1)),0,Health!$F$22*$B83)))</f>
        <v>0</v>
      </c>
      <c r="AO83" s="97">
        <f>IF(Option3="No",0,IF($A83&lt;ImplementationYear,0,IF($A83&gt;(ImplementationYear+(Appraisal_Period-1)),0,SUM('Travel time'!$F$22:$F$23)*$B83)))</f>
        <v>0</v>
      </c>
      <c r="AP83" s="97">
        <f>IF(Option3="No",0,IF($A83&lt;ImplementationYear,0,IF($A83&gt;(ImplementationYear+(Appraisal_Period-1)),0,SUM('Travel time'!$F$20:$F$21)*$B83)))</f>
        <v>0</v>
      </c>
      <c r="AQ83" s="97">
        <f>IF(Option3="No",0,IF($A83&lt;ImplementationYear,0,IF($A83&gt;(ImplementationYear+(Appraisal_Period-1)),0,SUM(Quality!$F$22:$F$23)*$B83)))</f>
        <v>0</v>
      </c>
      <c r="AR83" s="97">
        <f>IF(Option3="No",0,IF($A83&lt;ImplementationYear,0,IF($A83&gt;(ImplementationYear+(Appraisal_Period-1)),0,SUM(Quality!$F$20:$F$21)*$B83)))</f>
        <v>0</v>
      </c>
      <c r="AS83" s="97">
        <f>IF(Option3="No",0,IF($A83&lt;ImplementationYear,0,IF($A83&gt;(ImplementationYear+(Appraisal_Period-1)),0,'Mode change'!$F$36*$B83)))</f>
        <v>0</v>
      </c>
      <c r="AT83" s="97">
        <f>IF(Option3="No",0,IF($A83&lt;ImplementationYear,0,IF($A83&gt;(ImplementationYear+(Appraisal_Period-1)),0,'Mode change'!$F$37*$B83)))</f>
        <v>0</v>
      </c>
      <c r="AU83" s="97">
        <f>IF(Option3="No",0,IF($A83&lt;ImplementationYear,0,IF($A83&gt;(ImplementationYear+(Appraisal_Period-1)),0,'Road safety'!$F$22*$B83)))</f>
        <v>0</v>
      </c>
      <c r="AV83" s="97">
        <f>IF(Option3="No",0,IF($A83&lt;ImplementationYear,0,IF($A83&gt;(ImplementationYear+(Appraisal_Period-1)),0,'Reduction in car usage'!$F$46*$B83)))</f>
        <v>0</v>
      </c>
      <c r="AW83" s="97">
        <f>IF(Option3="No",0,IF($A83&lt;ImplementationYear,0,IF($A83&gt;(ImplementationYear+(Appraisal_Period-1)),0,'Reduction in car usage'!$F$47*$B83)))</f>
        <v>0</v>
      </c>
      <c r="AX83" s="97">
        <f>IF(Option3="No",0,IF($A83&lt;ImplementationYear,0,IF($A83&gt;(ImplementationYear+(Appraisal_Period-1)),0,'Reduction in car usage'!$F$48*$B83)))</f>
        <v>0</v>
      </c>
    </row>
    <row r="84" spans="1:50">
      <c r="A84" s="336">
        <v>2079</v>
      </c>
      <c r="B84" s="62">
        <f>VLOOKUP($A84,'Time-series parameters'!$E$11:$H$89,3,FALSE)</f>
        <v>1.4883122103091067E-2</v>
      </c>
      <c r="C84" s="89"/>
      <c r="D84" s="94">
        <f>IF(Option1="No",0,IF($A84=ImplementationYear,('Project details'!$H$10-'Project details'!$D$10)*VLOOKUP(Year_cost_estimate,'Time-series parameters'!$B$11:$C$89,2,FALSE)*$B84*(1+Contingency),0))</f>
        <v>0</v>
      </c>
      <c r="E84" s="94">
        <f>IF(Option1="No",0,IF($A84&lt;ImplementationYear,0,IF($A84&gt;(ImplementationYear+(Appraisal_Period-1)),0,('Project details'!$H$11-'Project details'!$D$11)*VLOOKUP(Year_cost_estimate,'Time-series parameters'!$B$11:$C$89,2,0))*$B84))</f>
        <v>0</v>
      </c>
      <c r="F84" s="94">
        <f>IF(Option1="No",0,IF($A84=ImplementationYear,('Project details'!$H$12-'Project details'!$D$12)*VLOOKUP(Year_cost_estimate,'Time-series parameters'!$B$11:$C$89,2,FALSE)*$B84,0))</f>
        <v>0</v>
      </c>
      <c r="G84" s="97">
        <f>IF(Option1="No",0,IF($A84&lt;ImplementationYear,0,IF($A84&gt;(ImplementationYear+(Appraisal_Period-1)),0,Health!$D$21*$B84)))</f>
        <v>0</v>
      </c>
      <c r="H84" s="97">
        <f>IF(Option1="No",0,IF($A84&lt;ImplementationYear,0,IF($A84&gt;(ImplementationYear+(Appraisal_Period-1)),0,Health!$D$22*$B84)))</f>
        <v>0</v>
      </c>
      <c r="I84" s="97">
        <f>IF(Option1="No",0,IF($A84&lt;ImplementationYear,0,IF($A84&gt;(ImplementationYear+(Appraisal_Period-1)),0,SUM('Travel time'!$D$22:$D$23)*$B84)))</f>
        <v>0</v>
      </c>
      <c r="J84" s="97">
        <f>IF(Option1="No",0,IF($A84&lt;ImplementationYear,0,IF($A84&gt;(ImplementationYear+(Appraisal_Period-1)),0,SUM('Travel time'!$D$20:$D$21)*$B84)))</f>
        <v>0</v>
      </c>
      <c r="K84" s="97">
        <f>IF(Option1="No",0,IF($A84&lt;ImplementationYear,0,IF($A84&gt;(ImplementationYear+(Appraisal_Period-1)),0,SUM(Quality!$D$22:$D$23)*$B84)))</f>
        <v>0</v>
      </c>
      <c r="L84" s="97">
        <f>IF(Option1="No",0,IF($A84&lt;ImplementationYear,0,IF($A84&gt;(ImplementationYear+(Appraisal_Period-1)),0,SUM(Quality!$D$20:$D$21)*$B84)))</f>
        <v>0</v>
      </c>
      <c r="M84" s="97">
        <f>IF(Option1="No",0,IF($A84&lt;ImplementationYear,0,IF($A84&gt;(ImplementationYear+(Appraisal_Period-1)),0,'Mode change'!$D$36*$B84)))</f>
        <v>0</v>
      </c>
      <c r="N84" s="97">
        <f>IF(Option1="No",0,IF($A84&lt;ImplementationYear,0,IF($A84&gt;(ImplementationYear+(Appraisal_Period-1)),0,'Mode change'!$D$37*$B84)))</f>
        <v>0</v>
      </c>
      <c r="O84" s="97">
        <f>IF(Option1="No",0,IF($A84&lt;ImplementationYear,0,IF($A84&gt;(ImplementationYear+(Appraisal_Period-1)),0,'Road safety'!$D$22*$B84)))</f>
        <v>0</v>
      </c>
      <c r="P84" s="97">
        <f>IF(Option1="No",0,IF($A84&lt;ImplementationYear,0,IF($A84&gt;(ImplementationYear+(Appraisal_Period-1)),0,'Reduction in car usage'!$D$46*$B84)))</f>
        <v>0</v>
      </c>
      <c r="Q84" s="97">
        <f>IF(Option1="No",0,IF($A84&lt;ImplementationYear,0,IF($A84&gt;(ImplementationYear+(Appraisal_Period-1)),0,'Reduction in car usage'!$D$47*$B84)))</f>
        <v>0</v>
      </c>
      <c r="R84" s="97">
        <f>IF(Option1="No",0,IF($A84&lt;ImplementationYear,0,IF($A84&gt;(ImplementationYear+(Appraisal_Period-1)),0,'Reduction in car usage'!$D$48*$B84)))</f>
        <v>0</v>
      </c>
      <c r="S84" s="92"/>
      <c r="T84" s="94">
        <f>IF(Option2="No",0,IF($A84=ImplementationYear,('Project details'!$L$10-'Project details'!$D$10)*VLOOKUP(Year_cost_estimate,'Time-series parameters'!$B$11:$C$89,2,FALSE)*$B84*(1+Contingency),0))</f>
        <v>0</v>
      </c>
      <c r="U84" s="94">
        <f>IF(Option2="No",0,IF($A84&lt;ImplementationYear,0,IF($A84&gt;(ImplementationYear+(Appraisal_Period-1)),0,('Project details'!$L$11-'Project details'!$D$11)*VLOOKUP(Year_cost_estimate,'Time-series parameters'!$B$11:$C$89,2,0))*$B84))</f>
        <v>0</v>
      </c>
      <c r="V84" s="94">
        <f>IF(Option2="No",0,IF($A84=ImplementationYear,('Project details'!$L$12-'Project details'!$D$12)*VLOOKUP(Year_cost_estimate,'Time-series parameters'!$B$11:$C$89,2,FALSE)*$B84,0))</f>
        <v>0</v>
      </c>
      <c r="W84" s="97">
        <f>IF(Option2="No",0,IF($A84&lt;ImplementationYear,0,IF($A84&gt;(ImplementationYear+(Appraisal_Period-1)),0,Health!$E$21*$B84)))</f>
        <v>0</v>
      </c>
      <c r="X84" s="97">
        <f>IF(Option2="No",0,IF($A84&lt;ImplementationYear,0,IF($A84&gt;(ImplementationYear+(Appraisal_Period-1)),0,Health!$E$22*$B84)))</f>
        <v>0</v>
      </c>
      <c r="Y84" s="97">
        <f>IF(Option2="No",0,IF($A84&lt;ImplementationYear,0,IF($A84&gt;(ImplementationYear+(Appraisal_Period-1)),0,SUM('Travel time'!$E$22:$E$23)*$B84)))</f>
        <v>0</v>
      </c>
      <c r="Z84" s="97">
        <f>IF(Option2="No",0,IF($A84&lt;ImplementationYear,0,IF($A84&gt;(ImplementationYear+(Appraisal_Period-1)),0,SUM('Travel time'!$E$20:$E$21)*$B84)))</f>
        <v>0</v>
      </c>
      <c r="AA84" s="97">
        <f>IF(Option2="No",0,IF($A84&lt;ImplementationYear,0,IF($A84&gt;(ImplementationYear+(Appraisal_Period-1)),0,SUM(Quality!$E$22:$E$23)*$B84)))</f>
        <v>0</v>
      </c>
      <c r="AB84" s="97">
        <f>IF(Option2="No",0,IF($A84&lt;ImplementationYear,0,IF($A84&gt;(ImplementationYear+(Appraisal_Period-1)),0,SUM(Quality!$E$20:$E$21)*$B84)))</f>
        <v>0</v>
      </c>
      <c r="AC84" s="97">
        <f>IF(Option2="No",0,IF($A84&lt;ImplementationYear,0,IF($A84&gt;(ImplementationYear+(Appraisal_Period-1)),0,'Mode change'!$E$36*$B84)))</f>
        <v>0</v>
      </c>
      <c r="AD84" s="97">
        <f>IF(Option2="No",0,IF($A84&lt;ImplementationYear,0,IF($A84&gt;(ImplementationYear+(Appraisal_Period-1)),0,'Mode change'!$E$37*$B84)))</f>
        <v>0</v>
      </c>
      <c r="AE84" s="97">
        <f>IF(Option2="No",0,IF($A84&lt;ImplementationYear,0,IF($A84&gt;(ImplementationYear+(Appraisal_Period-1)),0,'Road safety'!$E$22*$B84)))</f>
        <v>0</v>
      </c>
      <c r="AF84" s="97">
        <f>IF(Option2="No",0,IF($A84&lt;ImplementationYear,0,IF($A84&gt;(ImplementationYear+(Appraisal_Period-1)),0,'Reduction in car usage'!$E$46*$B84)))</f>
        <v>0</v>
      </c>
      <c r="AG84" s="97">
        <f>IF(Option2="No",0,IF($A84&lt;ImplementationYear,0,IF($A84&gt;(ImplementationYear+(Appraisal_Period-1)),0,'Reduction in car usage'!$E$47*$B84)))</f>
        <v>0</v>
      </c>
      <c r="AH84" s="97">
        <f>IF(Option2="No",0,IF($A84&lt;ImplementationYear,0,IF($A84&gt;(ImplementationYear+(Appraisal_Period-1)),0,'Reduction in car usage'!$E$48*$B84)))</f>
        <v>0</v>
      </c>
      <c r="AJ84" s="94">
        <f>IF(Option3="No",0,IF($A84=ImplementationYear,('Project details'!$P$10-'Project details'!$D$10)*VLOOKUP(Year_cost_estimate,'Time-series parameters'!$B$11:$C$89,2,FALSE)*$B84*(1+Contingency),0))</f>
        <v>0</v>
      </c>
      <c r="AK84" s="94">
        <f>IF(Option3="No",0,IF($A84&lt;ImplementationYear,0,IF($A84&gt;(ImplementationYear+(Appraisal_Period-1)),0,('Project details'!$P$11-'Project details'!$D$11)*VLOOKUP(Year_cost_estimate,'Time-series parameters'!$B$11:$C$89,2,0))*$B84))</f>
        <v>0</v>
      </c>
      <c r="AL84" s="94">
        <f>IF(Option3="No",0,IF($A84=ImplementationYear,('Project details'!$P$12-'Project details'!$D$12)*VLOOKUP(Year_cost_estimate,'Time-series parameters'!$B$11:$C$89,2,FALSE)*$B84,0))</f>
        <v>0</v>
      </c>
      <c r="AM84" s="97">
        <f>IF(Option3="No",0,IF($A84&lt;ImplementationYear,0,IF($A84&gt;(ImplementationYear+(Appraisal_Period-1)),0,Health!$F$21*$B84)))</f>
        <v>0</v>
      </c>
      <c r="AN84" s="97">
        <f>IF(Option3="No",0,IF($A84&lt;ImplementationYear,0,IF($A84&gt;(ImplementationYear+(Appraisal_Period-1)),0,Health!$F$22*$B84)))</f>
        <v>0</v>
      </c>
      <c r="AO84" s="97">
        <f>IF(Option3="No",0,IF($A84&lt;ImplementationYear,0,IF($A84&gt;(ImplementationYear+(Appraisal_Period-1)),0,SUM('Travel time'!$F$22:$F$23)*$B84)))</f>
        <v>0</v>
      </c>
      <c r="AP84" s="97">
        <f>IF(Option3="No",0,IF($A84&lt;ImplementationYear,0,IF($A84&gt;(ImplementationYear+(Appraisal_Period-1)),0,SUM('Travel time'!$F$20:$F$21)*$B84)))</f>
        <v>0</v>
      </c>
      <c r="AQ84" s="97">
        <f>IF(Option3="No",0,IF($A84&lt;ImplementationYear,0,IF($A84&gt;(ImplementationYear+(Appraisal_Period-1)),0,SUM(Quality!$F$22:$F$23)*$B84)))</f>
        <v>0</v>
      </c>
      <c r="AR84" s="97">
        <f>IF(Option3="No",0,IF($A84&lt;ImplementationYear,0,IF($A84&gt;(ImplementationYear+(Appraisal_Period-1)),0,SUM(Quality!$F$20:$F$21)*$B84)))</f>
        <v>0</v>
      </c>
      <c r="AS84" s="97">
        <f>IF(Option3="No",0,IF($A84&lt;ImplementationYear,0,IF($A84&gt;(ImplementationYear+(Appraisal_Period-1)),0,'Mode change'!$F$36*$B84)))</f>
        <v>0</v>
      </c>
      <c r="AT84" s="97">
        <f>IF(Option3="No",0,IF($A84&lt;ImplementationYear,0,IF($A84&gt;(ImplementationYear+(Appraisal_Period-1)),0,'Mode change'!$F$37*$B84)))</f>
        <v>0</v>
      </c>
      <c r="AU84" s="97">
        <f>IF(Option3="No",0,IF($A84&lt;ImplementationYear,0,IF($A84&gt;(ImplementationYear+(Appraisal_Period-1)),0,'Road safety'!$F$22*$B84)))</f>
        <v>0</v>
      </c>
      <c r="AV84" s="97">
        <f>IF(Option3="No",0,IF($A84&lt;ImplementationYear,0,IF($A84&gt;(ImplementationYear+(Appraisal_Period-1)),0,'Reduction in car usage'!$F$46*$B84)))</f>
        <v>0</v>
      </c>
      <c r="AW84" s="97">
        <f>IF(Option3="No",0,IF($A84&lt;ImplementationYear,0,IF($A84&gt;(ImplementationYear+(Appraisal_Period-1)),0,'Reduction in car usage'!$F$47*$B84)))</f>
        <v>0</v>
      </c>
      <c r="AX84" s="97">
        <f>IF(Option3="No",0,IF($A84&lt;ImplementationYear,0,IF($A84&gt;(ImplementationYear+(Appraisal_Period-1)),0,'Reduction in car usage'!$F$48*$B84)))</f>
        <v>0</v>
      </c>
    </row>
    <row r="85" spans="1:50">
      <c r="A85" s="337">
        <v>2080</v>
      </c>
      <c r="B85" s="62">
        <f>VLOOKUP($A85,'Time-series parameters'!$E$11:$H$89,3,FALSE)</f>
        <v>1.3990134776905604E-2</v>
      </c>
      <c r="C85" s="89"/>
      <c r="D85" s="95">
        <f>IF(Option1="No",0,IF($A85=ImplementationYear,('Project details'!$H$10-'Project details'!$D$10)*VLOOKUP(Year_cost_estimate,'Time-series parameters'!$B$11:$C$89,2,FALSE)*$B85*(1+Contingency),0))</f>
        <v>0</v>
      </c>
      <c r="E85" s="95">
        <f>IF(Option1="No",0,IF($A85&lt;ImplementationYear,0,IF($A85&gt;(ImplementationYear+(Appraisal_Period-1)),0,('Project details'!$H$11-'Project details'!$D$11)*VLOOKUP(Year_cost_estimate,'Time-series parameters'!$B$11:$C$89,2,0))*$B85))</f>
        <v>0</v>
      </c>
      <c r="F85" s="95">
        <f>IF(Option1="No",0,IF($A85=ImplementationYear,('Project details'!$H$12-'Project details'!$D$12)*VLOOKUP(Year_cost_estimate,'Time-series parameters'!$B$11:$C$89,2,FALSE)*$B85,0))</f>
        <v>0</v>
      </c>
      <c r="G85" s="98">
        <f>IF(Option1="No",0,IF($A85&lt;ImplementationYear,0,IF($A85&gt;(ImplementationYear+(Appraisal_Period-1)),0,Health!$D$21*$B85)))</f>
        <v>0</v>
      </c>
      <c r="H85" s="98">
        <f>IF(Option1="No",0,IF($A85&lt;ImplementationYear,0,IF($A85&gt;(ImplementationYear+(Appraisal_Period-1)),0,Health!$D$22*$B85)))</f>
        <v>0</v>
      </c>
      <c r="I85" s="98">
        <f>IF(Option1="No",0,IF($A85&lt;ImplementationYear,0,IF($A85&gt;(ImplementationYear+(Appraisal_Period-1)),0,SUM('Travel time'!$D$22:$D$23)*$B85)))</f>
        <v>0</v>
      </c>
      <c r="J85" s="98">
        <f>IF(Option1="No",0,IF($A85&lt;ImplementationYear,0,IF($A85&gt;(ImplementationYear+(Appraisal_Period-1)),0,SUM('Travel time'!$D$20:$D$21)*$B85)))</f>
        <v>0</v>
      </c>
      <c r="K85" s="98">
        <f>IF(Option1="No",0,IF($A85&lt;ImplementationYear,0,IF($A85&gt;(ImplementationYear+(Appraisal_Period-1)),0,SUM(Quality!$D$22:$D$23)*$B85)))</f>
        <v>0</v>
      </c>
      <c r="L85" s="98">
        <f>IF(Option1="No",0,IF($A85&lt;ImplementationYear,0,IF($A85&gt;(ImplementationYear+(Appraisal_Period-1)),0,SUM(Quality!$D$20:$D$21)*$B85)))</f>
        <v>0</v>
      </c>
      <c r="M85" s="97">
        <f>IF(Option1="No",0,IF($A85&lt;ImplementationYear,0,IF($A85&gt;(ImplementationYear+(Appraisal_Period-1)),0,'Mode change'!$D$36*$B85)))</f>
        <v>0</v>
      </c>
      <c r="N85" s="97">
        <f>IF(Option1="No",0,IF($A85&lt;ImplementationYear,0,IF($A85&gt;(ImplementationYear+(Appraisal_Period-1)),0,'Mode change'!$D$37*$B85)))</f>
        <v>0</v>
      </c>
      <c r="O85" s="98">
        <f>IF(Option1="No",0,IF($A85&lt;ImplementationYear,0,IF($A85&gt;(ImplementationYear+(Appraisal_Period-1)),0,'Road safety'!$D$22*$B85)))</f>
        <v>0</v>
      </c>
      <c r="P85" s="98">
        <f>IF(Option1="No",0,IF($A85&lt;ImplementationYear,0,IF($A85&gt;(ImplementationYear+(Appraisal_Period-1)),0,'Reduction in car usage'!$D$46*$B85)))</f>
        <v>0</v>
      </c>
      <c r="Q85" s="98">
        <f>IF(Option1="No",0,IF($A85&lt;ImplementationYear,0,IF($A85&gt;(ImplementationYear+(Appraisal_Period-1)),0,'Reduction in car usage'!$D$47*$B85)))</f>
        <v>0</v>
      </c>
      <c r="R85" s="98">
        <f>IF(Option1="No",0,IF($A85&lt;ImplementationYear,0,IF($A85&gt;(ImplementationYear+(Appraisal_Period-1)),0,'Reduction in car usage'!$D$48*$B85)))</f>
        <v>0</v>
      </c>
      <c r="S85" s="92"/>
      <c r="T85" s="95">
        <f>IF(Option2="No",0,IF($A85=ImplementationYear,('Project details'!$L$10-'Project details'!$D$10)*VLOOKUP(Year_cost_estimate,'Time-series parameters'!$B$11:$C$89,2,FALSE)*$B85*(1+Contingency),0))</f>
        <v>0</v>
      </c>
      <c r="U85" s="95">
        <f>IF(Option2="No",0,IF($A85&lt;ImplementationYear,0,IF($A85&gt;(ImplementationYear+(Appraisal_Period-1)),0,('Project details'!$L$11-'Project details'!$D$11)*VLOOKUP(Year_cost_estimate,'Time-series parameters'!$B$11:$C$89,2,0))*$B85))</f>
        <v>0</v>
      </c>
      <c r="V85" s="95">
        <f>IF(Option2="No",0,IF($A85=ImplementationYear,('Project details'!$L$12-'Project details'!$D$12)*VLOOKUP(Year_cost_estimate,'Time-series parameters'!$B$11:$C$89,2,FALSE)*$B85,0))</f>
        <v>0</v>
      </c>
      <c r="W85" s="98">
        <f>IF(Option2="No",0,IF($A85&lt;ImplementationYear,0,IF($A85&gt;(ImplementationYear+(Appraisal_Period-1)),0,Health!$E$21*$B85)))</f>
        <v>0</v>
      </c>
      <c r="X85" s="98">
        <f>IF(Option2="No",0,IF($A85&lt;ImplementationYear,0,IF($A85&gt;(ImplementationYear+(Appraisal_Period-1)),0,Health!$E$22*$B85)))</f>
        <v>0</v>
      </c>
      <c r="Y85" s="98">
        <f>IF(Option2="No",0,IF($A85&lt;ImplementationYear,0,IF($A85&gt;(ImplementationYear+(Appraisal_Period-1)),0,SUM('Travel time'!$E$22:$E$23)*$B85)))</f>
        <v>0</v>
      </c>
      <c r="Z85" s="98">
        <f>IF(Option2="No",0,IF($A85&lt;ImplementationYear,0,IF($A85&gt;(ImplementationYear+(Appraisal_Period-1)),0,SUM('Travel time'!$E$20:$E$21)*$B85)))</f>
        <v>0</v>
      </c>
      <c r="AA85" s="98">
        <f>IF(Option2="No",0,IF($A85&lt;ImplementationYear,0,IF($A85&gt;(ImplementationYear+(Appraisal_Period-1)),0,SUM(Quality!$E$22:$E$23)*$B85)))</f>
        <v>0</v>
      </c>
      <c r="AB85" s="98">
        <f>IF(Option2="No",0,IF($A85&lt;ImplementationYear,0,IF($A85&gt;(ImplementationYear+(Appraisal_Period-1)),0,SUM(Quality!$E$20:$E$21)*$B85)))</f>
        <v>0</v>
      </c>
      <c r="AC85" s="97">
        <f>IF(Option2="No",0,IF($A85&lt;ImplementationYear,0,IF($A85&gt;(ImplementationYear+(Appraisal_Period-1)),0,'Mode change'!$E$36*$B85)))</f>
        <v>0</v>
      </c>
      <c r="AD85" s="97">
        <f>IF(Option2="No",0,IF($A85&lt;ImplementationYear,0,IF($A85&gt;(ImplementationYear+(Appraisal_Period-1)),0,'Mode change'!$E$37*$B85)))</f>
        <v>0</v>
      </c>
      <c r="AE85" s="98">
        <f>IF(Option2="No",0,IF($A85&lt;ImplementationYear,0,IF($A85&gt;(ImplementationYear+(Appraisal_Period-1)),0,'Road safety'!$E$22*$B85)))</f>
        <v>0</v>
      </c>
      <c r="AF85" s="98">
        <f>IF(Option2="No",0,IF($A85&lt;ImplementationYear,0,IF($A85&gt;(ImplementationYear+(Appraisal_Period-1)),0,'Reduction in car usage'!$E$46*$B85)))</f>
        <v>0</v>
      </c>
      <c r="AG85" s="98">
        <f>IF(Option2="No",0,IF($A85&lt;ImplementationYear,0,IF($A85&gt;(ImplementationYear+(Appraisal_Period-1)),0,'Reduction in car usage'!$E$47*$B85)))</f>
        <v>0</v>
      </c>
      <c r="AH85" s="98">
        <f>IF(Option2="No",0,IF($A85&lt;ImplementationYear,0,IF($A85&gt;(ImplementationYear+(Appraisal_Period-1)),0,'Reduction in car usage'!$E$48*$B85)))</f>
        <v>0</v>
      </c>
      <c r="AJ85" s="95">
        <f>IF(Option3="No",0,IF($A85=ImplementationYear,('Project details'!$P$10-'Project details'!$D$10)*VLOOKUP(Year_cost_estimate,'Time-series parameters'!$B$11:$C$89,2,FALSE)*$B85*(1+Contingency),0))</f>
        <v>0</v>
      </c>
      <c r="AK85" s="95">
        <f>IF(Option3="No",0,IF($A85&lt;ImplementationYear,0,IF($A85&gt;(ImplementationYear+(Appraisal_Period-1)),0,('Project details'!$P$11-'Project details'!$D$11)*VLOOKUP(Year_cost_estimate,'Time-series parameters'!$B$11:$C$89,2,0))*$B85))</f>
        <v>0</v>
      </c>
      <c r="AL85" s="95">
        <f>IF(Option3="No",0,IF($A85=ImplementationYear,('Project details'!$P$12-'Project details'!$D$12)*VLOOKUP(Year_cost_estimate,'Time-series parameters'!$B$11:$C$89,2,FALSE)*$B85,0))</f>
        <v>0</v>
      </c>
      <c r="AM85" s="98">
        <f>IF(Option3="No",0,IF($A85&lt;ImplementationYear,0,IF($A85&gt;(ImplementationYear+(Appraisal_Period-1)),0,Health!$F$21*$B85)))</f>
        <v>0</v>
      </c>
      <c r="AN85" s="98">
        <f>IF(Option3="No",0,IF($A85&lt;ImplementationYear,0,IF($A85&gt;(ImplementationYear+(Appraisal_Period-1)),0,Health!$F$22*$B85)))</f>
        <v>0</v>
      </c>
      <c r="AO85" s="98">
        <f>IF(Option3="No",0,IF($A85&lt;ImplementationYear,0,IF($A85&gt;(ImplementationYear+(Appraisal_Period-1)),0,SUM('Travel time'!$F$22:$F$23)*$B85)))</f>
        <v>0</v>
      </c>
      <c r="AP85" s="98">
        <f>IF(Option3="No",0,IF($A85&lt;ImplementationYear,0,IF($A85&gt;(ImplementationYear+(Appraisal_Period-1)),0,SUM('Travel time'!$F$20:$F$21)*$B85)))</f>
        <v>0</v>
      </c>
      <c r="AQ85" s="98">
        <f>IF(Option3="No",0,IF($A85&lt;ImplementationYear,0,IF($A85&gt;(ImplementationYear+(Appraisal_Period-1)),0,SUM(Quality!$F$22:$F$23)*$B85)))</f>
        <v>0</v>
      </c>
      <c r="AR85" s="98">
        <f>IF(Option3="No",0,IF($A85&lt;ImplementationYear,0,IF($A85&gt;(ImplementationYear+(Appraisal_Period-1)),0,SUM(Quality!$F$20:$F$21)*$B85)))</f>
        <v>0</v>
      </c>
      <c r="AS85" s="97">
        <f>IF(Option3="No",0,IF($A85&lt;ImplementationYear,0,IF($A85&gt;(ImplementationYear+(Appraisal_Period-1)),0,'Mode change'!$F$36*$B85)))</f>
        <v>0</v>
      </c>
      <c r="AT85" s="97">
        <f>IF(Option3="No",0,IF($A85&lt;ImplementationYear,0,IF($A85&gt;(ImplementationYear+(Appraisal_Period-1)),0,'Mode change'!$F$37*$B85)))</f>
        <v>0</v>
      </c>
      <c r="AU85" s="98">
        <f>IF(Option3="No",0,IF($A85&lt;ImplementationYear,0,IF($A85&gt;(ImplementationYear+(Appraisal_Period-1)),0,'Road safety'!$F$22*$B85)))</f>
        <v>0</v>
      </c>
      <c r="AV85" s="98">
        <f>IF(Option3="No",0,IF($A85&lt;ImplementationYear,0,IF($A85&gt;(ImplementationYear+(Appraisal_Period-1)),0,'Reduction in car usage'!$F$46*$B85)))</f>
        <v>0</v>
      </c>
      <c r="AW85" s="98">
        <f>IF(Option3="No",0,IF($A85&lt;ImplementationYear,0,IF($A85&gt;(ImplementationYear+(Appraisal_Period-1)),0,'Reduction in car usage'!$F$47*$B85)))</f>
        <v>0</v>
      </c>
      <c r="AX85" s="98">
        <f>IF(Option3="No",0,IF($A85&lt;ImplementationYear,0,IF($A85&gt;(ImplementationYear+(Appraisal_Period-1)),0,'Reduction in car usage'!$F$48*$B85)))</f>
        <v>0</v>
      </c>
    </row>
  </sheetData>
  <sheetProtection password="EA07" sheet="1" objects="1" scenarios="1"/>
  <mergeCells count="4">
    <mergeCell ref="A6:A7"/>
    <mergeCell ref="G6:R6"/>
    <mergeCell ref="W6:AH6"/>
    <mergeCell ref="AM6:AX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sheetPr>
    <tabColor theme="7"/>
  </sheetPr>
  <dimension ref="A2:AX85"/>
  <sheetViews>
    <sheetView zoomScale="85" zoomScaleNormal="85" workbookViewId="0">
      <selection activeCell="AS9" sqref="AS9"/>
    </sheetView>
  </sheetViews>
  <sheetFormatPr defaultColWidth="9.140625" defaultRowHeight="15"/>
  <cols>
    <col min="1" max="1" width="8" style="1" customWidth="1"/>
    <col min="2" max="2" width="26.7109375" style="1" customWidth="1"/>
    <col min="3" max="3" width="3.5703125" style="15" customWidth="1"/>
    <col min="4" max="6" width="17.140625" style="1" customWidth="1"/>
    <col min="7" max="7" width="15.7109375" style="1" customWidth="1"/>
    <col min="8" max="8" width="14.5703125" style="1" customWidth="1"/>
    <col min="9" max="9" width="15.140625" style="1" customWidth="1"/>
    <col min="10" max="18" width="13.42578125" style="1" customWidth="1"/>
    <col min="19" max="19" width="4.28515625" style="15" customWidth="1"/>
    <col min="20" max="34" width="15.85546875" style="1" customWidth="1"/>
    <col min="35" max="35" width="3.7109375" style="1" customWidth="1"/>
    <col min="36" max="50" width="15.85546875" style="1" customWidth="1"/>
    <col min="51" max="16384" width="9.140625" style="1"/>
  </cols>
  <sheetData>
    <row r="2" spans="1:50">
      <c r="B2" s="295" t="s">
        <v>99</v>
      </c>
    </row>
    <row r="3" spans="1:50">
      <c r="G3" s="96"/>
    </row>
    <row r="5" spans="1:50" ht="18.75">
      <c r="B5" s="9"/>
      <c r="C5" s="18"/>
      <c r="D5" s="2" t="s">
        <v>124</v>
      </c>
      <c r="E5" s="9"/>
      <c r="F5" s="9"/>
      <c r="G5" s="9"/>
      <c r="H5" s="9"/>
      <c r="I5" s="9"/>
      <c r="J5" s="9"/>
      <c r="K5" s="9"/>
      <c r="L5" s="9"/>
      <c r="M5" s="9"/>
      <c r="N5" s="9"/>
      <c r="O5" s="9"/>
      <c r="P5" s="9"/>
      <c r="Q5" s="9"/>
      <c r="R5" s="9"/>
      <c r="S5" s="18"/>
      <c r="T5" s="2" t="s">
        <v>125</v>
      </c>
      <c r="U5" s="9"/>
      <c r="V5" s="9"/>
      <c r="W5" s="9"/>
      <c r="X5" s="9"/>
      <c r="Y5" s="9"/>
      <c r="Z5" s="9"/>
      <c r="AA5" s="9"/>
      <c r="AB5" s="9"/>
      <c r="AC5" s="9"/>
      <c r="AD5" s="9"/>
      <c r="AE5" s="9"/>
      <c r="AF5" s="9"/>
      <c r="AG5" s="9"/>
      <c r="AH5" s="9"/>
      <c r="AJ5" s="2" t="s">
        <v>126</v>
      </c>
      <c r="AK5" s="9"/>
      <c r="AL5" s="9"/>
      <c r="AM5" s="9"/>
      <c r="AN5" s="9"/>
      <c r="AO5" s="9"/>
      <c r="AP5" s="9"/>
      <c r="AQ5" s="9"/>
      <c r="AR5" s="9"/>
      <c r="AS5" s="9"/>
      <c r="AT5" s="9"/>
      <c r="AU5" s="9"/>
      <c r="AV5" s="9"/>
      <c r="AW5" s="9"/>
      <c r="AX5" s="9"/>
    </row>
    <row r="6" spans="1:50" ht="15.75">
      <c r="A6" s="604" t="s">
        <v>81</v>
      </c>
      <c r="B6" s="507" t="s">
        <v>82</v>
      </c>
      <c r="C6" s="90"/>
      <c r="D6" s="91" t="s">
        <v>600</v>
      </c>
      <c r="E6" s="87"/>
      <c r="F6" s="87"/>
      <c r="G6" s="606" t="s">
        <v>88</v>
      </c>
      <c r="H6" s="607"/>
      <c r="I6" s="607"/>
      <c r="J6" s="607"/>
      <c r="K6" s="607"/>
      <c r="L6" s="607"/>
      <c r="M6" s="607"/>
      <c r="N6" s="607"/>
      <c r="O6" s="607"/>
      <c r="P6" s="607"/>
      <c r="Q6" s="607"/>
      <c r="R6" s="608"/>
      <c r="S6" s="93"/>
      <c r="T6" s="91" t="s">
        <v>84</v>
      </c>
      <c r="U6" s="87"/>
      <c r="V6" s="87"/>
      <c r="W6" s="606" t="s">
        <v>88</v>
      </c>
      <c r="X6" s="607"/>
      <c r="Y6" s="607"/>
      <c r="Z6" s="607"/>
      <c r="AA6" s="607"/>
      <c r="AB6" s="607"/>
      <c r="AC6" s="607"/>
      <c r="AD6" s="607"/>
      <c r="AE6" s="607"/>
      <c r="AF6" s="607"/>
      <c r="AG6" s="607"/>
      <c r="AH6" s="608"/>
      <c r="AJ6" s="91" t="s">
        <v>84</v>
      </c>
      <c r="AK6" s="87"/>
      <c r="AL6" s="87"/>
      <c r="AM6" s="606" t="s">
        <v>88</v>
      </c>
      <c r="AN6" s="607"/>
      <c r="AO6" s="607"/>
      <c r="AP6" s="607"/>
      <c r="AQ6" s="607"/>
      <c r="AR6" s="607"/>
      <c r="AS6" s="607"/>
      <c r="AT6" s="607"/>
      <c r="AU6" s="607"/>
      <c r="AV6" s="607"/>
      <c r="AW6" s="607"/>
      <c r="AX6" s="608"/>
    </row>
    <row r="7" spans="1:50" ht="45">
      <c r="A7" s="605"/>
      <c r="B7" s="40" t="s">
        <v>83</v>
      </c>
      <c r="C7" s="39"/>
      <c r="D7" s="40" t="s">
        <v>85</v>
      </c>
      <c r="E7" s="40" t="s">
        <v>86</v>
      </c>
      <c r="F7" s="40" t="s">
        <v>87</v>
      </c>
      <c r="G7" s="40" t="s">
        <v>137</v>
      </c>
      <c r="H7" s="41" t="s">
        <v>138</v>
      </c>
      <c r="I7" s="508" t="s">
        <v>230</v>
      </c>
      <c r="J7" s="508" t="s">
        <v>231</v>
      </c>
      <c r="K7" s="508" t="s">
        <v>242</v>
      </c>
      <c r="L7" s="508" t="s">
        <v>243</v>
      </c>
      <c r="M7" s="508" t="s">
        <v>691</v>
      </c>
      <c r="N7" s="508" t="s">
        <v>692</v>
      </c>
      <c r="O7" s="509" t="s">
        <v>6</v>
      </c>
      <c r="P7" s="508" t="s">
        <v>7</v>
      </c>
      <c r="Q7" s="508" t="s">
        <v>232</v>
      </c>
      <c r="R7" s="508" t="s">
        <v>233</v>
      </c>
      <c r="S7" s="510"/>
      <c r="T7" s="40" t="s">
        <v>85</v>
      </c>
      <c r="U7" s="40" t="s">
        <v>86</v>
      </c>
      <c r="V7" s="40" t="s">
        <v>87</v>
      </c>
      <c r="W7" s="40" t="s">
        <v>137</v>
      </c>
      <c r="X7" s="41" t="s">
        <v>138</v>
      </c>
      <c r="Y7" s="508" t="s">
        <v>230</v>
      </c>
      <c r="Z7" s="508" t="s">
        <v>231</v>
      </c>
      <c r="AA7" s="508" t="s">
        <v>242</v>
      </c>
      <c r="AB7" s="508" t="s">
        <v>243</v>
      </c>
      <c r="AC7" s="508" t="s">
        <v>691</v>
      </c>
      <c r="AD7" s="508" t="s">
        <v>692</v>
      </c>
      <c r="AE7" s="509" t="s">
        <v>6</v>
      </c>
      <c r="AF7" s="508" t="s">
        <v>7</v>
      </c>
      <c r="AG7" s="508" t="s">
        <v>232</v>
      </c>
      <c r="AH7" s="508" t="s">
        <v>233</v>
      </c>
      <c r="AI7" s="498"/>
      <c r="AJ7" s="40" t="s">
        <v>85</v>
      </c>
      <c r="AK7" s="40" t="s">
        <v>86</v>
      </c>
      <c r="AL7" s="40" t="s">
        <v>87</v>
      </c>
      <c r="AM7" s="40" t="s">
        <v>137</v>
      </c>
      <c r="AN7" s="41" t="s">
        <v>138</v>
      </c>
      <c r="AO7" s="508" t="s">
        <v>230</v>
      </c>
      <c r="AP7" s="508" t="s">
        <v>231</v>
      </c>
      <c r="AQ7" s="508" t="s">
        <v>242</v>
      </c>
      <c r="AR7" s="508" t="s">
        <v>243</v>
      </c>
      <c r="AS7" s="508" t="s">
        <v>691</v>
      </c>
      <c r="AT7" s="508" t="s">
        <v>692</v>
      </c>
      <c r="AU7" s="509" t="s">
        <v>6</v>
      </c>
      <c r="AV7" s="508" t="s">
        <v>7</v>
      </c>
      <c r="AW7" s="508" t="s">
        <v>232</v>
      </c>
      <c r="AX7" s="508" t="s">
        <v>233</v>
      </c>
    </row>
    <row r="8" spans="1:50">
      <c r="A8" s="335">
        <v>2003</v>
      </c>
      <c r="B8" s="62" t="str">
        <f>VLOOKUP($A8,'Time-series parameters'!$E$11:$H$89,4,FALSE)</f>
        <v/>
      </c>
      <c r="C8" s="89"/>
      <c r="D8" s="94">
        <f>IF(Option1="No",0,IF($A8=ImplementationYear,('Project details'!$H$10-'Project details'!$D$10)*VLOOKUP(Year_cost_estimate,'Time-series parameters'!$B$11:$C$89,2,FALSE)*$B8*(1+Contingency),0))</f>
        <v>0</v>
      </c>
      <c r="E8" s="94" t="e">
        <f>IF(Option1="No",0,IF($A8&lt;ImplementationYear,0,IF($A8&gt;(ImplementationYear+(Appraisal_Period-1)),0,('Project details'!$H$11-'Project details'!$D$11)*VLOOKUP(Year_cost_estimate,'Time-series parameters'!$B$11:$C$89,2,0))*$B8))</f>
        <v>#VALUE!</v>
      </c>
      <c r="F8" s="94">
        <f>IF(Option1="No",0,IF($A8=ImplementationYear,('Project details'!$H$12-'Project details'!$D$12)*VLOOKUP(Year_cost_estimate,'Time-series parameters'!$B$11:$C$89,2,FALSE)*$B8,0))</f>
        <v>0</v>
      </c>
      <c r="G8" s="97">
        <f>IF(Option1="No",0,IF($A8&lt;ImplementationYear,0,IF($A8&gt;(ImplementationYear+(Appraisal_Period-1)),0,Health!$D$21*$B8)))</f>
        <v>0</v>
      </c>
      <c r="H8" s="97">
        <f>IF(Option1="No",0,IF($A8&lt;ImplementationYear,0,IF($A8&gt;(ImplementationYear+(Appraisal_Period-1)),0,Health!$D$22*$B8)))</f>
        <v>0</v>
      </c>
      <c r="I8" s="97">
        <f>IF(Option1="No",0,IF($A8&lt;ImplementationYear,0,IF($A8&gt;(ImplementationYear+(Appraisal_Period-1)),0,SUM('Travel time'!$D$22:$D$23)*$B8)))</f>
        <v>0</v>
      </c>
      <c r="J8" s="97">
        <f>IF(Option1="No",0,IF($A8&lt;ImplementationYear,0,IF($A8&gt;(ImplementationYear+(Appraisal_Period-1)),0,SUM('Travel time'!$D$20:$D$21)*$B8)))</f>
        <v>0</v>
      </c>
      <c r="K8" s="97">
        <f>IF(Option1="No",0,IF($A8&lt;ImplementationYear,0,IF($A8&gt;(ImplementationYear+(Appraisal_Period-1)),0,SUM(Quality!$D$22:$D$23)*$B8)))</f>
        <v>0</v>
      </c>
      <c r="L8" s="97">
        <f>IF(Option1="No",0,IF($A8&lt;ImplementationYear,0,IF($A8&gt;(ImplementationYear+(Appraisal_Period-1)),0,SUM(Quality!$D$20:$D$21)*$B8)))</f>
        <v>0</v>
      </c>
      <c r="M8" s="97">
        <f>IF(Option1="No",0,IF($A8&lt;ImplementationYear,0,IF($A8&gt;(ImplementationYear+(Appraisal_Period-1)),0,'Mode change'!$D$36*$B8)))</f>
        <v>0</v>
      </c>
      <c r="N8" s="97">
        <f>IF(Option1="No",0,IF($A8&lt;ImplementationYear,0,IF($A8&gt;(ImplementationYear+(Appraisal_Period-1)),0,'Mode change'!$D$37*$B8)))</f>
        <v>0</v>
      </c>
      <c r="O8" s="97">
        <f>IF(Option1="No",0,IF($A8&lt;ImplementationYear,0,IF($A8&gt;(ImplementationYear+(Appraisal_Period-1)),0,'Road safety'!$D$22*$B8)))</f>
        <v>0</v>
      </c>
      <c r="P8" s="97">
        <f>IF(Option1="No",0,IF($A8&lt;ImplementationYear,0,IF($A8&gt;(ImplementationYear+(Appraisal_Period-1)),0,'Reduction in car usage'!$D$46*$B8)))</f>
        <v>0</v>
      </c>
      <c r="Q8" s="97">
        <f>IF(Option1="No",0,IF($A8&lt;ImplementationYear,0,IF($A8&gt;(ImplementationYear+(Appraisal_Period-1)),0,'Reduction in car usage'!$D$47*$B8)))</f>
        <v>0</v>
      </c>
      <c r="R8" s="97">
        <f>IF(Option1="No",0,IF($A8&lt;ImplementationYear,0,IF($A8&gt;(ImplementationYear+(Appraisal_Period-1)),0,'Reduction in car usage'!$D$48*$B8)))</f>
        <v>0</v>
      </c>
      <c r="S8" s="92"/>
      <c r="T8" s="94">
        <f>IF(Option2="No",0,IF($A8=ImplementationYear,('Project details'!$L$10-'Project details'!$D$10)*VLOOKUP(Year_cost_estimate,'Time-series parameters'!$B$11:$C$89,2,FALSE)*$B8*(1+Contingency),0))</f>
        <v>0</v>
      </c>
      <c r="U8" s="94" t="e">
        <f>IF(Option2="No",0,IF($A8&lt;ImplementationYear,0,IF($A8&gt;(ImplementationYear+(Appraisal_Period-1)),0,('Project details'!$L$11-'Project details'!$D$11)*VLOOKUP(Year_cost_estimate,'Time-series parameters'!$B$11:$C$89,2,0))*$B8))</f>
        <v>#VALUE!</v>
      </c>
      <c r="V8" s="94">
        <f>IF(Option2="No",0,IF($A8=ImplementationYear,('Project details'!$L$12-'Project details'!$D$12)*VLOOKUP(Year_cost_estimate,'Time-series parameters'!$B$11:$C$89,2,FALSE)*$B8,0))</f>
        <v>0</v>
      </c>
      <c r="W8" s="97">
        <f>IF(Option2="No",0,IF($A8&lt;ImplementationYear,0,IF($A8&gt;(ImplementationYear+(Appraisal_Period-1)),0,Health!$E$21*$B8)))</f>
        <v>0</v>
      </c>
      <c r="X8" s="97">
        <f>IF(Option2="No",0,IF($A8&lt;ImplementationYear,0,IF($A8&gt;(ImplementationYear+(Appraisal_Period-1)),0,Health!$E$22*$B8)))</f>
        <v>0</v>
      </c>
      <c r="Y8" s="97">
        <f>IF(Option2="No",0,IF($A8&lt;ImplementationYear,0,IF($A8&gt;(ImplementationYear+(Appraisal_Period-1)),0,SUM('Travel time'!$E$22:$E$23)*$B8)))</f>
        <v>0</v>
      </c>
      <c r="Z8" s="97">
        <f>IF(Option2="No",0,IF($A8&lt;ImplementationYear,0,IF($A8&gt;(ImplementationYear+(Appraisal_Period-1)),0,SUM('Travel time'!$E$20:$E$21)*$B8)))</f>
        <v>0</v>
      </c>
      <c r="AA8" s="97">
        <f>IF(Option2="No",0,IF($A8&lt;ImplementationYear,0,IF($A8&gt;(ImplementationYear+(Appraisal_Period-1)),0,SUM(Quality!$E$22:$E$23)*$B8)))</f>
        <v>0</v>
      </c>
      <c r="AB8" s="97">
        <f>IF(Option2="No",0,IF($A8&lt;ImplementationYear,0,IF($A8&gt;(ImplementationYear+(Appraisal_Period-1)),0,SUM(Quality!$E$20:$E$21)*$B8)))</f>
        <v>0</v>
      </c>
      <c r="AC8" s="97">
        <f>IF(Option2="No",0,IF($A8&lt;ImplementationYear,0,IF($A8&gt;(ImplementationYear+(Appraisal_Period-1)),0,'Mode change'!$E$36*$B8)))</f>
        <v>0</v>
      </c>
      <c r="AD8" s="97">
        <f>IF(Option2="No",0,IF($A8&lt;ImplementationYear,0,IF($A8&gt;(ImplementationYear+(Appraisal_Period-1)),0,'Mode change'!$E$37*$B8)))</f>
        <v>0</v>
      </c>
      <c r="AE8" s="97">
        <f>IF(Option2="No",0,IF($A8&lt;ImplementationYear,0,IF($A8&gt;(ImplementationYear+(Appraisal_Period-1)),0,'Road safety'!$E$22*$B8)))</f>
        <v>0</v>
      </c>
      <c r="AF8" s="97">
        <f>IF(Option2="No",0,IF($A8&lt;ImplementationYear,0,IF($A8&gt;(ImplementationYear+(Appraisal_Period-1)),0,'Reduction in car usage'!$E$46*$B8)))</f>
        <v>0</v>
      </c>
      <c r="AG8" s="97">
        <f>IF(Option2="No",0,IF($A8&lt;ImplementationYear,0,IF($A8&gt;(ImplementationYear+(Appraisal_Period-1)),0,'Reduction in car usage'!$E$47*$B8)))</f>
        <v>0</v>
      </c>
      <c r="AH8" s="97">
        <f>IF(Option2="No",0,IF($A8&lt;ImplementationYear,0,IF($A8&gt;(ImplementationYear+(Appraisal_Period-1)),0,'Reduction in car usage'!$E$48*$B8)))</f>
        <v>0</v>
      </c>
      <c r="AJ8" s="94">
        <f>IF(Option3="No",0,IF($A8=ImplementationYear,('Project details'!$P$10-'Project details'!$D$10)*VLOOKUP(Year_cost_estimate,'Time-series parameters'!$B$11:$C$89,2,FALSE)*$B8*(1+Contingency),0))</f>
        <v>0</v>
      </c>
      <c r="AK8" s="94" t="e">
        <f>IF(Option3="No",0,IF($A8&lt;ImplementationYear,0,IF($A8&gt;(ImplementationYear+(Appraisal_Period-1)),0,('Project details'!$P$11-'Project details'!$D$11)*VLOOKUP(Year_cost_estimate,'Time-series parameters'!$B$11:$C$89,2,0))*$B8))</f>
        <v>#VALUE!</v>
      </c>
      <c r="AL8" s="94">
        <f>IF(Option3="No",0,IF($A8=ImplementationYear,('Project details'!$P$12-'Project details'!$D$12)*VLOOKUP(Year_cost_estimate,'Time-series parameters'!$B$11:$C$89,2,FALSE)*$B8,0))</f>
        <v>0</v>
      </c>
      <c r="AM8" s="97">
        <f>IF(Option3="No",0,IF($A8&lt;ImplementationYear,0,IF($A8&gt;(ImplementationYear+(Appraisal_Period-1)),0,Health!$F$21*$B8)))</f>
        <v>0</v>
      </c>
      <c r="AN8" s="97">
        <f>IF(Option3="No",0,IF($A8&lt;ImplementationYear,0,IF($A8&gt;(ImplementationYear+(Appraisal_Period-1)),0,Health!$F$22*$B8)))</f>
        <v>0</v>
      </c>
      <c r="AO8" s="97">
        <f>IF(Option3="No",0,IF($A8&lt;ImplementationYear,0,IF($A8&gt;(ImplementationYear+(Appraisal_Period-1)),0,SUM('Travel time'!$F$22:$F$23)*$B8)))</f>
        <v>0</v>
      </c>
      <c r="AP8" s="97">
        <f>IF(Option3="No",0,IF($A8&lt;ImplementationYear,0,IF($A8&gt;(ImplementationYear+(Appraisal_Period-1)),0,SUM('Travel time'!$F$20:$F$21)*$B8)))</f>
        <v>0</v>
      </c>
      <c r="AQ8" s="97">
        <f>IF(Option3="No",0,IF($A8&lt;ImplementationYear,0,IF($A8&gt;(ImplementationYear+(Appraisal_Period-1)),0,SUM(Quality!$F$22:$F$23)*$B8)))</f>
        <v>0</v>
      </c>
      <c r="AR8" s="97">
        <f>IF(Option3="No",0,IF($A8&lt;ImplementationYear,0,IF($A8&gt;(ImplementationYear+(Appraisal_Period-1)),0,SUM(Quality!$F$20:$F$21)*$B8)))</f>
        <v>0</v>
      </c>
      <c r="AS8" s="97">
        <f>IF(Option3="No",0,IF($A8&lt;ImplementationYear,0,IF($A8&gt;(ImplementationYear+(Appraisal_Period-1)),0,'Mode change'!$F$36*$B8)))</f>
        <v>0</v>
      </c>
      <c r="AT8" s="97">
        <f>IF(Option3="No",0,IF($A8&lt;ImplementationYear,0,IF($A8&gt;(ImplementationYear+(Appraisal_Period-1)),0,'Mode change'!$F$37*$B8)))</f>
        <v>0</v>
      </c>
      <c r="AU8" s="97">
        <f>IF(Option3="No",0,IF($A8&lt;ImplementationYear,0,IF($A8&gt;(ImplementationYear+(Appraisal_Period-1)),0,'Road safety'!$F$22*$B8)))</f>
        <v>0</v>
      </c>
      <c r="AV8" s="97">
        <f>IF(Option3="No",0,IF($A8&lt;ImplementationYear,0,IF($A8&gt;(ImplementationYear+(Appraisal_Period-1)),0,'Reduction in car usage'!$F$46*$B8)))</f>
        <v>0</v>
      </c>
      <c r="AW8" s="97">
        <f>IF(Option3="No",0,IF($A8&lt;ImplementationYear,0,IF($A8&gt;(ImplementationYear+(Appraisal_Period-1)),0,'Reduction in car usage'!$F$47*$B8)))</f>
        <v>0</v>
      </c>
      <c r="AX8" s="97">
        <f>IF(Option3="No",0,IF($A8&lt;ImplementationYear,0,IF($A8&gt;(ImplementationYear+(Appraisal_Period-1)),0,'Reduction in car usage'!$F$48*$B8)))</f>
        <v>0</v>
      </c>
    </row>
    <row r="9" spans="1:50">
      <c r="A9" s="335">
        <v>2004</v>
      </c>
      <c r="B9" s="62" t="str">
        <f>VLOOKUP($A9,'Time-series parameters'!$E$11:$H$89,4,FALSE)</f>
        <v/>
      </c>
      <c r="C9" s="89"/>
      <c r="D9" s="94">
        <f>IF(Option1="No",0,IF($A9=ImplementationYear,('Project details'!$H$10-'Project details'!$D$10)*VLOOKUP(Year_cost_estimate,'Time-series parameters'!$B$11:$C$89,2,FALSE)*$B9*(1+Contingency),0))</f>
        <v>0</v>
      </c>
      <c r="E9" s="94" t="e">
        <f>IF(Option1="No",0,IF($A9&lt;ImplementationYear,0,IF($A9&gt;(ImplementationYear+(Appraisal_Period-1)),0,('Project details'!$H$11-'Project details'!$D$11)*VLOOKUP(Year_cost_estimate,'Time-series parameters'!$B$11:$C$89,2,0))*$B9))</f>
        <v>#VALUE!</v>
      </c>
      <c r="F9" s="94">
        <f>IF(Option1="No",0,IF($A9=ImplementationYear,('Project details'!$H$12-'Project details'!$D$12)*VLOOKUP(Year_cost_estimate,'Time-series parameters'!$B$11:$C$89,2,FALSE)*$B9,0))</f>
        <v>0</v>
      </c>
      <c r="G9" s="97">
        <f>IF(Option1="No",0,IF($A9&lt;ImplementationYear,0,IF($A9&gt;(ImplementationYear+(Appraisal_Period-1)),0,Health!$D$21*$B9)))</f>
        <v>0</v>
      </c>
      <c r="H9" s="97">
        <f>IF(Option1="No",0,IF($A9&lt;ImplementationYear,0,IF($A9&gt;(ImplementationYear+(Appraisal_Period-1)),0,Health!$D$22*$B9)))</f>
        <v>0</v>
      </c>
      <c r="I9" s="97">
        <f>IF(Option1="No",0,IF($A9&lt;ImplementationYear,0,IF($A9&gt;(ImplementationYear+(Appraisal_Period-1)),0,SUM('Travel time'!$D$22:$D$23)*$B9)))</f>
        <v>0</v>
      </c>
      <c r="J9" s="97">
        <f>IF(Option1="No",0,IF($A9&lt;ImplementationYear,0,IF($A9&gt;(ImplementationYear+(Appraisal_Period-1)),0,SUM('Travel time'!$D$20:$D$21)*$B9)))</f>
        <v>0</v>
      </c>
      <c r="K9" s="97">
        <f>IF(Option1="No",0,IF($A9&lt;ImplementationYear,0,IF($A9&gt;(ImplementationYear+(Appraisal_Period-1)),0,SUM(Quality!$D$22:$D$23)*$B9)))</f>
        <v>0</v>
      </c>
      <c r="L9" s="97">
        <f>IF(Option1="No",0,IF($A9&lt;ImplementationYear,0,IF($A9&gt;(ImplementationYear+(Appraisal_Period-1)),0,SUM(Quality!$D$20:$D$21)*$B9)))</f>
        <v>0</v>
      </c>
      <c r="M9" s="97">
        <f>IF(Option1="No",0,IF($A9&lt;ImplementationYear,0,IF($A9&gt;(ImplementationYear+(Appraisal_Period-1)),0,'Mode change'!$D$36*$B9)))</f>
        <v>0</v>
      </c>
      <c r="N9" s="97">
        <f>IF(Option1="No",0,IF($A9&lt;ImplementationYear,0,IF($A9&gt;(ImplementationYear+(Appraisal_Period-1)),0,'Mode change'!$D$37*$B9)))</f>
        <v>0</v>
      </c>
      <c r="O9" s="97">
        <f>IF(Option1="No",0,IF($A9&lt;ImplementationYear,0,IF($A9&gt;(ImplementationYear+(Appraisal_Period-1)),0,'Road safety'!$D$22*$B9)))</f>
        <v>0</v>
      </c>
      <c r="P9" s="97">
        <f>IF(Option1="No",0,IF($A9&lt;ImplementationYear,0,IF($A9&gt;(ImplementationYear+(Appraisal_Period-1)),0,'Reduction in car usage'!$D$46*$B9)))</f>
        <v>0</v>
      </c>
      <c r="Q9" s="97">
        <f>IF(Option1="No",0,IF($A9&lt;ImplementationYear,0,IF($A9&gt;(ImplementationYear+(Appraisal_Period-1)),0,'Reduction in car usage'!$D$47*$B9)))</f>
        <v>0</v>
      </c>
      <c r="R9" s="97">
        <f>IF(Option1="No",0,IF($A9&lt;ImplementationYear,0,IF($A9&gt;(ImplementationYear+(Appraisal_Period-1)),0,'Reduction in car usage'!$D$48*$B9)))</f>
        <v>0</v>
      </c>
      <c r="S9" s="92"/>
      <c r="T9" s="94">
        <f>IF(Option2="No",0,IF($A9=ImplementationYear,('Project details'!$L$10-'Project details'!$D$10)*VLOOKUP(Year_cost_estimate,'Time-series parameters'!$B$11:$C$89,2,FALSE)*$B9*(1+Contingency),0))</f>
        <v>0</v>
      </c>
      <c r="U9" s="94" t="e">
        <f>IF(Option2="No",0,IF($A9&lt;ImplementationYear,0,IF($A9&gt;(ImplementationYear+(Appraisal_Period-1)),0,('Project details'!$L$11-'Project details'!$D$11)*VLOOKUP(Year_cost_estimate,'Time-series parameters'!$B$11:$C$89,2,0))*$B9))</f>
        <v>#VALUE!</v>
      </c>
      <c r="V9" s="94">
        <f>IF(Option2="No",0,IF($A9=ImplementationYear,('Project details'!$L$12-'Project details'!$D$12)*VLOOKUP(Year_cost_estimate,'Time-series parameters'!$B$11:$C$89,2,FALSE)*$B9,0))</f>
        <v>0</v>
      </c>
      <c r="W9" s="97">
        <f>IF(Option2="No",0,IF($A9&lt;ImplementationYear,0,IF($A9&gt;(ImplementationYear+(Appraisal_Period-1)),0,Health!$E$21*$B9)))</f>
        <v>0</v>
      </c>
      <c r="X9" s="97">
        <f>IF(Option2="No",0,IF($A9&lt;ImplementationYear,0,IF($A9&gt;(ImplementationYear+(Appraisal_Period-1)),0,Health!$E$22*$B9)))</f>
        <v>0</v>
      </c>
      <c r="Y9" s="97">
        <f>IF(Option2="No",0,IF($A9&lt;ImplementationYear,0,IF($A9&gt;(ImplementationYear+(Appraisal_Period-1)),0,SUM('Travel time'!$E$22:$E$23)*$B9)))</f>
        <v>0</v>
      </c>
      <c r="Z9" s="97">
        <f>IF(Option2="No",0,IF($A9&lt;ImplementationYear,0,IF($A9&gt;(ImplementationYear+(Appraisal_Period-1)),0,SUM('Travel time'!$E$20:$E$21)*$B9)))</f>
        <v>0</v>
      </c>
      <c r="AA9" s="97">
        <f>IF(Option2="No",0,IF($A9&lt;ImplementationYear,0,IF($A9&gt;(ImplementationYear+(Appraisal_Period-1)),0,SUM(Quality!$E$22:$E$23)*$B9)))</f>
        <v>0</v>
      </c>
      <c r="AB9" s="97">
        <f>IF(Option2="No",0,IF($A9&lt;ImplementationYear,0,IF($A9&gt;(ImplementationYear+(Appraisal_Period-1)),0,SUM(Quality!$E$20:$E$21)*$B9)))</f>
        <v>0</v>
      </c>
      <c r="AC9" s="97">
        <f>IF(Option2="No",0,IF($A9&lt;ImplementationYear,0,IF($A9&gt;(ImplementationYear+(Appraisal_Period-1)),0,'Mode change'!$E$36*$B9)))</f>
        <v>0</v>
      </c>
      <c r="AD9" s="97">
        <f>IF(Option2="No",0,IF($A9&lt;ImplementationYear,0,IF($A9&gt;(ImplementationYear+(Appraisal_Period-1)),0,'Mode change'!$E$37*$B9)))</f>
        <v>0</v>
      </c>
      <c r="AE9" s="97">
        <f>IF(Option2="No",0,IF($A9&lt;ImplementationYear,0,IF($A9&gt;(ImplementationYear+(Appraisal_Period-1)),0,'Road safety'!$E$22*$B9)))</f>
        <v>0</v>
      </c>
      <c r="AF9" s="97">
        <f>IF(Option2="No",0,IF($A9&lt;ImplementationYear,0,IF($A9&gt;(ImplementationYear+(Appraisal_Period-1)),0,'Reduction in car usage'!$E$46*$B9)))</f>
        <v>0</v>
      </c>
      <c r="AG9" s="97">
        <f>IF(Option2="No",0,IF($A9&lt;ImplementationYear,0,IF($A9&gt;(ImplementationYear+(Appraisal_Period-1)),0,'Reduction in car usage'!$E$47*$B9)))</f>
        <v>0</v>
      </c>
      <c r="AH9" s="97">
        <f>IF(Option2="No",0,IF($A9&lt;ImplementationYear,0,IF($A9&gt;(ImplementationYear+(Appraisal_Period-1)),0,'Reduction in car usage'!$E$48*$B9)))</f>
        <v>0</v>
      </c>
      <c r="AJ9" s="94">
        <f>IF(Option3="No",0,IF($A9=ImplementationYear,('Project details'!$P$10-'Project details'!$D$10)*VLOOKUP(Year_cost_estimate,'Time-series parameters'!$B$11:$C$89,2,FALSE)*$B9*(1+Contingency),0))</f>
        <v>0</v>
      </c>
      <c r="AK9" s="94" t="e">
        <f>IF(Option3="No",0,IF($A9&lt;ImplementationYear,0,IF($A9&gt;(ImplementationYear+(Appraisal_Period-1)),0,('Project details'!$P$11-'Project details'!$D$11)*VLOOKUP(Year_cost_estimate,'Time-series parameters'!$B$11:$C$89,2,0))*$B9))</f>
        <v>#VALUE!</v>
      </c>
      <c r="AL9" s="94">
        <f>IF(Option3="No",0,IF($A9=ImplementationYear,('Project details'!$P$12-'Project details'!$D$12)*VLOOKUP(Year_cost_estimate,'Time-series parameters'!$B$11:$C$89,2,FALSE)*$B9,0))</f>
        <v>0</v>
      </c>
      <c r="AM9" s="97">
        <f>IF(Option3="No",0,IF($A9&lt;ImplementationYear,0,IF($A9&gt;(ImplementationYear+(Appraisal_Period-1)),0,Health!$F$21*$B9)))</f>
        <v>0</v>
      </c>
      <c r="AN9" s="97">
        <f>IF(Option3="No",0,IF($A9&lt;ImplementationYear,0,IF($A9&gt;(ImplementationYear+(Appraisal_Period-1)),0,Health!$F$22*$B9)))</f>
        <v>0</v>
      </c>
      <c r="AO9" s="97">
        <f>IF(Option3="No",0,IF($A9&lt;ImplementationYear,0,IF($A9&gt;(ImplementationYear+(Appraisal_Period-1)),0,SUM('Travel time'!$F$22:$F$23)*$B9)))</f>
        <v>0</v>
      </c>
      <c r="AP9" s="97">
        <f>IF(Option3="No",0,IF($A9&lt;ImplementationYear,0,IF($A9&gt;(ImplementationYear+(Appraisal_Period-1)),0,SUM('Travel time'!$F$20:$F$21)*$B9)))</f>
        <v>0</v>
      </c>
      <c r="AQ9" s="97">
        <f>IF(Option3="No",0,IF($A9&lt;ImplementationYear,0,IF($A9&gt;(ImplementationYear+(Appraisal_Period-1)),0,SUM(Quality!$F$22:$F$23)*$B9)))</f>
        <v>0</v>
      </c>
      <c r="AR9" s="97">
        <f>IF(Option3="No",0,IF($A9&lt;ImplementationYear,0,IF($A9&gt;(ImplementationYear+(Appraisal_Period-1)),0,SUM(Quality!$F$20:$F$21)*$B9)))</f>
        <v>0</v>
      </c>
      <c r="AS9" s="97">
        <f>IF(Option3="No",0,IF($A9&lt;ImplementationYear,0,IF($A9&gt;(ImplementationYear+(Appraisal_Period-1)),0,'Mode change'!$F$36*$B9)))</f>
        <v>0</v>
      </c>
      <c r="AT9" s="97">
        <f>IF(Option3="No",0,IF($A9&lt;ImplementationYear,0,IF($A9&gt;(ImplementationYear+(Appraisal_Period-1)),0,'Mode change'!$F$37*$B9)))</f>
        <v>0</v>
      </c>
      <c r="AU9" s="97">
        <f>IF(Option3="No",0,IF($A9&lt;ImplementationYear,0,IF($A9&gt;(ImplementationYear+(Appraisal_Period-1)),0,'Road safety'!$F$22*$B9)))</f>
        <v>0</v>
      </c>
      <c r="AV9" s="97">
        <f>IF(Option3="No",0,IF($A9&lt;ImplementationYear,0,IF($A9&gt;(ImplementationYear+(Appraisal_Period-1)),0,'Reduction in car usage'!$F$46*$B9)))</f>
        <v>0</v>
      </c>
      <c r="AW9" s="97">
        <f>IF(Option3="No",0,IF($A9&lt;ImplementationYear,0,IF($A9&gt;(ImplementationYear+(Appraisal_Period-1)),0,'Reduction in car usage'!$F$47*$B9)))</f>
        <v>0</v>
      </c>
      <c r="AX9" s="97">
        <f>IF(Option3="No",0,IF($A9&lt;ImplementationYear,0,IF($A9&gt;(ImplementationYear+(Appraisal_Period-1)),0,'Reduction in car usage'!$F$48*$B9)))</f>
        <v>0</v>
      </c>
    </row>
    <row r="10" spans="1:50">
      <c r="A10" s="335">
        <v>2005</v>
      </c>
      <c r="B10" s="62" t="str">
        <f>VLOOKUP($A10,'Time-series parameters'!$E$11:$H$89,4,FALSE)</f>
        <v/>
      </c>
      <c r="C10" s="89"/>
      <c r="D10" s="94">
        <f>IF(Option1="No",0,IF($A10=ImplementationYear,('Project details'!$H$10-'Project details'!$D$10)*VLOOKUP(Year_cost_estimate,'Time-series parameters'!$B$11:$C$89,2,FALSE)*$B10*(1+Contingency),0))</f>
        <v>0</v>
      </c>
      <c r="E10" s="94" t="e">
        <f>IF(Option1="No",0,IF($A10&lt;ImplementationYear,0,IF($A10&gt;(ImplementationYear+(Appraisal_Period-1)),0,('Project details'!$H$11-'Project details'!$D$11)*VLOOKUP(Year_cost_estimate,'Time-series parameters'!$B$11:$C$89,2,0))*$B10))</f>
        <v>#VALUE!</v>
      </c>
      <c r="F10" s="94">
        <f>IF(Option1="No",0,IF($A10=ImplementationYear,('Project details'!$H$12-'Project details'!$D$12)*VLOOKUP(Year_cost_estimate,'Time-series parameters'!$B$11:$C$89,2,FALSE)*$B10,0))</f>
        <v>0</v>
      </c>
      <c r="G10" s="97">
        <f>IF(Option1="No",0,IF($A10&lt;ImplementationYear,0,IF($A10&gt;(ImplementationYear+(Appraisal_Period-1)),0,Health!$D$21*$B10)))</f>
        <v>0</v>
      </c>
      <c r="H10" s="97">
        <f>IF(Option1="No",0,IF($A10&lt;ImplementationYear,0,IF($A10&gt;(ImplementationYear+(Appraisal_Period-1)),0,Health!$D$22*$B10)))</f>
        <v>0</v>
      </c>
      <c r="I10" s="97">
        <f>IF(Option1="No",0,IF($A10&lt;ImplementationYear,0,IF($A10&gt;(ImplementationYear+(Appraisal_Period-1)),0,SUM('Travel time'!$D$22:$D$23)*$B10)))</f>
        <v>0</v>
      </c>
      <c r="J10" s="97">
        <f>IF(Option1="No",0,IF($A10&lt;ImplementationYear,0,IF($A10&gt;(ImplementationYear+(Appraisal_Period-1)),0,SUM('Travel time'!$D$20:$D$21)*$B10)))</f>
        <v>0</v>
      </c>
      <c r="K10" s="97">
        <f>IF(Option1="No",0,IF($A10&lt;ImplementationYear,0,IF($A10&gt;(ImplementationYear+(Appraisal_Period-1)),0,SUM(Quality!$D$22:$D$23)*$B10)))</f>
        <v>0</v>
      </c>
      <c r="L10" s="97">
        <f>IF(Option1="No",0,IF($A10&lt;ImplementationYear,0,IF($A10&gt;(ImplementationYear+(Appraisal_Period-1)),0,SUM(Quality!$D$20:$D$21)*$B10)))</f>
        <v>0</v>
      </c>
      <c r="M10" s="97">
        <f>IF(Option1="No",0,IF($A10&lt;ImplementationYear,0,IF($A10&gt;(ImplementationYear+(Appraisal_Period-1)),0,'Mode change'!$D$36*$B10)))</f>
        <v>0</v>
      </c>
      <c r="N10" s="97">
        <f>IF(Option1="No",0,IF($A10&lt;ImplementationYear,0,IF($A10&gt;(ImplementationYear+(Appraisal_Period-1)),0,'Mode change'!$D$37*$B10)))</f>
        <v>0</v>
      </c>
      <c r="O10" s="97">
        <f>IF(Option1="No",0,IF($A10&lt;ImplementationYear,0,IF($A10&gt;(ImplementationYear+(Appraisal_Period-1)),0,'Road safety'!$D$22*$B10)))</f>
        <v>0</v>
      </c>
      <c r="P10" s="97">
        <f>IF(Option1="No",0,IF($A10&lt;ImplementationYear,0,IF($A10&gt;(ImplementationYear+(Appraisal_Period-1)),0,'Reduction in car usage'!$D$46*$B10)))</f>
        <v>0</v>
      </c>
      <c r="Q10" s="97">
        <f>IF(Option1="No",0,IF($A10&lt;ImplementationYear,0,IF($A10&gt;(ImplementationYear+(Appraisal_Period-1)),0,'Reduction in car usage'!$D$47*$B10)))</f>
        <v>0</v>
      </c>
      <c r="R10" s="97">
        <f>IF(Option1="No",0,IF($A10&lt;ImplementationYear,0,IF($A10&gt;(ImplementationYear+(Appraisal_Period-1)),0,'Reduction in car usage'!$D$48*$B10)))</f>
        <v>0</v>
      </c>
      <c r="S10" s="92"/>
      <c r="T10" s="94">
        <f>IF(Option2="No",0,IF($A10=ImplementationYear,('Project details'!$L$10-'Project details'!$D$10)*VLOOKUP(Year_cost_estimate,'Time-series parameters'!$B$11:$C$89,2,FALSE)*$B10*(1+Contingency),0))</f>
        <v>0</v>
      </c>
      <c r="U10" s="94" t="e">
        <f>IF(Option2="No",0,IF($A10&lt;ImplementationYear,0,IF($A10&gt;(ImplementationYear+(Appraisal_Period-1)),0,('Project details'!$L$11-'Project details'!$D$11)*VLOOKUP(Year_cost_estimate,'Time-series parameters'!$B$11:$C$89,2,0))*$B10))</f>
        <v>#VALUE!</v>
      </c>
      <c r="V10" s="94">
        <f>IF(Option2="No",0,IF($A10=ImplementationYear,('Project details'!$L$12-'Project details'!$D$12)*VLOOKUP(Year_cost_estimate,'Time-series parameters'!$B$11:$C$89,2,FALSE)*$B10,0))</f>
        <v>0</v>
      </c>
      <c r="W10" s="97">
        <f>IF(Option2="No",0,IF($A10&lt;ImplementationYear,0,IF($A10&gt;(ImplementationYear+(Appraisal_Period-1)),0,Health!$E$21*$B10)))</f>
        <v>0</v>
      </c>
      <c r="X10" s="97">
        <f>IF(Option2="No",0,IF($A10&lt;ImplementationYear,0,IF($A10&gt;(ImplementationYear+(Appraisal_Period-1)),0,Health!$E$22*$B10)))</f>
        <v>0</v>
      </c>
      <c r="Y10" s="97">
        <f>IF(Option2="No",0,IF($A10&lt;ImplementationYear,0,IF($A10&gt;(ImplementationYear+(Appraisal_Period-1)),0,SUM('Travel time'!$E$22:$E$23)*$B10)))</f>
        <v>0</v>
      </c>
      <c r="Z10" s="97">
        <f>IF(Option2="No",0,IF($A10&lt;ImplementationYear,0,IF($A10&gt;(ImplementationYear+(Appraisal_Period-1)),0,SUM('Travel time'!$E$20:$E$21)*$B10)))</f>
        <v>0</v>
      </c>
      <c r="AA10" s="97">
        <f>IF(Option2="No",0,IF($A10&lt;ImplementationYear,0,IF($A10&gt;(ImplementationYear+(Appraisal_Period-1)),0,SUM(Quality!$E$22:$E$23)*$B10)))</f>
        <v>0</v>
      </c>
      <c r="AB10" s="97">
        <f>IF(Option2="No",0,IF($A10&lt;ImplementationYear,0,IF($A10&gt;(ImplementationYear+(Appraisal_Period-1)),0,SUM(Quality!$E$20:$E$21)*$B10)))</f>
        <v>0</v>
      </c>
      <c r="AC10" s="97">
        <f>IF(Option2="No",0,IF($A10&lt;ImplementationYear,0,IF($A10&gt;(ImplementationYear+(Appraisal_Period-1)),0,'Mode change'!$E$36*$B10)))</f>
        <v>0</v>
      </c>
      <c r="AD10" s="97">
        <f>IF(Option2="No",0,IF($A10&lt;ImplementationYear,0,IF($A10&gt;(ImplementationYear+(Appraisal_Period-1)),0,'Mode change'!$E$37*$B10)))</f>
        <v>0</v>
      </c>
      <c r="AE10" s="97">
        <f>IF(Option2="No",0,IF($A10&lt;ImplementationYear,0,IF($A10&gt;(ImplementationYear+(Appraisal_Period-1)),0,'Road safety'!$E$22*$B10)))</f>
        <v>0</v>
      </c>
      <c r="AF10" s="97">
        <f>IF(Option2="No",0,IF($A10&lt;ImplementationYear,0,IF($A10&gt;(ImplementationYear+(Appraisal_Period-1)),0,'Reduction in car usage'!$E$46*$B10)))</f>
        <v>0</v>
      </c>
      <c r="AG10" s="97">
        <f>IF(Option2="No",0,IF($A10&lt;ImplementationYear,0,IF($A10&gt;(ImplementationYear+(Appraisal_Period-1)),0,'Reduction in car usage'!$E$47*$B10)))</f>
        <v>0</v>
      </c>
      <c r="AH10" s="97">
        <f>IF(Option2="No",0,IF($A10&lt;ImplementationYear,0,IF($A10&gt;(ImplementationYear+(Appraisal_Period-1)),0,'Reduction in car usage'!$E$48*$B10)))</f>
        <v>0</v>
      </c>
      <c r="AJ10" s="94">
        <f>IF(Option3="No",0,IF($A10=ImplementationYear,('Project details'!$P$10-'Project details'!$D$10)*VLOOKUP(Year_cost_estimate,'Time-series parameters'!$B$11:$C$89,2,FALSE)*$B10*(1+Contingency),0))</f>
        <v>0</v>
      </c>
      <c r="AK10" s="94" t="e">
        <f>IF(Option3="No",0,IF($A10&lt;ImplementationYear,0,IF($A10&gt;(ImplementationYear+(Appraisal_Period-1)),0,('Project details'!$P$11-'Project details'!$D$11)*VLOOKUP(Year_cost_estimate,'Time-series parameters'!$B$11:$C$89,2,0))*$B10))</f>
        <v>#VALUE!</v>
      </c>
      <c r="AL10" s="94">
        <f>IF(Option3="No",0,IF($A10=ImplementationYear,('Project details'!$P$12-'Project details'!$D$12)*VLOOKUP(Year_cost_estimate,'Time-series parameters'!$B$11:$C$89,2,FALSE)*$B10,0))</f>
        <v>0</v>
      </c>
      <c r="AM10" s="97">
        <f>IF(Option3="No",0,IF($A10&lt;ImplementationYear,0,IF($A10&gt;(ImplementationYear+(Appraisal_Period-1)),0,Health!$F$21*$B10)))</f>
        <v>0</v>
      </c>
      <c r="AN10" s="97">
        <f>IF(Option3="No",0,IF($A10&lt;ImplementationYear,0,IF($A10&gt;(ImplementationYear+(Appraisal_Period-1)),0,Health!$F$22*$B10)))</f>
        <v>0</v>
      </c>
      <c r="AO10" s="97">
        <f>IF(Option3="No",0,IF($A10&lt;ImplementationYear,0,IF($A10&gt;(ImplementationYear+(Appraisal_Period-1)),0,SUM('Travel time'!$F$22:$F$23)*$B10)))</f>
        <v>0</v>
      </c>
      <c r="AP10" s="97">
        <f>IF(Option3="No",0,IF($A10&lt;ImplementationYear,0,IF($A10&gt;(ImplementationYear+(Appraisal_Period-1)),0,SUM('Travel time'!$F$20:$F$21)*$B10)))</f>
        <v>0</v>
      </c>
      <c r="AQ10" s="97">
        <f>IF(Option3="No",0,IF($A10&lt;ImplementationYear,0,IF($A10&gt;(ImplementationYear+(Appraisal_Period-1)),0,SUM(Quality!$F$22:$F$23)*$B10)))</f>
        <v>0</v>
      </c>
      <c r="AR10" s="97">
        <f>IF(Option3="No",0,IF($A10&lt;ImplementationYear,0,IF($A10&gt;(ImplementationYear+(Appraisal_Period-1)),0,SUM(Quality!$F$20:$F$21)*$B10)))</f>
        <v>0</v>
      </c>
      <c r="AS10" s="97">
        <f>IF(Option3="No",0,IF($A10&lt;ImplementationYear,0,IF($A10&gt;(ImplementationYear+(Appraisal_Period-1)),0,'Mode change'!$F$36*$B10)))</f>
        <v>0</v>
      </c>
      <c r="AT10" s="97">
        <f>IF(Option3="No",0,IF($A10&lt;ImplementationYear,0,IF($A10&gt;(ImplementationYear+(Appraisal_Period-1)),0,'Mode change'!$F$37*$B10)))</f>
        <v>0</v>
      </c>
      <c r="AU10" s="97">
        <f>IF(Option3="No",0,IF($A10&lt;ImplementationYear,0,IF($A10&gt;(ImplementationYear+(Appraisal_Period-1)),0,'Road safety'!$F$22*$B10)))</f>
        <v>0</v>
      </c>
      <c r="AV10" s="97">
        <f>IF(Option3="No",0,IF($A10&lt;ImplementationYear,0,IF($A10&gt;(ImplementationYear+(Appraisal_Period-1)),0,'Reduction in car usage'!$F$46*$B10)))</f>
        <v>0</v>
      </c>
      <c r="AW10" s="97">
        <f>IF(Option3="No",0,IF($A10&lt;ImplementationYear,0,IF($A10&gt;(ImplementationYear+(Appraisal_Period-1)),0,'Reduction in car usage'!$F$47*$B10)))</f>
        <v>0</v>
      </c>
      <c r="AX10" s="97">
        <f>IF(Option3="No",0,IF($A10&lt;ImplementationYear,0,IF($A10&gt;(ImplementationYear+(Appraisal_Period-1)),0,'Reduction in car usage'!$F$48*$B10)))</f>
        <v>0</v>
      </c>
    </row>
    <row r="11" spans="1:50">
      <c r="A11" s="335">
        <v>2006</v>
      </c>
      <c r="B11" s="62" t="str">
        <f>VLOOKUP($A11,'Time-series parameters'!$E$11:$H$89,4,FALSE)</f>
        <v/>
      </c>
      <c r="C11" s="89"/>
      <c r="D11" s="94">
        <f>IF(Option1="No",0,IF($A11=ImplementationYear,('Project details'!$H$10-'Project details'!$D$10)*VLOOKUP(Year_cost_estimate,'Time-series parameters'!$B$11:$C$89,2,FALSE)*$B11*(1+Contingency),0))</f>
        <v>0</v>
      </c>
      <c r="E11" s="94" t="e">
        <f>IF(Option1="No",0,IF($A11&lt;ImplementationYear,0,IF($A11&gt;(ImplementationYear+(Appraisal_Period-1)),0,('Project details'!$H$11-'Project details'!$D$11)*VLOOKUP(Year_cost_estimate,'Time-series parameters'!$B$11:$C$89,2,0))*$B11))</f>
        <v>#VALUE!</v>
      </c>
      <c r="F11" s="94">
        <f>IF(Option1="No",0,IF($A11=ImplementationYear,('Project details'!$H$12-'Project details'!$D$12)*VLOOKUP(Year_cost_estimate,'Time-series parameters'!$B$11:$C$89,2,FALSE)*$B11,0))</f>
        <v>0</v>
      </c>
      <c r="G11" s="97">
        <f>IF(Option1="No",0,IF($A11&lt;ImplementationYear,0,IF($A11&gt;(ImplementationYear+(Appraisal_Period-1)),0,Health!$D$21*$B11)))</f>
        <v>0</v>
      </c>
      <c r="H11" s="97">
        <f>IF(Option1="No",0,IF($A11&lt;ImplementationYear,0,IF($A11&gt;(ImplementationYear+(Appraisal_Period-1)),0,Health!$D$22*$B11)))</f>
        <v>0</v>
      </c>
      <c r="I11" s="97">
        <f>IF(Option1="No",0,IF($A11&lt;ImplementationYear,0,IF($A11&gt;(ImplementationYear+(Appraisal_Period-1)),0,SUM('Travel time'!$D$22:$D$23)*$B11)))</f>
        <v>0</v>
      </c>
      <c r="J11" s="97">
        <f>IF(Option1="No",0,IF($A11&lt;ImplementationYear,0,IF($A11&gt;(ImplementationYear+(Appraisal_Period-1)),0,SUM('Travel time'!$D$20:$D$21)*$B11)))</f>
        <v>0</v>
      </c>
      <c r="K11" s="97">
        <f>IF(Option1="No",0,IF($A11&lt;ImplementationYear,0,IF($A11&gt;(ImplementationYear+(Appraisal_Period-1)),0,SUM(Quality!$D$22:$D$23)*$B11)))</f>
        <v>0</v>
      </c>
      <c r="L11" s="97">
        <f>IF(Option1="No",0,IF($A11&lt;ImplementationYear,0,IF($A11&gt;(ImplementationYear+(Appraisal_Period-1)),0,SUM(Quality!$D$20:$D$21)*$B11)))</f>
        <v>0</v>
      </c>
      <c r="M11" s="97">
        <f>IF(Option1="No",0,IF($A11&lt;ImplementationYear,0,IF($A11&gt;(ImplementationYear+(Appraisal_Period-1)),0,'Mode change'!$D$36*$B11)))</f>
        <v>0</v>
      </c>
      <c r="N11" s="97">
        <f>IF(Option1="No",0,IF($A11&lt;ImplementationYear,0,IF($A11&gt;(ImplementationYear+(Appraisal_Period-1)),0,'Mode change'!$D$37*$B11)))</f>
        <v>0</v>
      </c>
      <c r="O11" s="97">
        <f>IF(Option1="No",0,IF($A11&lt;ImplementationYear,0,IF($A11&gt;(ImplementationYear+(Appraisal_Period-1)),0,'Road safety'!$D$22*$B11)))</f>
        <v>0</v>
      </c>
      <c r="P11" s="97">
        <f>IF(Option1="No",0,IF($A11&lt;ImplementationYear,0,IF($A11&gt;(ImplementationYear+(Appraisal_Period-1)),0,'Reduction in car usage'!$D$46*$B11)))</f>
        <v>0</v>
      </c>
      <c r="Q11" s="97">
        <f>IF(Option1="No",0,IF($A11&lt;ImplementationYear,0,IF($A11&gt;(ImplementationYear+(Appraisal_Period-1)),0,'Reduction in car usage'!$D$47*$B11)))</f>
        <v>0</v>
      </c>
      <c r="R11" s="97">
        <f>IF(Option1="No",0,IF($A11&lt;ImplementationYear,0,IF($A11&gt;(ImplementationYear+(Appraisal_Period-1)),0,'Reduction in car usage'!$D$48*$B11)))</f>
        <v>0</v>
      </c>
      <c r="S11" s="92"/>
      <c r="T11" s="94">
        <f>IF(Option2="No",0,IF($A11=ImplementationYear,('Project details'!$L$10-'Project details'!$D$10)*VLOOKUP(Year_cost_estimate,'Time-series parameters'!$B$11:$C$89,2,FALSE)*$B11*(1+Contingency),0))</f>
        <v>0</v>
      </c>
      <c r="U11" s="94" t="e">
        <f>IF(Option2="No",0,IF($A11&lt;ImplementationYear,0,IF($A11&gt;(ImplementationYear+(Appraisal_Period-1)),0,('Project details'!$L$11-'Project details'!$D$11)*VLOOKUP(Year_cost_estimate,'Time-series parameters'!$B$11:$C$89,2,0))*$B11))</f>
        <v>#VALUE!</v>
      </c>
      <c r="V11" s="94">
        <f>IF(Option2="No",0,IF($A11=ImplementationYear,('Project details'!$L$12-'Project details'!$D$12)*VLOOKUP(Year_cost_estimate,'Time-series parameters'!$B$11:$C$89,2,FALSE)*$B11,0))</f>
        <v>0</v>
      </c>
      <c r="W11" s="97">
        <f>IF(Option2="No",0,IF($A11&lt;ImplementationYear,0,IF($A11&gt;(ImplementationYear+(Appraisal_Period-1)),0,Health!$E$21*$B11)))</f>
        <v>0</v>
      </c>
      <c r="X11" s="97">
        <f>IF(Option2="No",0,IF($A11&lt;ImplementationYear,0,IF($A11&gt;(ImplementationYear+(Appraisal_Period-1)),0,Health!$E$22*$B11)))</f>
        <v>0</v>
      </c>
      <c r="Y11" s="97">
        <f>IF(Option2="No",0,IF($A11&lt;ImplementationYear,0,IF($A11&gt;(ImplementationYear+(Appraisal_Period-1)),0,SUM('Travel time'!$E$22:$E$23)*$B11)))</f>
        <v>0</v>
      </c>
      <c r="Z11" s="97">
        <f>IF(Option2="No",0,IF($A11&lt;ImplementationYear,0,IF($A11&gt;(ImplementationYear+(Appraisal_Period-1)),0,SUM('Travel time'!$E$20:$E$21)*$B11)))</f>
        <v>0</v>
      </c>
      <c r="AA11" s="97">
        <f>IF(Option2="No",0,IF($A11&lt;ImplementationYear,0,IF($A11&gt;(ImplementationYear+(Appraisal_Period-1)),0,SUM(Quality!$E$22:$E$23)*$B11)))</f>
        <v>0</v>
      </c>
      <c r="AB11" s="97">
        <f>IF(Option2="No",0,IF($A11&lt;ImplementationYear,0,IF($A11&gt;(ImplementationYear+(Appraisal_Period-1)),0,SUM(Quality!$E$20:$E$21)*$B11)))</f>
        <v>0</v>
      </c>
      <c r="AC11" s="97">
        <f>IF(Option2="No",0,IF($A11&lt;ImplementationYear,0,IF($A11&gt;(ImplementationYear+(Appraisal_Period-1)),0,'Mode change'!$E$36*$B11)))</f>
        <v>0</v>
      </c>
      <c r="AD11" s="97">
        <f>IF(Option2="No",0,IF($A11&lt;ImplementationYear,0,IF($A11&gt;(ImplementationYear+(Appraisal_Period-1)),0,'Mode change'!$E$37*$B11)))</f>
        <v>0</v>
      </c>
      <c r="AE11" s="97">
        <f>IF(Option2="No",0,IF($A11&lt;ImplementationYear,0,IF($A11&gt;(ImplementationYear+(Appraisal_Period-1)),0,'Road safety'!$E$22*$B11)))</f>
        <v>0</v>
      </c>
      <c r="AF11" s="97">
        <f>IF(Option2="No",0,IF($A11&lt;ImplementationYear,0,IF($A11&gt;(ImplementationYear+(Appraisal_Period-1)),0,'Reduction in car usage'!$E$46*$B11)))</f>
        <v>0</v>
      </c>
      <c r="AG11" s="97">
        <f>IF(Option2="No",0,IF($A11&lt;ImplementationYear,0,IF($A11&gt;(ImplementationYear+(Appraisal_Period-1)),0,'Reduction in car usage'!$E$47*$B11)))</f>
        <v>0</v>
      </c>
      <c r="AH11" s="97">
        <f>IF(Option2="No",0,IF($A11&lt;ImplementationYear,0,IF($A11&gt;(ImplementationYear+(Appraisal_Period-1)),0,'Reduction in car usage'!$E$48*$B11)))</f>
        <v>0</v>
      </c>
      <c r="AJ11" s="94">
        <f>IF(Option3="No",0,IF($A11=ImplementationYear,('Project details'!$P$10-'Project details'!$D$10)*VLOOKUP(Year_cost_estimate,'Time-series parameters'!$B$11:$C$89,2,FALSE)*$B11*(1+Contingency),0))</f>
        <v>0</v>
      </c>
      <c r="AK11" s="94" t="e">
        <f>IF(Option3="No",0,IF($A11&lt;ImplementationYear,0,IF($A11&gt;(ImplementationYear+(Appraisal_Period-1)),0,('Project details'!$P$11-'Project details'!$D$11)*VLOOKUP(Year_cost_estimate,'Time-series parameters'!$B$11:$C$89,2,0))*$B11))</f>
        <v>#VALUE!</v>
      </c>
      <c r="AL11" s="94">
        <f>IF(Option3="No",0,IF($A11=ImplementationYear,('Project details'!$P$12-'Project details'!$D$12)*VLOOKUP(Year_cost_estimate,'Time-series parameters'!$B$11:$C$89,2,FALSE)*$B11,0))</f>
        <v>0</v>
      </c>
      <c r="AM11" s="97">
        <f>IF(Option3="No",0,IF($A11&lt;ImplementationYear,0,IF($A11&gt;(ImplementationYear+(Appraisal_Period-1)),0,Health!$F$21*$B11)))</f>
        <v>0</v>
      </c>
      <c r="AN11" s="97">
        <f>IF(Option3="No",0,IF($A11&lt;ImplementationYear,0,IF($A11&gt;(ImplementationYear+(Appraisal_Period-1)),0,Health!$F$22*$B11)))</f>
        <v>0</v>
      </c>
      <c r="AO11" s="97">
        <f>IF(Option3="No",0,IF($A11&lt;ImplementationYear,0,IF($A11&gt;(ImplementationYear+(Appraisal_Period-1)),0,SUM('Travel time'!$F$22:$F$23)*$B11)))</f>
        <v>0</v>
      </c>
      <c r="AP11" s="97">
        <f>IF(Option3="No",0,IF($A11&lt;ImplementationYear,0,IF($A11&gt;(ImplementationYear+(Appraisal_Period-1)),0,SUM('Travel time'!$F$20:$F$21)*$B11)))</f>
        <v>0</v>
      </c>
      <c r="AQ11" s="97">
        <f>IF(Option3="No",0,IF($A11&lt;ImplementationYear,0,IF($A11&gt;(ImplementationYear+(Appraisal_Period-1)),0,SUM(Quality!$F$22:$F$23)*$B11)))</f>
        <v>0</v>
      </c>
      <c r="AR11" s="97">
        <f>IF(Option3="No",0,IF($A11&lt;ImplementationYear,0,IF($A11&gt;(ImplementationYear+(Appraisal_Period-1)),0,SUM(Quality!$F$20:$F$21)*$B11)))</f>
        <v>0</v>
      </c>
      <c r="AS11" s="97">
        <f>IF(Option3="No",0,IF($A11&lt;ImplementationYear,0,IF($A11&gt;(ImplementationYear+(Appraisal_Period-1)),0,'Mode change'!$F$36*$B11)))</f>
        <v>0</v>
      </c>
      <c r="AT11" s="97">
        <f>IF(Option3="No",0,IF($A11&lt;ImplementationYear,0,IF($A11&gt;(ImplementationYear+(Appraisal_Period-1)),0,'Mode change'!$F$37*$B11)))</f>
        <v>0</v>
      </c>
      <c r="AU11" s="97">
        <f>IF(Option3="No",0,IF($A11&lt;ImplementationYear,0,IF($A11&gt;(ImplementationYear+(Appraisal_Period-1)),0,'Road safety'!$F$22*$B11)))</f>
        <v>0</v>
      </c>
      <c r="AV11" s="97">
        <f>IF(Option3="No",0,IF($A11&lt;ImplementationYear,0,IF($A11&gt;(ImplementationYear+(Appraisal_Period-1)),0,'Reduction in car usage'!$F$46*$B11)))</f>
        <v>0</v>
      </c>
      <c r="AW11" s="97">
        <f>IF(Option3="No",0,IF($A11&lt;ImplementationYear,0,IF($A11&gt;(ImplementationYear+(Appraisal_Period-1)),0,'Reduction in car usage'!$F$47*$B11)))</f>
        <v>0</v>
      </c>
      <c r="AX11" s="97">
        <f>IF(Option3="No",0,IF($A11&lt;ImplementationYear,0,IF($A11&gt;(ImplementationYear+(Appraisal_Period-1)),0,'Reduction in car usage'!$F$48*$B11)))</f>
        <v>0</v>
      </c>
    </row>
    <row r="12" spans="1:50">
      <c r="A12" s="335">
        <v>2007</v>
      </c>
      <c r="B12" s="62" t="str">
        <f>VLOOKUP($A12,'Time-series parameters'!$E$11:$H$89,4,FALSE)</f>
        <v/>
      </c>
      <c r="C12" s="89"/>
      <c r="D12" s="94">
        <f>IF(Option1="No",0,IF($A12=ImplementationYear,('Project details'!$H$10-'Project details'!$D$10)*VLOOKUP(Year_cost_estimate,'Time-series parameters'!$B$11:$C$89,2,FALSE)*$B12*(1+Contingency),0))</f>
        <v>0</v>
      </c>
      <c r="E12" s="94" t="e">
        <f>IF(Option1="No",0,IF($A12&lt;ImplementationYear,0,IF($A12&gt;(ImplementationYear+(Appraisal_Period-1)),0,('Project details'!$H$11-'Project details'!$D$11)*VLOOKUP(Year_cost_estimate,'Time-series parameters'!$B$11:$C$89,2,0))*$B12))</f>
        <v>#VALUE!</v>
      </c>
      <c r="F12" s="94">
        <f>IF(Option1="No",0,IF($A12=ImplementationYear,('Project details'!$H$12-'Project details'!$D$12)*VLOOKUP(Year_cost_estimate,'Time-series parameters'!$B$11:$C$89,2,FALSE)*$B12,0))</f>
        <v>0</v>
      </c>
      <c r="G12" s="97">
        <f>IF(Option1="No",0,IF($A12&lt;ImplementationYear,0,IF($A12&gt;(ImplementationYear+(Appraisal_Period-1)),0,Health!$D$21*$B12)))</f>
        <v>0</v>
      </c>
      <c r="H12" s="97">
        <f>IF(Option1="No",0,IF($A12&lt;ImplementationYear,0,IF($A12&gt;(ImplementationYear+(Appraisal_Period-1)),0,Health!$D$22*$B12)))</f>
        <v>0</v>
      </c>
      <c r="I12" s="97">
        <f>IF(Option1="No",0,IF($A12&lt;ImplementationYear,0,IF($A12&gt;(ImplementationYear+(Appraisal_Period-1)),0,SUM('Travel time'!$D$22:$D$23)*$B12)))</f>
        <v>0</v>
      </c>
      <c r="J12" s="97">
        <f>IF(Option1="No",0,IF($A12&lt;ImplementationYear,0,IF($A12&gt;(ImplementationYear+(Appraisal_Period-1)),0,SUM('Travel time'!$D$20:$D$21)*$B12)))</f>
        <v>0</v>
      </c>
      <c r="K12" s="97">
        <f>IF(Option1="No",0,IF($A12&lt;ImplementationYear,0,IF($A12&gt;(ImplementationYear+(Appraisal_Period-1)),0,SUM(Quality!$D$22:$D$23)*$B12)))</f>
        <v>0</v>
      </c>
      <c r="L12" s="97">
        <f>IF(Option1="No",0,IF($A12&lt;ImplementationYear,0,IF($A12&gt;(ImplementationYear+(Appraisal_Period-1)),0,SUM(Quality!$D$20:$D$21)*$B12)))</f>
        <v>0</v>
      </c>
      <c r="M12" s="97">
        <f>IF(Option1="No",0,IF($A12&lt;ImplementationYear,0,IF($A12&gt;(ImplementationYear+(Appraisal_Period-1)),0,'Mode change'!$D$36*$B12)))</f>
        <v>0</v>
      </c>
      <c r="N12" s="97">
        <f>IF(Option1="No",0,IF($A12&lt;ImplementationYear,0,IF($A12&gt;(ImplementationYear+(Appraisal_Period-1)),0,'Mode change'!$D$37*$B12)))</f>
        <v>0</v>
      </c>
      <c r="O12" s="97">
        <f>IF(Option1="No",0,IF($A12&lt;ImplementationYear,0,IF($A12&gt;(ImplementationYear+(Appraisal_Period-1)),0,'Road safety'!$D$22*$B12)))</f>
        <v>0</v>
      </c>
      <c r="P12" s="97">
        <f>IF(Option1="No",0,IF($A12&lt;ImplementationYear,0,IF($A12&gt;(ImplementationYear+(Appraisal_Period-1)),0,'Reduction in car usage'!$D$46*$B12)))</f>
        <v>0</v>
      </c>
      <c r="Q12" s="97">
        <f>IF(Option1="No",0,IF($A12&lt;ImplementationYear,0,IF($A12&gt;(ImplementationYear+(Appraisal_Period-1)),0,'Reduction in car usage'!$D$47*$B12)))</f>
        <v>0</v>
      </c>
      <c r="R12" s="97">
        <f>IF(Option1="No",0,IF($A12&lt;ImplementationYear,0,IF($A12&gt;(ImplementationYear+(Appraisal_Period-1)),0,'Reduction in car usage'!$D$48*$B12)))</f>
        <v>0</v>
      </c>
      <c r="S12" s="92"/>
      <c r="T12" s="94">
        <f>IF(Option2="No",0,IF($A12=ImplementationYear,('Project details'!$L$10-'Project details'!$D$10)*VLOOKUP(Year_cost_estimate,'Time-series parameters'!$B$11:$C$89,2,FALSE)*$B12*(1+Contingency),0))</f>
        <v>0</v>
      </c>
      <c r="U12" s="94" t="e">
        <f>IF(Option2="No",0,IF($A12&lt;ImplementationYear,0,IF($A12&gt;(ImplementationYear+(Appraisal_Period-1)),0,('Project details'!$L$11-'Project details'!$D$11)*VLOOKUP(Year_cost_estimate,'Time-series parameters'!$B$11:$C$89,2,0))*$B12))</f>
        <v>#VALUE!</v>
      </c>
      <c r="V12" s="94">
        <f>IF(Option2="No",0,IF($A12=ImplementationYear,('Project details'!$L$12-'Project details'!$D$12)*VLOOKUP(Year_cost_estimate,'Time-series parameters'!$B$11:$C$89,2,FALSE)*$B12,0))</f>
        <v>0</v>
      </c>
      <c r="W12" s="97">
        <f>IF(Option2="No",0,IF($A12&lt;ImplementationYear,0,IF($A12&gt;(ImplementationYear+(Appraisal_Period-1)),0,Health!$E$21*$B12)))</f>
        <v>0</v>
      </c>
      <c r="X12" s="97">
        <f>IF(Option2="No",0,IF($A12&lt;ImplementationYear,0,IF($A12&gt;(ImplementationYear+(Appraisal_Period-1)),0,Health!$E$22*$B12)))</f>
        <v>0</v>
      </c>
      <c r="Y12" s="97">
        <f>IF(Option2="No",0,IF($A12&lt;ImplementationYear,0,IF($A12&gt;(ImplementationYear+(Appraisal_Period-1)),0,SUM('Travel time'!$E$22:$E$23)*$B12)))</f>
        <v>0</v>
      </c>
      <c r="Z12" s="97">
        <f>IF(Option2="No",0,IF($A12&lt;ImplementationYear,0,IF($A12&gt;(ImplementationYear+(Appraisal_Period-1)),0,SUM('Travel time'!$E$20:$E$21)*$B12)))</f>
        <v>0</v>
      </c>
      <c r="AA12" s="97">
        <f>IF(Option2="No",0,IF($A12&lt;ImplementationYear,0,IF($A12&gt;(ImplementationYear+(Appraisal_Period-1)),0,SUM(Quality!$E$22:$E$23)*$B12)))</f>
        <v>0</v>
      </c>
      <c r="AB12" s="97">
        <f>IF(Option2="No",0,IF($A12&lt;ImplementationYear,0,IF($A12&gt;(ImplementationYear+(Appraisal_Period-1)),0,SUM(Quality!$E$20:$E$21)*$B12)))</f>
        <v>0</v>
      </c>
      <c r="AC12" s="97">
        <f>IF(Option2="No",0,IF($A12&lt;ImplementationYear,0,IF($A12&gt;(ImplementationYear+(Appraisal_Period-1)),0,'Mode change'!$E$36*$B12)))</f>
        <v>0</v>
      </c>
      <c r="AD12" s="97">
        <f>IF(Option2="No",0,IF($A12&lt;ImplementationYear,0,IF($A12&gt;(ImplementationYear+(Appraisal_Period-1)),0,'Mode change'!$E$37*$B12)))</f>
        <v>0</v>
      </c>
      <c r="AE12" s="97">
        <f>IF(Option2="No",0,IF($A12&lt;ImplementationYear,0,IF($A12&gt;(ImplementationYear+(Appraisal_Period-1)),0,'Road safety'!$E$22*$B12)))</f>
        <v>0</v>
      </c>
      <c r="AF12" s="97">
        <f>IF(Option2="No",0,IF($A12&lt;ImplementationYear,0,IF($A12&gt;(ImplementationYear+(Appraisal_Period-1)),0,'Reduction in car usage'!$E$46*$B12)))</f>
        <v>0</v>
      </c>
      <c r="AG12" s="97">
        <f>IF(Option2="No",0,IF($A12&lt;ImplementationYear,0,IF($A12&gt;(ImplementationYear+(Appraisal_Period-1)),0,'Reduction in car usage'!$E$47*$B12)))</f>
        <v>0</v>
      </c>
      <c r="AH12" s="97">
        <f>IF(Option2="No",0,IF($A12&lt;ImplementationYear,0,IF($A12&gt;(ImplementationYear+(Appraisal_Period-1)),0,'Reduction in car usage'!$E$48*$B12)))</f>
        <v>0</v>
      </c>
      <c r="AJ12" s="94">
        <f>IF(Option3="No",0,IF($A12=ImplementationYear,('Project details'!$P$10-'Project details'!$D$10)*VLOOKUP(Year_cost_estimate,'Time-series parameters'!$B$11:$C$89,2,FALSE)*$B12*(1+Contingency),0))</f>
        <v>0</v>
      </c>
      <c r="AK12" s="94" t="e">
        <f>IF(Option3="No",0,IF($A12&lt;ImplementationYear,0,IF($A12&gt;(ImplementationYear+(Appraisal_Period-1)),0,('Project details'!$P$11-'Project details'!$D$11)*VLOOKUP(Year_cost_estimate,'Time-series parameters'!$B$11:$C$89,2,0))*$B12))</f>
        <v>#VALUE!</v>
      </c>
      <c r="AL12" s="94">
        <f>IF(Option3="No",0,IF($A12=ImplementationYear,('Project details'!$P$12-'Project details'!$D$12)*VLOOKUP(Year_cost_estimate,'Time-series parameters'!$B$11:$C$89,2,FALSE)*$B12,0))</f>
        <v>0</v>
      </c>
      <c r="AM12" s="97">
        <f>IF(Option3="No",0,IF($A12&lt;ImplementationYear,0,IF($A12&gt;(ImplementationYear+(Appraisal_Period-1)),0,Health!$F$21*$B12)))</f>
        <v>0</v>
      </c>
      <c r="AN12" s="97">
        <f>IF(Option3="No",0,IF($A12&lt;ImplementationYear,0,IF($A12&gt;(ImplementationYear+(Appraisal_Period-1)),0,Health!$F$22*$B12)))</f>
        <v>0</v>
      </c>
      <c r="AO12" s="97">
        <f>IF(Option3="No",0,IF($A12&lt;ImplementationYear,0,IF($A12&gt;(ImplementationYear+(Appraisal_Period-1)),0,SUM('Travel time'!$F$22:$F$23)*$B12)))</f>
        <v>0</v>
      </c>
      <c r="AP12" s="97">
        <f>IF(Option3="No",0,IF($A12&lt;ImplementationYear,0,IF($A12&gt;(ImplementationYear+(Appraisal_Period-1)),0,SUM('Travel time'!$F$20:$F$21)*$B12)))</f>
        <v>0</v>
      </c>
      <c r="AQ12" s="97">
        <f>IF(Option3="No",0,IF($A12&lt;ImplementationYear,0,IF($A12&gt;(ImplementationYear+(Appraisal_Period-1)),0,SUM(Quality!$F$22:$F$23)*$B12)))</f>
        <v>0</v>
      </c>
      <c r="AR12" s="97">
        <f>IF(Option3="No",0,IF($A12&lt;ImplementationYear,0,IF($A12&gt;(ImplementationYear+(Appraisal_Period-1)),0,SUM(Quality!$F$20:$F$21)*$B12)))</f>
        <v>0</v>
      </c>
      <c r="AS12" s="97">
        <f>IF(Option3="No",0,IF($A12&lt;ImplementationYear,0,IF($A12&gt;(ImplementationYear+(Appraisal_Period-1)),0,'Mode change'!$F$36*$B12)))</f>
        <v>0</v>
      </c>
      <c r="AT12" s="97">
        <f>IF(Option3="No",0,IF($A12&lt;ImplementationYear,0,IF($A12&gt;(ImplementationYear+(Appraisal_Period-1)),0,'Mode change'!$F$37*$B12)))</f>
        <v>0</v>
      </c>
      <c r="AU12" s="97">
        <f>IF(Option3="No",0,IF($A12&lt;ImplementationYear,0,IF($A12&gt;(ImplementationYear+(Appraisal_Period-1)),0,'Road safety'!$F$22*$B12)))</f>
        <v>0</v>
      </c>
      <c r="AV12" s="97">
        <f>IF(Option3="No",0,IF($A12&lt;ImplementationYear,0,IF($A12&gt;(ImplementationYear+(Appraisal_Period-1)),0,'Reduction in car usage'!$F$46*$B12)))</f>
        <v>0</v>
      </c>
      <c r="AW12" s="97">
        <f>IF(Option3="No",0,IF($A12&lt;ImplementationYear,0,IF($A12&gt;(ImplementationYear+(Appraisal_Period-1)),0,'Reduction in car usage'!$F$47*$B12)))</f>
        <v>0</v>
      </c>
      <c r="AX12" s="97">
        <f>IF(Option3="No",0,IF($A12&lt;ImplementationYear,0,IF($A12&gt;(ImplementationYear+(Appraisal_Period-1)),0,'Reduction in car usage'!$F$48*$B12)))</f>
        <v>0</v>
      </c>
    </row>
    <row r="13" spans="1:50">
      <c r="A13" s="335">
        <v>2008</v>
      </c>
      <c r="B13" s="62" t="str">
        <f>VLOOKUP($A13,'Time-series parameters'!$E$11:$H$89,4,FALSE)</f>
        <v/>
      </c>
      <c r="C13" s="89"/>
      <c r="D13" s="94">
        <f>IF(Option1="No",0,IF($A13=ImplementationYear,('Project details'!$H$10-'Project details'!$D$10)*VLOOKUP(Year_cost_estimate,'Time-series parameters'!$B$11:$C$89,2,FALSE)*$B13*(1+Contingency),0))</f>
        <v>0</v>
      </c>
      <c r="E13" s="94" t="e">
        <f>IF(Option1="No",0,IF($A13&lt;ImplementationYear,0,IF($A13&gt;(ImplementationYear+(Appraisal_Period-1)),0,('Project details'!$H$11-'Project details'!$D$11)*VLOOKUP(Year_cost_estimate,'Time-series parameters'!$B$11:$C$89,2,0))*$B13))</f>
        <v>#VALUE!</v>
      </c>
      <c r="F13" s="94">
        <f>IF(Option1="No",0,IF($A13=ImplementationYear,('Project details'!$H$12-'Project details'!$D$12)*VLOOKUP(Year_cost_estimate,'Time-series parameters'!$B$11:$C$89,2,FALSE)*$B13,0))</f>
        <v>0</v>
      </c>
      <c r="G13" s="97">
        <f>IF(Option1="No",0,IF($A13&lt;ImplementationYear,0,IF($A13&gt;(ImplementationYear+(Appraisal_Period-1)),0,Health!$D$21*$B13)))</f>
        <v>0</v>
      </c>
      <c r="H13" s="97">
        <f>IF(Option1="No",0,IF($A13&lt;ImplementationYear,0,IF($A13&gt;(ImplementationYear+(Appraisal_Period-1)),0,Health!$D$22*$B13)))</f>
        <v>0</v>
      </c>
      <c r="I13" s="97">
        <f>IF(Option1="No",0,IF($A13&lt;ImplementationYear,0,IF($A13&gt;(ImplementationYear+(Appraisal_Period-1)),0,SUM('Travel time'!$D$22:$D$23)*$B13)))</f>
        <v>0</v>
      </c>
      <c r="J13" s="97">
        <f>IF(Option1="No",0,IF($A13&lt;ImplementationYear,0,IF($A13&gt;(ImplementationYear+(Appraisal_Period-1)),0,SUM('Travel time'!$D$20:$D$21)*$B13)))</f>
        <v>0</v>
      </c>
      <c r="K13" s="97">
        <f>IF(Option1="No",0,IF($A13&lt;ImplementationYear,0,IF($A13&gt;(ImplementationYear+(Appraisal_Period-1)),0,SUM(Quality!$D$22:$D$23)*$B13)))</f>
        <v>0</v>
      </c>
      <c r="L13" s="97">
        <f>IF(Option1="No",0,IF($A13&lt;ImplementationYear,0,IF($A13&gt;(ImplementationYear+(Appraisal_Period-1)),0,SUM(Quality!$D$20:$D$21)*$B13)))</f>
        <v>0</v>
      </c>
      <c r="M13" s="97">
        <f>IF(Option1="No",0,IF($A13&lt;ImplementationYear,0,IF($A13&gt;(ImplementationYear+(Appraisal_Period-1)),0,'Mode change'!$D$36*$B13)))</f>
        <v>0</v>
      </c>
      <c r="N13" s="97">
        <f>IF(Option1="No",0,IF($A13&lt;ImplementationYear,0,IF($A13&gt;(ImplementationYear+(Appraisal_Period-1)),0,'Mode change'!$D$37*$B13)))</f>
        <v>0</v>
      </c>
      <c r="O13" s="97">
        <f>IF(Option1="No",0,IF($A13&lt;ImplementationYear,0,IF($A13&gt;(ImplementationYear+(Appraisal_Period-1)),0,'Road safety'!$D$22*$B13)))</f>
        <v>0</v>
      </c>
      <c r="P13" s="97">
        <f>IF(Option1="No",0,IF($A13&lt;ImplementationYear,0,IF($A13&gt;(ImplementationYear+(Appraisal_Period-1)),0,'Reduction in car usage'!$D$46*$B13)))</f>
        <v>0</v>
      </c>
      <c r="Q13" s="97">
        <f>IF(Option1="No",0,IF($A13&lt;ImplementationYear,0,IF($A13&gt;(ImplementationYear+(Appraisal_Period-1)),0,'Reduction in car usage'!$D$47*$B13)))</f>
        <v>0</v>
      </c>
      <c r="R13" s="97">
        <f>IF(Option1="No",0,IF($A13&lt;ImplementationYear,0,IF($A13&gt;(ImplementationYear+(Appraisal_Period-1)),0,'Reduction in car usage'!$D$48*$B13)))</f>
        <v>0</v>
      </c>
      <c r="S13" s="92"/>
      <c r="T13" s="94">
        <f>IF(Option2="No",0,IF($A13=ImplementationYear,('Project details'!$L$10-'Project details'!$D$10)*VLOOKUP(Year_cost_estimate,'Time-series parameters'!$B$11:$C$89,2,FALSE)*$B13*(1+Contingency),0))</f>
        <v>0</v>
      </c>
      <c r="U13" s="94" t="e">
        <f>IF(Option2="No",0,IF($A13&lt;ImplementationYear,0,IF($A13&gt;(ImplementationYear+(Appraisal_Period-1)),0,('Project details'!$L$11-'Project details'!$D$11)*VLOOKUP(Year_cost_estimate,'Time-series parameters'!$B$11:$C$89,2,0))*$B13))</f>
        <v>#VALUE!</v>
      </c>
      <c r="V13" s="94">
        <f>IF(Option2="No",0,IF($A13=ImplementationYear,('Project details'!$L$12-'Project details'!$D$12)*VLOOKUP(Year_cost_estimate,'Time-series parameters'!$B$11:$C$89,2,FALSE)*$B13,0))</f>
        <v>0</v>
      </c>
      <c r="W13" s="97">
        <f>IF(Option2="No",0,IF($A13&lt;ImplementationYear,0,IF($A13&gt;(ImplementationYear+(Appraisal_Period-1)),0,Health!$E$21*$B13)))</f>
        <v>0</v>
      </c>
      <c r="X13" s="97">
        <f>IF(Option2="No",0,IF($A13&lt;ImplementationYear,0,IF($A13&gt;(ImplementationYear+(Appraisal_Period-1)),0,Health!$E$22*$B13)))</f>
        <v>0</v>
      </c>
      <c r="Y13" s="97">
        <f>IF(Option2="No",0,IF($A13&lt;ImplementationYear,0,IF($A13&gt;(ImplementationYear+(Appraisal_Period-1)),0,SUM('Travel time'!$E$22:$E$23)*$B13)))</f>
        <v>0</v>
      </c>
      <c r="Z13" s="97">
        <f>IF(Option2="No",0,IF($A13&lt;ImplementationYear,0,IF($A13&gt;(ImplementationYear+(Appraisal_Period-1)),0,SUM('Travel time'!$E$20:$E$21)*$B13)))</f>
        <v>0</v>
      </c>
      <c r="AA13" s="97">
        <f>IF(Option2="No",0,IF($A13&lt;ImplementationYear,0,IF($A13&gt;(ImplementationYear+(Appraisal_Period-1)),0,SUM(Quality!$E$22:$E$23)*$B13)))</f>
        <v>0</v>
      </c>
      <c r="AB13" s="97">
        <f>IF(Option2="No",0,IF($A13&lt;ImplementationYear,0,IF($A13&gt;(ImplementationYear+(Appraisal_Period-1)),0,SUM(Quality!$E$20:$E$21)*$B13)))</f>
        <v>0</v>
      </c>
      <c r="AC13" s="97">
        <f>IF(Option2="No",0,IF($A13&lt;ImplementationYear,0,IF($A13&gt;(ImplementationYear+(Appraisal_Period-1)),0,'Mode change'!$E$36*$B13)))</f>
        <v>0</v>
      </c>
      <c r="AD13" s="97">
        <f>IF(Option2="No",0,IF($A13&lt;ImplementationYear,0,IF($A13&gt;(ImplementationYear+(Appraisal_Period-1)),0,'Mode change'!$E$37*$B13)))</f>
        <v>0</v>
      </c>
      <c r="AE13" s="97">
        <f>IF(Option2="No",0,IF($A13&lt;ImplementationYear,0,IF($A13&gt;(ImplementationYear+(Appraisal_Period-1)),0,'Road safety'!$E$22*$B13)))</f>
        <v>0</v>
      </c>
      <c r="AF13" s="97">
        <f>IF(Option2="No",0,IF($A13&lt;ImplementationYear,0,IF($A13&gt;(ImplementationYear+(Appraisal_Period-1)),0,'Reduction in car usage'!$E$46*$B13)))</f>
        <v>0</v>
      </c>
      <c r="AG13" s="97">
        <f>IF(Option2="No",0,IF($A13&lt;ImplementationYear,0,IF($A13&gt;(ImplementationYear+(Appraisal_Period-1)),0,'Reduction in car usage'!$E$47*$B13)))</f>
        <v>0</v>
      </c>
      <c r="AH13" s="97">
        <f>IF(Option2="No",0,IF($A13&lt;ImplementationYear,0,IF($A13&gt;(ImplementationYear+(Appraisal_Period-1)),0,'Reduction in car usage'!$E$48*$B13)))</f>
        <v>0</v>
      </c>
      <c r="AJ13" s="94">
        <f>IF(Option3="No",0,IF($A13=ImplementationYear,('Project details'!$P$10-'Project details'!$D$10)*VLOOKUP(Year_cost_estimate,'Time-series parameters'!$B$11:$C$89,2,FALSE)*$B13*(1+Contingency),0))</f>
        <v>0</v>
      </c>
      <c r="AK13" s="94" t="e">
        <f>IF(Option3="No",0,IF($A13&lt;ImplementationYear,0,IF($A13&gt;(ImplementationYear+(Appraisal_Period-1)),0,('Project details'!$P$11-'Project details'!$D$11)*VLOOKUP(Year_cost_estimate,'Time-series parameters'!$B$11:$C$89,2,0))*$B13))</f>
        <v>#VALUE!</v>
      </c>
      <c r="AL13" s="94">
        <f>IF(Option3="No",0,IF($A13=ImplementationYear,('Project details'!$P$12-'Project details'!$D$12)*VLOOKUP(Year_cost_estimate,'Time-series parameters'!$B$11:$C$89,2,FALSE)*$B13,0))</f>
        <v>0</v>
      </c>
      <c r="AM13" s="97">
        <f>IF(Option3="No",0,IF($A13&lt;ImplementationYear,0,IF($A13&gt;(ImplementationYear+(Appraisal_Period-1)),0,Health!$F$21*$B13)))</f>
        <v>0</v>
      </c>
      <c r="AN13" s="97">
        <f>IF(Option3="No",0,IF($A13&lt;ImplementationYear,0,IF($A13&gt;(ImplementationYear+(Appraisal_Period-1)),0,Health!$F$22*$B13)))</f>
        <v>0</v>
      </c>
      <c r="AO13" s="97">
        <f>IF(Option3="No",0,IF($A13&lt;ImplementationYear,0,IF($A13&gt;(ImplementationYear+(Appraisal_Period-1)),0,SUM('Travel time'!$F$22:$F$23)*$B13)))</f>
        <v>0</v>
      </c>
      <c r="AP13" s="97">
        <f>IF(Option3="No",0,IF($A13&lt;ImplementationYear,0,IF($A13&gt;(ImplementationYear+(Appraisal_Period-1)),0,SUM('Travel time'!$F$20:$F$21)*$B13)))</f>
        <v>0</v>
      </c>
      <c r="AQ13" s="97">
        <f>IF(Option3="No",0,IF($A13&lt;ImplementationYear,0,IF($A13&gt;(ImplementationYear+(Appraisal_Period-1)),0,SUM(Quality!$F$22:$F$23)*$B13)))</f>
        <v>0</v>
      </c>
      <c r="AR13" s="97">
        <f>IF(Option3="No",0,IF($A13&lt;ImplementationYear,0,IF($A13&gt;(ImplementationYear+(Appraisal_Period-1)),0,SUM(Quality!$F$20:$F$21)*$B13)))</f>
        <v>0</v>
      </c>
      <c r="AS13" s="97">
        <f>IF(Option3="No",0,IF($A13&lt;ImplementationYear,0,IF($A13&gt;(ImplementationYear+(Appraisal_Period-1)),0,'Mode change'!$F$36*$B13)))</f>
        <v>0</v>
      </c>
      <c r="AT13" s="97">
        <f>IF(Option3="No",0,IF($A13&lt;ImplementationYear,0,IF($A13&gt;(ImplementationYear+(Appraisal_Period-1)),0,'Mode change'!$F$37*$B13)))</f>
        <v>0</v>
      </c>
      <c r="AU13" s="97">
        <f>IF(Option3="No",0,IF($A13&lt;ImplementationYear,0,IF($A13&gt;(ImplementationYear+(Appraisal_Period-1)),0,'Road safety'!$F$22*$B13)))</f>
        <v>0</v>
      </c>
      <c r="AV13" s="97">
        <f>IF(Option3="No",0,IF($A13&lt;ImplementationYear,0,IF($A13&gt;(ImplementationYear+(Appraisal_Period-1)),0,'Reduction in car usage'!$F$46*$B13)))</f>
        <v>0</v>
      </c>
      <c r="AW13" s="97">
        <f>IF(Option3="No",0,IF($A13&lt;ImplementationYear,0,IF($A13&gt;(ImplementationYear+(Appraisal_Period-1)),0,'Reduction in car usage'!$F$47*$B13)))</f>
        <v>0</v>
      </c>
      <c r="AX13" s="97">
        <f>IF(Option3="No",0,IF($A13&lt;ImplementationYear,0,IF($A13&gt;(ImplementationYear+(Appraisal_Period-1)),0,'Reduction in car usage'!$F$48*$B13)))</f>
        <v>0</v>
      </c>
    </row>
    <row r="14" spans="1:50">
      <c r="A14" s="335">
        <v>2009</v>
      </c>
      <c r="B14" s="62" t="str">
        <f>VLOOKUP($A14,'Time-series parameters'!$E$11:$H$89,4,FALSE)</f>
        <v/>
      </c>
      <c r="C14" s="89"/>
      <c r="D14" s="94">
        <f>IF(Option1="No",0,IF($A14=ImplementationYear,('Project details'!$H$10-'Project details'!$D$10)*VLOOKUP(Year_cost_estimate,'Time-series parameters'!$B$11:$C$89,2,FALSE)*$B14*(1+Contingency),0))</f>
        <v>0</v>
      </c>
      <c r="E14" s="94" t="e">
        <f>IF(Option1="No",0,IF($A14&lt;ImplementationYear,0,IF($A14&gt;(ImplementationYear+(Appraisal_Period-1)),0,('Project details'!$H$11-'Project details'!$D$11)*VLOOKUP(Year_cost_estimate,'Time-series parameters'!$B$11:$C$89,2,0))*$B14))</f>
        <v>#VALUE!</v>
      </c>
      <c r="F14" s="94">
        <f>IF(Option1="No",0,IF($A14=ImplementationYear,('Project details'!$H$12-'Project details'!$D$12)*VLOOKUP(Year_cost_estimate,'Time-series parameters'!$B$11:$C$89,2,FALSE)*$B14,0))</f>
        <v>0</v>
      </c>
      <c r="G14" s="97">
        <f>IF(Option1="No",0,IF($A14&lt;ImplementationYear,0,IF($A14&gt;(ImplementationYear+(Appraisal_Period-1)),0,Health!$D$21*$B14)))</f>
        <v>0</v>
      </c>
      <c r="H14" s="97">
        <f>IF(Option1="No",0,IF($A14&lt;ImplementationYear,0,IF($A14&gt;(ImplementationYear+(Appraisal_Period-1)),0,Health!$D$22*$B14)))</f>
        <v>0</v>
      </c>
      <c r="I14" s="97">
        <f>IF(Option1="No",0,IF($A14&lt;ImplementationYear,0,IF($A14&gt;(ImplementationYear+(Appraisal_Period-1)),0,SUM('Travel time'!$D$22:$D$23)*$B14)))</f>
        <v>0</v>
      </c>
      <c r="J14" s="97">
        <f>IF(Option1="No",0,IF($A14&lt;ImplementationYear,0,IF($A14&gt;(ImplementationYear+(Appraisal_Period-1)),0,SUM('Travel time'!$D$20:$D$21)*$B14)))</f>
        <v>0</v>
      </c>
      <c r="K14" s="97">
        <f>IF(Option1="No",0,IF($A14&lt;ImplementationYear,0,IF($A14&gt;(ImplementationYear+(Appraisal_Period-1)),0,SUM(Quality!$D$22:$D$23)*$B14)))</f>
        <v>0</v>
      </c>
      <c r="L14" s="97">
        <f>IF(Option1="No",0,IF($A14&lt;ImplementationYear,0,IF($A14&gt;(ImplementationYear+(Appraisal_Period-1)),0,SUM(Quality!$D$20:$D$21)*$B14)))</f>
        <v>0</v>
      </c>
      <c r="M14" s="97">
        <f>IF(Option1="No",0,IF($A14&lt;ImplementationYear,0,IF($A14&gt;(ImplementationYear+(Appraisal_Period-1)),0,'Mode change'!$D$36*$B14)))</f>
        <v>0</v>
      </c>
      <c r="N14" s="97">
        <f>IF(Option1="No",0,IF($A14&lt;ImplementationYear,0,IF($A14&gt;(ImplementationYear+(Appraisal_Period-1)),0,'Mode change'!$D$37*$B14)))</f>
        <v>0</v>
      </c>
      <c r="O14" s="97">
        <f>IF(Option1="No",0,IF($A14&lt;ImplementationYear,0,IF($A14&gt;(ImplementationYear+(Appraisal_Period-1)),0,'Road safety'!$D$22*$B14)))</f>
        <v>0</v>
      </c>
      <c r="P14" s="97">
        <f>IF(Option1="No",0,IF($A14&lt;ImplementationYear,0,IF($A14&gt;(ImplementationYear+(Appraisal_Period-1)),0,'Reduction in car usage'!$D$46*$B14)))</f>
        <v>0</v>
      </c>
      <c r="Q14" s="97">
        <f>IF(Option1="No",0,IF($A14&lt;ImplementationYear,0,IF($A14&gt;(ImplementationYear+(Appraisal_Period-1)),0,'Reduction in car usage'!$D$47*$B14)))</f>
        <v>0</v>
      </c>
      <c r="R14" s="97">
        <f>IF(Option1="No",0,IF($A14&lt;ImplementationYear,0,IF($A14&gt;(ImplementationYear+(Appraisal_Period-1)),0,'Reduction in car usage'!$D$48*$B14)))</f>
        <v>0</v>
      </c>
      <c r="S14" s="92"/>
      <c r="T14" s="94">
        <f>IF(Option2="No",0,IF($A14=ImplementationYear,('Project details'!$L$10-'Project details'!$D$10)*VLOOKUP(Year_cost_estimate,'Time-series parameters'!$B$11:$C$89,2,FALSE)*$B14*(1+Contingency),0))</f>
        <v>0</v>
      </c>
      <c r="U14" s="94" t="e">
        <f>IF(Option2="No",0,IF($A14&lt;ImplementationYear,0,IF($A14&gt;(ImplementationYear+(Appraisal_Period-1)),0,('Project details'!$L$11-'Project details'!$D$11)*VLOOKUP(Year_cost_estimate,'Time-series parameters'!$B$11:$C$89,2,0))*$B14))</f>
        <v>#VALUE!</v>
      </c>
      <c r="V14" s="94">
        <f>IF(Option2="No",0,IF($A14=ImplementationYear,('Project details'!$L$12-'Project details'!$D$12)*VLOOKUP(Year_cost_estimate,'Time-series parameters'!$B$11:$C$89,2,FALSE)*$B14,0))</f>
        <v>0</v>
      </c>
      <c r="W14" s="97">
        <f>IF(Option2="No",0,IF($A14&lt;ImplementationYear,0,IF($A14&gt;(ImplementationYear+(Appraisal_Period-1)),0,Health!$E$21*$B14)))</f>
        <v>0</v>
      </c>
      <c r="X14" s="97">
        <f>IF(Option2="No",0,IF($A14&lt;ImplementationYear,0,IF($A14&gt;(ImplementationYear+(Appraisal_Period-1)),0,Health!$E$22*$B14)))</f>
        <v>0</v>
      </c>
      <c r="Y14" s="97">
        <f>IF(Option2="No",0,IF($A14&lt;ImplementationYear,0,IF($A14&gt;(ImplementationYear+(Appraisal_Period-1)),0,SUM('Travel time'!$E$22:$E$23)*$B14)))</f>
        <v>0</v>
      </c>
      <c r="Z14" s="97">
        <f>IF(Option2="No",0,IF($A14&lt;ImplementationYear,0,IF($A14&gt;(ImplementationYear+(Appraisal_Period-1)),0,SUM('Travel time'!$E$20:$E$21)*$B14)))</f>
        <v>0</v>
      </c>
      <c r="AA14" s="97">
        <f>IF(Option2="No",0,IF($A14&lt;ImplementationYear,0,IF($A14&gt;(ImplementationYear+(Appraisal_Period-1)),0,SUM(Quality!$E$22:$E$23)*$B14)))</f>
        <v>0</v>
      </c>
      <c r="AB14" s="97">
        <f>IF(Option2="No",0,IF($A14&lt;ImplementationYear,0,IF($A14&gt;(ImplementationYear+(Appraisal_Period-1)),0,SUM(Quality!$E$20:$E$21)*$B14)))</f>
        <v>0</v>
      </c>
      <c r="AC14" s="97">
        <f>IF(Option2="No",0,IF($A14&lt;ImplementationYear,0,IF($A14&gt;(ImplementationYear+(Appraisal_Period-1)),0,'Mode change'!$E$36*$B14)))</f>
        <v>0</v>
      </c>
      <c r="AD14" s="97">
        <f>IF(Option2="No",0,IF($A14&lt;ImplementationYear,0,IF($A14&gt;(ImplementationYear+(Appraisal_Period-1)),0,'Mode change'!$E$37*$B14)))</f>
        <v>0</v>
      </c>
      <c r="AE14" s="97">
        <f>IF(Option2="No",0,IF($A14&lt;ImplementationYear,0,IF($A14&gt;(ImplementationYear+(Appraisal_Period-1)),0,'Road safety'!$E$22*$B14)))</f>
        <v>0</v>
      </c>
      <c r="AF14" s="97">
        <f>IF(Option2="No",0,IF($A14&lt;ImplementationYear,0,IF($A14&gt;(ImplementationYear+(Appraisal_Period-1)),0,'Reduction in car usage'!$E$46*$B14)))</f>
        <v>0</v>
      </c>
      <c r="AG14" s="97">
        <f>IF(Option2="No",0,IF($A14&lt;ImplementationYear,0,IF($A14&gt;(ImplementationYear+(Appraisal_Period-1)),0,'Reduction in car usage'!$E$47*$B14)))</f>
        <v>0</v>
      </c>
      <c r="AH14" s="97">
        <f>IF(Option2="No",0,IF($A14&lt;ImplementationYear,0,IF($A14&gt;(ImplementationYear+(Appraisal_Period-1)),0,'Reduction in car usage'!$E$48*$B14)))</f>
        <v>0</v>
      </c>
      <c r="AJ14" s="94">
        <f>IF(Option3="No",0,IF($A14=ImplementationYear,('Project details'!$P$10-'Project details'!$D$10)*VLOOKUP(Year_cost_estimate,'Time-series parameters'!$B$11:$C$89,2,FALSE)*$B14*(1+Contingency),0))</f>
        <v>0</v>
      </c>
      <c r="AK14" s="94" t="e">
        <f>IF(Option3="No",0,IF($A14&lt;ImplementationYear,0,IF($A14&gt;(ImplementationYear+(Appraisal_Period-1)),0,('Project details'!$P$11-'Project details'!$D$11)*VLOOKUP(Year_cost_estimate,'Time-series parameters'!$B$11:$C$89,2,0))*$B14))</f>
        <v>#VALUE!</v>
      </c>
      <c r="AL14" s="94">
        <f>IF(Option3="No",0,IF($A14=ImplementationYear,('Project details'!$P$12-'Project details'!$D$12)*VLOOKUP(Year_cost_estimate,'Time-series parameters'!$B$11:$C$89,2,FALSE)*$B14,0))</f>
        <v>0</v>
      </c>
      <c r="AM14" s="97">
        <f>IF(Option3="No",0,IF($A14&lt;ImplementationYear,0,IF($A14&gt;(ImplementationYear+(Appraisal_Period-1)),0,Health!$F$21*$B14)))</f>
        <v>0</v>
      </c>
      <c r="AN14" s="97">
        <f>IF(Option3="No",0,IF($A14&lt;ImplementationYear,0,IF($A14&gt;(ImplementationYear+(Appraisal_Period-1)),0,Health!$F$22*$B14)))</f>
        <v>0</v>
      </c>
      <c r="AO14" s="97">
        <f>IF(Option3="No",0,IF($A14&lt;ImplementationYear,0,IF($A14&gt;(ImplementationYear+(Appraisal_Period-1)),0,SUM('Travel time'!$F$22:$F$23)*$B14)))</f>
        <v>0</v>
      </c>
      <c r="AP14" s="97">
        <f>IF(Option3="No",0,IF($A14&lt;ImplementationYear,0,IF($A14&gt;(ImplementationYear+(Appraisal_Period-1)),0,SUM('Travel time'!$F$20:$F$21)*$B14)))</f>
        <v>0</v>
      </c>
      <c r="AQ14" s="97">
        <f>IF(Option3="No",0,IF($A14&lt;ImplementationYear,0,IF($A14&gt;(ImplementationYear+(Appraisal_Period-1)),0,SUM(Quality!$F$22:$F$23)*$B14)))</f>
        <v>0</v>
      </c>
      <c r="AR14" s="97">
        <f>IF(Option3="No",0,IF($A14&lt;ImplementationYear,0,IF($A14&gt;(ImplementationYear+(Appraisal_Period-1)),0,SUM(Quality!$F$20:$F$21)*$B14)))</f>
        <v>0</v>
      </c>
      <c r="AS14" s="97">
        <f>IF(Option3="No",0,IF($A14&lt;ImplementationYear,0,IF($A14&gt;(ImplementationYear+(Appraisal_Period-1)),0,'Mode change'!$F$36*$B14)))</f>
        <v>0</v>
      </c>
      <c r="AT14" s="97">
        <f>IF(Option3="No",0,IF($A14&lt;ImplementationYear,0,IF($A14&gt;(ImplementationYear+(Appraisal_Period-1)),0,'Mode change'!$F$37*$B14)))</f>
        <v>0</v>
      </c>
      <c r="AU14" s="97">
        <f>IF(Option3="No",0,IF($A14&lt;ImplementationYear,0,IF($A14&gt;(ImplementationYear+(Appraisal_Period-1)),0,'Road safety'!$F$22*$B14)))</f>
        <v>0</v>
      </c>
      <c r="AV14" s="97">
        <f>IF(Option3="No",0,IF($A14&lt;ImplementationYear,0,IF($A14&gt;(ImplementationYear+(Appraisal_Period-1)),0,'Reduction in car usage'!$F$46*$B14)))</f>
        <v>0</v>
      </c>
      <c r="AW14" s="97">
        <f>IF(Option3="No",0,IF($A14&lt;ImplementationYear,0,IF($A14&gt;(ImplementationYear+(Appraisal_Period-1)),0,'Reduction in car usage'!$F$47*$B14)))</f>
        <v>0</v>
      </c>
      <c r="AX14" s="97">
        <f>IF(Option3="No",0,IF($A14&lt;ImplementationYear,0,IF($A14&gt;(ImplementationYear+(Appraisal_Period-1)),0,'Reduction in car usage'!$F$48*$B14)))</f>
        <v>0</v>
      </c>
    </row>
    <row r="15" spans="1:50">
      <c r="A15" s="335">
        <v>2010</v>
      </c>
      <c r="B15" s="62" t="str">
        <f>VLOOKUP($A15,'Time-series parameters'!$E$11:$H$89,4,FALSE)</f>
        <v/>
      </c>
      <c r="C15" s="89"/>
      <c r="D15" s="94">
        <f>IF(Option1="No",0,IF($A15=ImplementationYear,('Project details'!$H$10-'Project details'!$D$10)*VLOOKUP(Year_cost_estimate,'Time-series parameters'!$B$11:$C$89,2,FALSE)*$B15*(1+Contingency),0))</f>
        <v>0</v>
      </c>
      <c r="E15" s="94" t="e">
        <f>IF(Option1="No",0,IF($A15&lt;ImplementationYear,0,IF($A15&gt;(ImplementationYear+(Appraisal_Period-1)),0,('Project details'!$H$11-'Project details'!$D$11)*VLOOKUP(Year_cost_estimate,'Time-series parameters'!$B$11:$C$89,2,0))*$B15))</f>
        <v>#VALUE!</v>
      </c>
      <c r="F15" s="94">
        <f>IF(Option1="No",0,IF($A15=ImplementationYear,('Project details'!$H$12-'Project details'!$D$12)*VLOOKUP(Year_cost_estimate,'Time-series parameters'!$B$11:$C$89,2,FALSE)*$B15,0))</f>
        <v>0</v>
      </c>
      <c r="G15" s="97">
        <f>IF(Option1="No",0,IF($A15&lt;ImplementationYear,0,IF($A15&gt;(ImplementationYear+(Appraisal_Period-1)),0,Health!$D$21*$B15)))</f>
        <v>0</v>
      </c>
      <c r="H15" s="97">
        <f>IF(Option1="No",0,IF($A15&lt;ImplementationYear,0,IF($A15&gt;(ImplementationYear+(Appraisal_Period-1)),0,Health!$D$22*$B15)))</f>
        <v>0</v>
      </c>
      <c r="I15" s="97">
        <f>IF(Option1="No",0,IF($A15&lt;ImplementationYear,0,IF($A15&gt;(ImplementationYear+(Appraisal_Period-1)),0,SUM('Travel time'!$D$22:$D$23)*$B15)))</f>
        <v>0</v>
      </c>
      <c r="J15" s="97">
        <f>IF(Option1="No",0,IF($A15&lt;ImplementationYear,0,IF($A15&gt;(ImplementationYear+(Appraisal_Period-1)),0,SUM('Travel time'!$D$20:$D$21)*$B15)))</f>
        <v>0</v>
      </c>
      <c r="K15" s="97">
        <f>IF(Option1="No",0,IF($A15&lt;ImplementationYear,0,IF($A15&gt;(ImplementationYear+(Appraisal_Period-1)),0,SUM(Quality!$D$22:$D$23)*$B15)))</f>
        <v>0</v>
      </c>
      <c r="L15" s="97">
        <f>IF(Option1="No",0,IF($A15&lt;ImplementationYear,0,IF($A15&gt;(ImplementationYear+(Appraisal_Period-1)),0,SUM(Quality!$D$20:$D$21)*$B15)))</f>
        <v>0</v>
      </c>
      <c r="M15" s="97">
        <f>IF(Option1="No",0,IF($A15&lt;ImplementationYear,0,IF($A15&gt;(ImplementationYear+(Appraisal_Period-1)),0,'Mode change'!$D$36*$B15)))</f>
        <v>0</v>
      </c>
      <c r="N15" s="97">
        <f>IF(Option1="No",0,IF($A15&lt;ImplementationYear,0,IF($A15&gt;(ImplementationYear+(Appraisal_Period-1)),0,'Mode change'!$D$37*$B15)))</f>
        <v>0</v>
      </c>
      <c r="O15" s="97">
        <f>IF(Option1="No",0,IF($A15&lt;ImplementationYear,0,IF($A15&gt;(ImplementationYear+(Appraisal_Period-1)),0,'Road safety'!$D$22*$B15)))</f>
        <v>0</v>
      </c>
      <c r="P15" s="97">
        <f>IF(Option1="No",0,IF($A15&lt;ImplementationYear,0,IF($A15&gt;(ImplementationYear+(Appraisal_Period-1)),0,'Reduction in car usage'!$D$46*$B15)))</f>
        <v>0</v>
      </c>
      <c r="Q15" s="97">
        <f>IF(Option1="No",0,IF($A15&lt;ImplementationYear,0,IF($A15&gt;(ImplementationYear+(Appraisal_Period-1)),0,'Reduction in car usage'!$D$47*$B15)))</f>
        <v>0</v>
      </c>
      <c r="R15" s="97">
        <f>IF(Option1="No",0,IF($A15&lt;ImplementationYear,0,IF($A15&gt;(ImplementationYear+(Appraisal_Period-1)),0,'Reduction in car usage'!$D$48*$B15)))</f>
        <v>0</v>
      </c>
      <c r="S15" s="92"/>
      <c r="T15" s="94">
        <f>IF(Option2="No",0,IF($A15=ImplementationYear,('Project details'!$L$10-'Project details'!$D$10)*VLOOKUP(Year_cost_estimate,'Time-series parameters'!$B$11:$C$89,2,FALSE)*$B15*(1+Contingency),0))</f>
        <v>0</v>
      </c>
      <c r="U15" s="94" t="e">
        <f>IF(Option2="No",0,IF($A15&lt;ImplementationYear,0,IF($A15&gt;(ImplementationYear+(Appraisal_Period-1)),0,('Project details'!$L$11-'Project details'!$D$11)*VLOOKUP(Year_cost_estimate,'Time-series parameters'!$B$11:$C$89,2,0))*$B15))</f>
        <v>#VALUE!</v>
      </c>
      <c r="V15" s="94">
        <f>IF(Option2="No",0,IF($A15=ImplementationYear,('Project details'!$L$12-'Project details'!$D$12)*VLOOKUP(Year_cost_estimate,'Time-series parameters'!$B$11:$C$89,2,FALSE)*$B15,0))</f>
        <v>0</v>
      </c>
      <c r="W15" s="97">
        <f>IF(Option2="No",0,IF($A15&lt;ImplementationYear,0,IF($A15&gt;(ImplementationYear+(Appraisal_Period-1)),0,Health!$E$21*$B15)))</f>
        <v>0</v>
      </c>
      <c r="X15" s="97">
        <f>IF(Option2="No",0,IF($A15&lt;ImplementationYear,0,IF($A15&gt;(ImplementationYear+(Appraisal_Period-1)),0,Health!$E$22*$B15)))</f>
        <v>0</v>
      </c>
      <c r="Y15" s="97">
        <f>IF(Option2="No",0,IF($A15&lt;ImplementationYear,0,IF($A15&gt;(ImplementationYear+(Appraisal_Period-1)),0,SUM('Travel time'!$E$22:$E$23)*$B15)))</f>
        <v>0</v>
      </c>
      <c r="Z15" s="97">
        <f>IF(Option2="No",0,IF($A15&lt;ImplementationYear,0,IF($A15&gt;(ImplementationYear+(Appraisal_Period-1)),0,SUM('Travel time'!$E$20:$E$21)*$B15)))</f>
        <v>0</v>
      </c>
      <c r="AA15" s="97">
        <f>IF(Option2="No",0,IF($A15&lt;ImplementationYear,0,IF($A15&gt;(ImplementationYear+(Appraisal_Period-1)),0,SUM(Quality!$E$22:$E$23)*$B15)))</f>
        <v>0</v>
      </c>
      <c r="AB15" s="97">
        <f>IF(Option2="No",0,IF($A15&lt;ImplementationYear,0,IF($A15&gt;(ImplementationYear+(Appraisal_Period-1)),0,SUM(Quality!$E$20:$E$21)*$B15)))</f>
        <v>0</v>
      </c>
      <c r="AC15" s="97">
        <f>IF(Option2="No",0,IF($A15&lt;ImplementationYear,0,IF($A15&gt;(ImplementationYear+(Appraisal_Period-1)),0,'Mode change'!$E$36*$B15)))</f>
        <v>0</v>
      </c>
      <c r="AD15" s="97">
        <f>IF(Option2="No",0,IF($A15&lt;ImplementationYear,0,IF($A15&gt;(ImplementationYear+(Appraisal_Period-1)),0,'Mode change'!$E$37*$B15)))</f>
        <v>0</v>
      </c>
      <c r="AE15" s="97">
        <f>IF(Option2="No",0,IF($A15&lt;ImplementationYear,0,IF($A15&gt;(ImplementationYear+(Appraisal_Period-1)),0,'Road safety'!$E$22*$B15)))</f>
        <v>0</v>
      </c>
      <c r="AF15" s="97">
        <f>IF(Option2="No",0,IF($A15&lt;ImplementationYear,0,IF($A15&gt;(ImplementationYear+(Appraisal_Period-1)),0,'Reduction in car usage'!$E$46*$B15)))</f>
        <v>0</v>
      </c>
      <c r="AG15" s="97">
        <f>IF(Option2="No",0,IF($A15&lt;ImplementationYear,0,IF($A15&gt;(ImplementationYear+(Appraisal_Period-1)),0,'Reduction in car usage'!$E$47*$B15)))</f>
        <v>0</v>
      </c>
      <c r="AH15" s="97">
        <f>IF(Option2="No",0,IF($A15&lt;ImplementationYear,0,IF($A15&gt;(ImplementationYear+(Appraisal_Period-1)),0,'Reduction in car usage'!$E$48*$B15)))</f>
        <v>0</v>
      </c>
      <c r="AJ15" s="94">
        <f>IF(Option3="No",0,IF($A15=ImplementationYear,('Project details'!$P$10-'Project details'!$D$10)*VLOOKUP(Year_cost_estimate,'Time-series parameters'!$B$11:$C$89,2,FALSE)*$B15*(1+Contingency),0))</f>
        <v>0</v>
      </c>
      <c r="AK15" s="94" t="e">
        <f>IF(Option3="No",0,IF($A15&lt;ImplementationYear,0,IF($A15&gt;(ImplementationYear+(Appraisal_Period-1)),0,('Project details'!$P$11-'Project details'!$D$11)*VLOOKUP(Year_cost_estimate,'Time-series parameters'!$B$11:$C$89,2,0))*$B15))</f>
        <v>#VALUE!</v>
      </c>
      <c r="AL15" s="94">
        <f>IF(Option3="No",0,IF($A15=ImplementationYear,('Project details'!$P$12-'Project details'!$D$12)*VLOOKUP(Year_cost_estimate,'Time-series parameters'!$B$11:$C$89,2,FALSE)*$B15,0))</f>
        <v>0</v>
      </c>
      <c r="AM15" s="97">
        <f>IF(Option3="No",0,IF($A15&lt;ImplementationYear,0,IF($A15&gt;(ImplementationYear+(Appraisal_Period-1)),0,Health!$F$21*$B15)))</f>
        <v>0</v>
      </c>
      <c r="AN15" s="97">
        <f>IF(Option3="No",0,IF($A15&lt;ImplementationYear,0,IF($A15&gt;(ImplementationYear+(Appraisal_Period-1)),0,Health!$F$22*$B15)))</f>
        <v>0</v>
      </c>
      <c r="AO15" s="97">
        <f>IF(Option3="No",0,IF($A15&lt;ImplementationYear,0,IF($A15&gt;(ImplementationYear+(Appraisal_Period-1)),0,SUM('Travel time'!$F$22:$F$23)*$B15)))</f>
        <v>0</v>
      </c>
      <c r="AP15" s="97">
        <f>IF(Option3="No",0,IF($A15&lt;ImplementationYear,0,IF($A15&gt;(ImplementationYear+(Appraisal_Period-1)),0,SUM('Travel time'!$F$20:$F$21)*$B15)))</f>
        <v>0</v>
      </c>
      <c r="AQ15" s="97">
        <f>IF(Option3="No",0,IF($A15&lt;ImplementationYear,0,IF($A15&gt;(ImplementationYear+(Appraisal_Period-1)),0,SUM(Quality!$F$22:$F$23)*$B15)))</f>
        <v>0</v>
      </c>
      <c r="AR15" s="97">
        <f>IF(Option3="No",0,IF($A15&lt;ImplementationYear,0,IF($A15&gt;(ImplementationYear+(Appraisal_Period-1)),0,SUM(Quality!$F$20:$F$21)*$B15)))</f>
        <v>0</v>
      </c>
      <c r="AS15" s="97">
        <f>IF(Option3="No",0,IF($A15&lt;ImplementationYear,0,IF($A15&gt;(ImplementationYear+(Appraisal_Period-1)),0,'Mode change'!$F$36*$B15)))</f>
        <v>0</v>
      </c>
      <c r="AT15" s="97">
        <f>IF(Option3="No",0,IF($A15&lt;ImplementationYear,0,IF($A15&gt;(ImplementationYear+(Appraisal_Period-1)),0,'Mode change'!$F$37*$B15)))</f>
        <v>0</v>
      </c>
      <c r="AU15" s="97">
        <f>IF(Option3="No",0,IF($A15&lt;ImplementationYear,0,IF($A15&gt;(ImplementationYear+(Appraisal_Period-1)),0,'Road safety'!$F$22*$B15)))</f>
        <v>0</v>
      </c>
      <c r="AV15" s="97">
        <f>IF(Option3="No",0,IF($A15&lt;ImplementationYear,0,IF($A15&gt;(ImplementationYear+(Appraisal_Period-1)),0,'Reduction in car usage'!$F$46*$B15)))</f>
        <v>0</v>
      </c>
      <c r="AW15" s="97">
        <f>IF(Option3="No",0,IF($A15&lt;ImplementationYear,0,IF($A15&gt;(ImplementationYear+(Appraisal_Period-1)),0,'Reduction in car usage'!$F$47*$B15)))</f>
        <v>0</v>
      </c>
      <c r="AX15" s="97">
        <f>IF(Option3="No",0,IF($A15&lt;ImplementationYear,0,IF($A15&gt;(ImplementationYear+(Appraisal_Period-1)),0,'Reduction in car usage'!$F$48*$B15)))</f>
        <v>0</v>
      </c>
    </row>
    <row r="16" spans="1:50">
      <c r="A16" s="335">
        <v>2011</v>
      </c>
      <c r="B16" s="62">
        <f>VLOOKUP($A16,'Time-series parameters'!$E$11:$H$89,4,FALSE)</f>
        <v>1</v>
      </c>
      <c r="C16" s="89"/>
      <c r="D16" s="94">
        <f>IF(Option1="No",0,IF($A16=ImplementationYear,('Project details'!$H$10-'Project details'!$D$10)*VLOOKUP(Year_cost_estimate,'Time-series parameters'!$B$11:$C$89,2,FALSE)*$B16*(1+Contingency),0))</f>
        <v>0</v>
      </c>
      <c r="E16" s="94">
        <f>IF(Option1="No",0,IF($A16&lt;ImplementationYear,0,IF($A16&gt;(ImplementationYear+(Appraisal_Period-1)),0,('Project details'!$H$11-'Project details'!$D$11)*VLOOKUP(Year_cost_estimate,'Time-series parameters'!$B$11:$C$89,2,0))*$B16))</f>
        <v>0</v>
      </c>
      <c r="F16" s="94">
        <f>IF(Option1="No",0,IF($A16=ImplementationYear,('Project details'!$H$12-'Project details'!$D$12)*VLOOKUP(Year_cost_estimate,'Time-series parameters'!$B$11:$C$89,2,FALSE)*$B16,0))</f>
        <v>0</v>
      </c>
      <c r="G16" s="97">
        <f>IF(Option1="No",0,IF($A16&lt;ImplementationYear,0,IF($A16&gt;(ImplementationYear+(Appraisal_Period-1)),0,Health!$D$21*$B16)))</f>
        <v>0</v>
      </c>
      <c r="H16" s="97">
        <f>IF(Option1="No",0,IF($A16&lt;ImplementationYear,0,IF($A16&gt;(ImplementationYear+(Appraisal_Period-1)),0,Health!$D$22*$B16)))</f>
        <v>0</v>
      </c>
      <c r="I16" s="97">
        <f>IF(Option1="No",0,IF($A16&lt;ImplementationYear,0,IF($A16&gt;(ImplementationYear+(Appraisal_Period-1)),0,SUM('Travel time'!$D$22:$D$23)*$B16)))</f>
        <v>0</v>
      </c>
      <c r="J16" s="97">
        <f>IF(Option1="No",0,IF($A16&lt;ImplementationYear,0,IF($A16&gt;(ImplementationYear+(Appraisal_Period-1)),0,SUM('Travel time'!$D$20:$D$21)*$B16)))</f>
        <v>0</v>
      </c>
      <c r="K16" s="97">
        <f>IF(Option1="No",0,IF($A16&lt;ImplementationYear,0,IF($A16&gt;(ImplementationYear+(Appraisal_Period-1)),0,SUM(Quality!$D$22:$D$23)*$B16)))</f>
        <v>0</v>
      </c>
      <c r="L16" s="97">
        <f>IF(Option1="No",0,IF($A16&lt;ImplementationYear,0,IF($A16&gt;(ImplementationYear+(Appraisal_Period-1)),0,SUM(Quality!$D$20:$D$21)*$B16)))</f>
        <v>0</v>
      </c>
      <c r="M16" s="97">
        <f>IF(Option1="No",0,IF($A16&lt;ImplementationYear,0,IF($A16&gt;(ImplementationYear+(Appraisal_Period-1)),0,'Mode change'!$D$36*$B16)))</f>
        <v>0</v>
      </c>
      <c r="N16" s="97">
        <f>IF(Option1="No",0,IF($A16&lt;ImplementationYear,0,IF($A16&gt;(ImplementationYear+(Appraisal_Period-1)),0,'Mode change'!$D$37*$B16)))</f>
        <v>0</v>
      </c>
      <c r="O16" s="97">
        <f>IF(Option1="No",0,IF($A16&lt;ImplementationYear,0,IF($A16&gt;(ImplementationYear+(Appraisal_Period-1)),0,'Road safety'!$D$22*$B16)))</f>
        <v>0</v>
      </c>
      <c r="P16" s="97">
        <f>IF(Option1="No",0,IF($A16&lt;ImplementationYear,0,IF($A16&gt;(ImplementationYear+(Appraisal_Period-1)),0,'Reduction in car usage'!$D$46*$B16)))</f>
        <v>0</v>
      </c>
      <c r="Q16" s="97">
        <f>IF(Option1="No",0,IF($A16&lt;ImplementationYear,0,IF($A16&gt;(ImplementationYear+(Appraisal_Period-1)),0,'Reduction in car usage'!$D$47*$B16)))</f>
        <v>0</v>
      </c>
      <c r="R16" s="97">
        <f>IF(Option1="No",0,IF($A16&lt;ImplementationYear,0,IF($A16&gt;(ImplementationYear+(Appraisal_Period-1)),0,'Reduction in car usage'!$D$48*$B16)))</f>
        <v>0</v>
      </c>
      <c r="S16" s="92"/>
      <c r="T16" s="94">
        <f>IF(Option2="No",0,IF($A16=ImplementationYear,('Project details'!$L$10-'Project details'!$D$10)*VLOOKUP(Year_cost_estimate,'Time-series parameters'!$B$11:$C$89,2,FALSE)*$B16*(1+Contingency),0))</f>
        <v>0</v>
      </c>
      <c r="U16" s="94">
        <f>IF(Option2="No",0,IF($A16&lt;ImplementationYear,0,IF($A16&gt;(ImplementationYear+(Appraisal_Period-1)),0,('Project details'!$L$11-'Project details'!$D$11)*VLOOKUP(Year_cost_estimate,'Time-series parameters'!$B$11:$C$89,2,0))*$B16))</f>
        <v>0</v>
      </c>
      <c r="V16" s="94">
        <f>IF(Option2="No",0,IF($A16=ImplementationYear,('Project details'!$L$12-'Project details'!$D$12)*VLOOKUP(Year_cost_estimate,'Time-series parameters'!$B$11:$C$89,2,FALSE)*$B16,0))</f>
        <v>0</v>
      </c>
      <c r="W16" s="97">
        <f>IF(Option2="No",0,IF($A16&lt;ImplementationYear,0,IF($A16&gt;(ImplementationYear+(Appraisal_Period-1)),0,Health!$E$21*$B16)))</f>
        <v>0</v>
      </c>
      <c r="X16" s="97">
        <f>IF(Option2="No",0,IF($A16&lt;ImplementationYear,0,IF($A16&gt;(ImplementationYear+(Appraisal_Period-1)),0,Health!$E$22*$B16)))</f>
        <v>0</v>
      </c>
      <c r="Y16" s="97">
        <f>IF(Option2="No",0,IF($A16&lt;ImplementationYear,0,IF($A16&gt;(ImplementationYear+(Appraisal_Period-1)),0,SUM('Travel time'!$E$22:$E$23)*$B16)))</f>
        <v>0</v>
      </c>
      <c r="Z16" s="97">
        <f>IF(Option2="No",0,IF($A16&lt;ImplementationYear,0,IF($A16&gt;(ImplementationYear+(Appraisal_Period-1)),0,SUM('Travel time'!$E$20:$E$21)*$B16)))</f>
        <v>0</v>
      </c>
      <c r="AA16" s="97">
        <f>IF(Option2="No",0,IF($A16&lt;ImplementationYear,0,IF($A16&gt;(ImplementationYear+(Appraisal_Period-1)),0,SUM(Quality!$E$22:$E$23)*$B16)))</f>
        <v>0</v>
      </c>
      <c r="AB16" s="97">
        <f>IF(Option2="No",0,IF($A16&lt;ImplementationYear,0,IF($A16&gt;(ImplementationYear+(Appraisal_Period-1)),0,SUM(Quality!$E$20:$E$21)*$B16)))</f>
        <v>0</v>
      </c>
      <c r="AC16" s="97">
        <f>IF(Option2="No",0,IF($A16&lt;ImplementationYear,0,IF($A16&gt;(ImplementationYear+(Appraisal_Period-1)),0,'Mode change'!$E$36*$B16)))</f>
        <v>0</v>
      </c>
      <c r="AD16" s="97">
        <f>IF(Option2="No",0,IF($A16&lt;ImplementationYear,0,IF($A16&gt;(ImplementationYear+(Appraisal_Period-1)),0,'Mode change'!$E$37*$B16)))</f>
        <v>0</v>
      </c>
      <c r="AE16" s="97">
        <f>IF(Option2="No",0,IF($A16&lt;ImplementationYear,0,IF($A16&gt;(ImplementationYear+(Appraisal_Period-1)),0,'Road safety'!$E$22*$B16)))</f>
        <v>0</v>
      </c>
      <c r="AF16" s="97">
        <f>IF(Option2="No",0,IF($A16&lt;ImplementationYear,0,IF($A16&gt;(ImplementationYear+(Appraisal_Period-1)),0,'Reduction in car usage'!$E$46*$B16)))</f>
        <v>0</v>
      </c>
      <c r="AG16" s="97">
        <f>IF(Option2="No",0,IF($A16&lt;ImplementationYear,0,IF($A16&gt;(ImplementationYear+(Appraisal_Period-1)),0,'Reduction in car usage'!$E$47*$B16)))</f>
        <v>0</v>
      </c>
      <c r="AH16" s="97">
        <f>IF(Option2="No",0,IF($A16&lt;ImplementationYear,0,IF($A16&gt;(ImplementationYear+(Appraisal_Period-1)),0,'Reduction in car usage'!$E$48*$B16)))</f>
        <v>0</v>
      </c>
      <c r="AJ16" s="94">
        <f>IF(Option3="No",0,IF($A16=ImplementationYear,('Project details'!$P$10-'Project details'!$D$10)*VLOOKUP(Year_cost_estimate,'Time-series parameters'!$B$11:$C$89,2,FALSE)*$B16*(1+Contingency),0))</f>
        <v>0</v>
      </c>
      <c r="AK16" s="94">
        <f>IF(Option3="No",0,IF($A16&lt;ImplementationYear,0,IF($A16&gt;(ImplementationYear+(Appraisal_Period-1)),0,('Project details'!$P$11-'Project details'!$D$11)*VLOOKUP(Year_cost_estimate,'Time-series parameters'!$B$11:$C$89,2,0))*$B16))</f>
        <v>0</v>
      </c>
      <c r="AL16" s="94">
        <f>IF(Option3="No",0,IF($A16=ImplementationYear,('Project details'!$P$12-'Project details'!$D$12)*VLOOKUP(Year_cost_estimate,'Time-series parameters'!$B$11:$C$89,2,FALSE)*$B16,0))</f>
        <v>0</v>
      </c>
      <c r="AM16" s="97">
        <f>IF(Option3="No",0,IF($A16&lt;ImplementationYear,0,IF($A16&gt;(ImplementationYear+(Appraisal_Period-1)),0,Health!$F$21*$B16)))</f>
        <v>0</v>
      </c>
      <c r="AN16" s="97">
        <f>IF(Option3="No",0,IF($A16&lt;ImplementationYear,0,IF($A16&gt;(ImplementationYear+(Appraisal_Period-1)),0,Health!$F$22*$B16)))</f>
        <v>0</v>
      </c>
      <c r="AO16" s="97">
        <f>IF(Option3="No",0,IF($A16&lt;ImplementationYear,0,IF($A16&gt;(ImplementationYear+(Appraisal_Period-1)),0,SUM('Travel time'!$F$22:$F$23)*$B16)))</f>
        <v>0</v>
      </c>
      <c r="AP16" s="97">
        <f>IF(Option3="No",0,IF($A16&lt;ImplementationYear,0,IF($A16&gt;(ImplementationYear+(Appraisal_Period-1)),0,SUM('Travel time'!$F$20:$F$21)*$B16)))</f>
        <v>0</v>
      </c>
      <c r="AQ16" s="97">
        <f>IF(Option3="No",0,IF($A16&lt;ImplementationYear,0,IF($A16&gt;(ImplementationYear+(Appraisal_Period-1)),0,SUM(Quality!$F$22:$F$23)*$B16)))</f>
        <v>0</v>
      </c>
      <c r="AR16" s="97">
        <f>IF(Option3="No",0,IF($A16&lt;ImplementationYear,0,IF($A16&gt;(ImplementationYear+(Appraisal_Period-1)),0,SUM(Quality!$F$20:$F$21)*$B16)))</f>
        <v>0</v>
      </c>
      <c r="AS16" s="97">
        <f>IF(Option3="No",0,IF($A16&lt;ImplementationYear,0,IF($A16&gt;(ImplementationYear+(Appraisal_Period-1)),0,'Mode change'!$F$36*$B16)))</f>
        <v>0</v>
      </c>
      <c r="AT16" s="97">
        <f>IF(Option3="No",0,IF($A16&lt;ImplementationYear,0,IF($A16&gt;(ImplementationYear+(Appraisal_Period-1)),0,'Mode change'!$F$37*$B16)))</f>
        <v>0</v>
      </c>
      <c r="AU16" s="97">
        <f>IF(Option3="No",0,IF($A16&lt;ImplementationYear,0,IF($A16&gt;(ImplementationYear+(Appraisal_Period-1)),0,'Road safety'!$F$22*$B16)))</f>
        <v>0</v>
      </c>
      <c r="AV16" s="97">
        <f>IF(Option3="No",0,IF($A16&lt;ImplementationYear,0,IF($A16&gt;(ImplementationYear+(Appraisal_Period-1)),0,'Reduction in car usage'!$F$46*$B16)))</f>
        <v>0</v>
      </c>
      <c r="AW16" s="97">
        <f>IF(Option3="No",0,IF($A16&lt;ImplementationYear,0,IF($A16&gt;(ImplementationYear+(Appraisal_Period-1)),0,'Reduction in car usage'!$F$47*$B16)))</f>
        <v>0</v>
      </c>
      <c r="AX16" s="97">
        <f>IF(Option3="No",0,IF($A16&lt;ImplementationYear,0,IF($A16&gt;(ImplementationYear+(Appraisal_Period-1)),0,'Reduction in car usage'!$F$48*$B16)))</f>
        <v>0</v>
      </c>
    </row>
    <row r="17" spans="1:50">
      <c r="A17" s="335">
        <v>2012</v>
      </c>
      <c r="B17" s="62">
        <f>VLOOKUP($A17,'Time-series parameters'!$E$11:$H$89,4,FALSE)</f>
        <v>0.96</v>
      </c>
      <c r="C17" s="89"/>
      <c r="D17" s="94">
        <f>IF(Option1="No",0,IF($A17=ImplementationYear,('Project details'!$H$10-'Project details'!$D$10)*VLOOKUP(Year_cost_estimate,'Time-series parameters'!$B$11:$C$89,2,FALSE)*$B17*(1+Contingency),0))</f>
        <v>0</v>
      </c>
      <c r="E17" s="94">
        <f>IF(Option1="No",0,IF($A17&lt;ImplementationYear,0,IF($A17&gt;(ImplementationYear+(Appraisal_Period-1)),0,('Project details'!$H$11-'Project details'!$D$11)*VLOOKUP(Year_cost_estimate,'Time-series parameters'!$B$11:$C$89,2,0))*$B17))</f>
        <v>0</v>
      </c>
      <c r="F17" s="94">
        <f>IF(Option1="No",0,IF($A17=ImplementationYear,('Project details'!$H$12-'Project details'!$D$12)*VLOOKUP(Year_cost_estimate,'Time-series parameters'!$B$11:$C$89,2,FALSE)*$B17,0))</f>
        <v>0</v>
      </c>
      <c r="G17" s="97">
        <f>IF(Option1="No",0,IF($A17&lt;ImplementationYear,0,IF($A17&gt;(ImplementationYear+(Appraisal_Period-1)),0,Health!$D$21*$B17)))</f>
        <v>0</v>
      </c>
      <c r="H17" s="97">
        <f>IF(Option1="No",0,IF($A17&lt;ImplementationYear,0,IF($A17&gt;(ImplementationYear+(Appraisal_Period-1)),0,Health!$D$22*$B17)))</f>
        <v>0</v>
      </c>
      <c r="I17" s="97">
        <f>IF(Option1="No",0,IF($A17&lt;ImplementationYear,0,IF($A17&gt;(ImplementationYear+(Appraisal_Period-1)),0,SUM('Travel time'!$D$22:$D$23)*$B17)))</f>
        <v>0</v>
      </c>
      <c r="J17" s="97">
        <f>IF(Option1="No",0,IF($A17&lt;ImplementationYear,0,IF($A17&gt;(ImplementationYear+(Appraisal_Period-1)),0,SUM('Travel time'!$D$20:$D$21)*$B17)))</f>
        <v>0</v>
      </c>
      <c r="K17" s="97">
        <f>IF(Option1="No",0,IF($A17&lt;ImplementationYear,0,IF($A17&gt;(ImplementationYear+(Appraisal_Period-1)),0,SUM(Quality!$D$22:$D$23)*$B17)))</f>
        <v>0</v>
      </c>
      <c r="L17" s="97">
        <f>IF(Option1="No",0,IF($A17&lt;ImplementationYear,0,IF($A17&gt;(ImplementationYear+(Appraisal_Period-1)),0,SUM(Quality!$D$20:$D$21)*$B17)))</f>
        <v>0</v>
      </c>
      <c r="M17" s="97">
        <f>IF(Option1="No",0,IF($A17&lt;ImplementationYear,0,IF($A17&gt;(ImplementationYear+(Appraisal_Period-1)),0,'Mode change'!$D$36*$B17)))</f>
        <v>0</v>
      </c>
      <c r="N17" s="97">
        <f>IF(Option1="No",0,IF($A17&lt;ImplementationYear,0,IF($A17&gt;(ImplementationYear+(Appraisal_Period-1)),0,'Mode change'!$D$37*$B17)))</f>
        <v>0</v>
      </c>
      <c r="O17" s="97">
        <f>IF(Option1="No",0,IF($A17&lt;ImplementationYear,0,IF($A17&gt;(ImplementationYear+(Appraisal_Period-1)),0,'Road safety'!$D$22*$B17)))</f>
        <v>0</v>
      </c>
      <c r="P17" s="97">
        <f>IF(Option1="No",0,IF($A17&lt;ImplementationYear,0,IF($A17&gt;(ImplementationYear+(Appraisal_Period-1)),0,'Reduction in car usage'!$D$46*$B17)))</f>
        <v>0</v>
      </c>
      <c r="Q17" s="97">
        <f>IF(Option1="No",0,IF($A17&lt;ImplementationYear,0,IF($A17&gt;(ImplementationYear+(Appraisal_Period-1)),0,'Reduction in car usage'!$D$47*$B17)))</f>
        <v>0</v>
      </c>
      <c r="R17" s="97">
        <f>IF(Option1="No",0,IF($A17&lt;ImplementationYear,0,IF($A17&gt;(ImplementationYear+(Appraisal_Period-1)),0,'Reduction in car usage'!$D$48*$B17)))</f>
        <v>0</v>
      </c>
      <c r="S17" s="92"/>
      <c r="T17" s="94">
        <f>IF(Option2="No",0,IF($A17=ImplementationYear,('Project details'!$L$10-'Project details'!$D$10)*VLOOKUP(Year_cost_estimate,'Time-series parameters'!$B$11:$C$89,2,FALSE)*$B17*(1+Contingency),0))</f>
        <v>0</v>
      </c>
      <c r="U17" s="94">
        <f>IF(Option2="No",0,IF($A17&lt;ImplementationYear,0,IF($A17&gt;(ImplementationYear+(Appraisal_Period-1)),0,('Project details'!$L$11-'Project details'!$D$11)*VLOOKUP(Year_cost_estimate,'Time-series parameters'!$B$11:$C$89,2,0))*$B17))</f>
        <v>0</v>
      </c>
      <c r="V17" s="94">
        <f>IF(Option2="No",0,IF($A17=ImplementationYear,('Project details'!$L$12-'Project details'!$D$12)*VLOOKUP(Year_cost_estimate,'Time-series parameters'!$B$11:$C$89,2,FALSE)*$B17,0))</f>
        <v>0</v>
      </c>
      <c r="W17" s="97">
        <f>IF(Option2="No",0,IF($A17&lt;ImplementationYear,0,IF($A17&gt;(ImplementationYear+(Appraisal_Period-1)),0,Health!$E$21*$B17)))</f>
        <v>0</v>
      </c>
      <c r="X17" s="97">
        <f>IF(Option2="No",0,IF($A17&lt;ImplementationYear,0,IF($A17&gt;(ImplementationYear+(Appraisal_Period-1)),0,Health!$E$22*$B17)))</f>
        <v>0</v>
      </c>
      <c r="Y17" s="97">
        <f>IF(Option2="No",0,IF($A17&lt;ImplementationYear,0,IF($A17&gt;(ImplementationYear+(Appraisal_Period-1)),0,SUM('Travel time'!$E$22:$E$23)*$B17)))</f>
        <v>0</v>
      </c>
      <c r="Z17" s="97">
        <f>IF(Option2="No",0,IF($A17&lt;ImplementationYear,0,IF($A17&gt;(ImplementationYear+(Appraisal_Period-1)),0,SUM('Travel time'!$E$20:$E$21)*$B17)))</f>
        <v>0</v>
      </c>
      <c r="AA17" s="97">
        <f>IF(Option2="No",0,IF($A17&lt;ImplementationYear,0,IF($A17&gt;(ImplementationYear+(Appraisal_Period-1)),0,SUM(Quality!$E$22:$E$23)*$B17)))</f>
        <v>0</v>
      </c>
      <c r="AB17" s="97">
        <f>IF(Option2="No",0,IF($A17&lt;ImplementationYear,0,IF($A17&gt;(ImplementationYear+(Appraisal_Period-1)),0,SUM(Quality!$E$20:$E$21)*$B17)))</f>
        <v>0</v>
      </c>
      <c r="AC17" s="97">
        <f>IF(Option2="No",0,IF($A17&lt;ImplementationYear,0,IF($A17&gt;(ImplementationYear+(Appraisal_Period-1)),0,'Mode change'!$E$36*$B17)))</f>
        <v>0</v>
      </c>
      <c r="AD17" s="97">
        <f>IF(Option2="No",0,IF($A17&lt;ImplementationYear,0,IF($A17&gt;(ImplementationYear+(Appraisal_Period-1)),0,'Mode change'!$E$37*$B17)))</f>
        <v>0</v>
      </c>
      <c r="AE17" s="97">
        <f>IF(Option2="No",0,IF($A17&lt;ImplementationYear,0,IF($A17&gt;(ImplementationYear+(Appraisal_Period-1)),0,'Road safety'!$E$22*$B17)))</f>
        <v>0</v>
      </c>
      <c r="AF17" s="97">
        <f>IF(Option2="No",0,IF($A17&lt;ImplementationYear,0,IF($A17&gt;(ImplementationYear+(Appraisal_Period-1)),0,'Reduction in car usage'!$E$46*$B17)))</f>
        <v>0</v>
      </c>
      <c r="AG17" s="97">
        <f>IF(Option2="No",0,IF($A17&lt;ImplementationYear,0,IF($A17&gt;(ImplementationYear+(Appraisal_Period-1)),0,'Reduction in car usage'!$E$47*$B17)))</f>
        <v>0</v>
      </c>
      <c r="AH17" s="97">
        <f>IF(Option2="No",0,IF($A17&lt;ImplementationYear,0,IF($A17&gt;(ImplementationYear+(Appraisal_Period-1)),0,'Reduction in car usage'!$E$48*$B17)))</f>
        <v>0</v>
      </c>
      <c r="AJ17" s="94">
        <f>IF(Option3="No",0,IF($A17=ImplementationYear,('Project details'!$P$10-'Project details'!$D$10)*VLOOKUP(Year_cost_estimate,'Time-series parameters'!$B$11:$C$89,2,FALSE)*$B17*(1+Contingency),0))</f>
        <v>0</v>
      </c>
      <c r="AK17" s="94">
        <f>IF(Option3="No",0,IF($A17&lt;ImplementationYear,0,IF($A17&gt;(ImplementationYear+(Appraisal_Period-1)),0,('Project details'!$P$11-'Project details'!$D$11)*VLOOKUP(Year_cost_estimate,'Time-series parameters'!$B$11:$C$89,2,0))*$B17))</f>
        <v>0</v>
      </c>
      <c r="AL17" s="94">
        <f>IF(Option3="No",0,IF($A17=ImplementationYear,('Project details'!$P$12-'Project details'!$D$12)*VLOOKUP(Year_cost_estimate,'Time-series parameters'!$B$11:$C$89,2,FALSE)*$B17,0))</f>
        <v>0</v>
      </c>
      <c r="AM17" s="97">
        <f>IF(Option3="No",0,IF($A17&lt;ImplementationYear,0,IF($A17&gt;(ImplementationYear+(Appraisal_Period-1)),0,Health!$F$21*$B17)))</f>
        <v>0</v>
      </c>
      <c r="AN17" s="97">
        <f>IF(Option3="No",0,IF($A17&lt;ImplementationYear,0,IF($A17&gt;(ImplementationYear+(Appraisal_Period-1)),0,Health!$F$22*$B17)))</f>
        <v>0</v>
      </c>
      <c r="AO17" s="97">
        <f>IF(Option3="No",0,IF($A17&lt;ImplementationYear,0,IF($A17&gt;(ImplementationYear+(Appraisal_Period-1)),0,SUM('Travel time'!$F$22:$F$23)*$B17)))</f>
        <v>0</v>
      </c>
      <c r="AP17" s="97">
        <f>IF(Option3="No",0,IF($A17&lt;ImplementationYear,0,IF($A17&gt;(ImplementationYear+(Appraisal_Period-1)),0,SUM('Travel time'!$F$20:$F$21)*$B17)))</f>
        <v>0</v>
      </c>
      <c r="AQ17" s="97">
        <f>IF(Option3="No",0,IF($A17&lt;ImplementationYear,0,IF($A17&gt;(ImplementationYear+(Appraisal_Period-1)),0,SUM(Quality!$F$22:$F$23)*$B17)))</f>
        <v>0</v>
      </c>
      <c r="AR17" s="97">
        <f>IF(Option3="No",0,IF($A17&lt;ImplementationYear,0,IF($A17&gt;(ImplementationYear+(Appraisal_Period-1)),0,SUM(Quality!$F$20:$F$21)*$B17)))</f>
        <v>0</v>
      </c>
      <c r="AS17" s="97">
        <f>IF(Option3="No",0,IF($A17&lt;ImplementationYear,0,IF($A17&gt;(ImplementationYear+(Appraisal_Period-1)),0,'Mode change'!$F$36*$B17)))</f>
        <v>0</v>
      </c>
      <c r="AT17" s="97">
        <f>IF(Option3="No",0,IF($A17&lt;ImplementationYear,0,IF($A17&gt;(ImplementationYear+(Appraisal_Period-1)),0,'Mode change'!$F$37*$B17)))</f>
        <v>0</v>
      </c>
      <c r="AU17" s="97">
        <f>IF(Option3="No",0,IF($A17&lt;ImplementationYear,0,IF($A17&gt;(ImplementationYear+(Appraisal_Period-1)),0,'Road safety'!$F$22*$B17)))</f>
        <v>0</v>
      </c>
      <c r="AV17" s="97">
        <f>IF(Option3="No",0,IF($A17&lt;ImplementationYear,0,IF($A17&gt;(ImplementationYear+(Appraisal_Period-1)),0,'Reduction in car usage'!$F$46*$B17)))</f>
        <v>0</v>
      </c>
      <c r="AW17" s="97">
        <f>IF(Option3="No",0,IF($A17&lt;ImplementationYear,0,IF($A17&gt;(ImplementationYear+(Appraisal_Period-1)),0,'Reduction in car usage'!$F$47*$B17)))</f>
        <v>0</v>
      </c>
      <c r="AX17" s="97">
        <f>IF(Option3="No",0,IF($A17&lt;ImplementationYear,0,IF($A17&gt;(ImplementationYear+(Appraisal_Period-1)),0,'Reduction in car usage'!$F$48*$B17)))</f>
        <v>0</v>
      </c>
    </row>
    <row r="18" spans="1:50">
      <c r="A18" s="335">
        <v>2013</v>
      </c>
      <c r="B18" s="62">
        <f>VLOOKUP($A18,'Time-series parameters'!$E$11:$H$89,4,FALSE)</f>
        <v>0.92159999999999997</v>
      </c>
      <c r="C18" s="89"/>
      <c r="D18" s="94">
        <f>IF(Option1="No",0,IF($A18=ImplementationYear,('Project details'!$H$10-'Project details'!$D$10)*VLOOKUP(Year_cost_estimate,'Time-series parameters'!$B$11:$C$89,2,FALSE)*$B18*(1+Contingency),0))</f>
        <v>0</v>
      </c>
      <c r="E18" s="94">
        <f>IF(Option1="No",0,IF($A18&lt;ImplementationYear,0,IF($A18&gt;(ImplementationYear+(Appraisal_Period-1)),0,('Project details'!$H$11-'Project details'!$D$11)*VLOOKUP(Year_cost_estimate,'Time-series parameters'!$B$11:$C$89,2,0))*$B18))</f>
        <v>0</v>
      </c>
      <c r="F18" s="94">
        <f>IF(Option1="No",0,IF($A18=ImplementationYear,('Project details'!$H$12-'Project details'!$D$12)*VLOOKUP(Year_cost_estimate,'Time-series parameters'!$B$11:$C$89,2,FALSE)*$B18,0))</f>
        <v>0</v>
      </c>
      <c r="G18" s="97">
        <f>IF(Option1="No",0,IF($A18&lt;ImplementationYear,0,IF($A18&gt;(ImplementationYear+(Appraisal_Period-1)),0,Health!$D$21*$B18)))</f>
        <v>0</v>
      </c>
      <c r="H18" s="97">
        <f>IF(Option1="No",0,IF($A18&lt;ImplementationYear,0,IF($A18&gt;(ImplementationYear+(Appraisal_Period-1)),0,Health!$D$22*$B18)))</f>
        <v>0</v>
      </c>
      <c r="I18" s="97">
        <f>IF(Option1="No",0,IF($A18&lt;ImplementationYear,0,IF($A18&gt;(ImplementationYear+(Appraisal_Period-1)),0,SUM('Travel time'!$D$22:$D$23)*$B18)))</f>
        <v>0</v>
      </c>
      <c r="J18" s="97">
        <f>IF(Option1="No",0,IF($A18&lt;ImplementationYear,0,IF($A18&gt;(ImplementationYear+(Appraisal_Period-1)),0,SUM('Travel time'!$D$20:$D$21)*$B18)))</f>
        <v>0</v>
      </c>
      <c r="K18" s="97">
        <f>IF(Option1="No",0,IF($A18&lt;ImplementationYear,0,IF($A18&gt;(ImplementationYear+(Appraisal_Period-1)),0,SUM(Quality!$D$22:$D$23)*$B18)))</f>
        <v>0</v>
      </c>
      <c r="L18" s="97">
        <f>IF(Option1="No",0,IF($A18&lt;ImplementationYear,0,IF($A18&gt;(ImplementationYear+(Appraisal_Period-1)),0,SUM(Quality!$D$20:$D$21)*$B18)))</f>
        <v>0</v>
      </c>
      <c r="M18" s="97">
        <f>IF(Option1="No",0,IF($A18&lt;ImplementationYear,0,IF($A18&gt;(ImplementationYear+(Appraisal_Period-1)),0,'Mode change'!$D$36*$B18)))</f>
        <v>0</v>
      </c>
      <c r="N18" s="97">
        <f>IF(Option1="No",0,IF($A18&lt;ImplementationYear,0,IF($A18&gt;(ImplementationYear+(Appraisal_Period-1)),0,'Mode change'!$D$37*$B18)))</f>
        <v>0</v>
      </c>
      <c r="O18" s="97">
        <f>IF(Option1="No",0,IF($A18&lt;ImplementationYear,0,IF($A18&gt;(ImplementationYear+(Appraisal_Period-1)),0,'Road safety'!$D$22*$B18)))</f>
        <v>0</v>
      </c>
      <c r="P18" s="97">
        <f>IF(Option1="No",0,IF($A18&lt;ImplementationYear,0,IF($A18&gt;(ImplementationYear+(Appraisal_Period-1)),0,'Reduction in car usage'!$D$46*$B18)))</f>
        <v>0</v>
      </c>
      <c r="Q18" s="97">
        <f>IF(Option1="No",0,IF($A18&lt;ImplementationYear,0,IF($A18&gt;(ImplementationYear+(Appraisal_Period-1)),0,'Reduction in car usage'!$D$47*$B18)))</f>
        <v>0</v>
      </c>
      <c r="R18" s="97">
        <f>IF(Option1="No",0,IF($A18&lt;ImplementationYear,0,IF($A18&gt;(ImplementationYear+(Appraisal_Period-1)),0,'Reduction in car usage'!$D$48*$B18)))</f>
        <v>0</v>
      </c>
      <c r="S18" s="92"/>
      <c r="T18" s="94">
        <f>IF(Option2="No",0,IF($A18=ImplementationYear,('Project details'!$L$10-'Project details'!$D$10)*VLOOKUP(Year_cost_estimate,'Time-series parameters'!$B$11:$C$89,2,FALSE)*$B18*(1+Contingency),0))</f>
        <v>0</v>
      </c>
      <c r="U18" s="94">
        <f>IF(Option2="No",0,IF($A18&lt;ImplementationYear,0,IF($A18&gt;(ImplementationYear+(Appraisal_Period-1)),0,('Project details'!$L$11-'Project details'!$D$11)*VLOOKUP(Year_cost_estimate,'Time-series parameters'!$B$11:$C$89,2,0))*$B18))</f>
        <v>0</v>
      </c>
      <c r="V18" s="94">
        <f>IF(Option2="No",0,IF($A18=ImplementationYear,('Project details'!$L$12-'Project details'!$D$12)*VLOOKUP(Year_cost_estimate,'Time-series parameters'!$B$11:$C$89,2,FALSE)*$B18,0))</f>
        <v>0</v>
      </c>
      <c r="W18" s="97">
        <f>IF(Option2="No",0,IF($A18&lt;ImplementationYear,0,IF($A18&gt;(ImplementationYear+(Appraisal_Period-1)),0,Health!$E$21*$B18)))</f>
        <v>0</v>
      </c>
      <c r="X18" s="97">
        <f>IF(Option2="No",0,IF($A18&lt;ImplementationYear,0,IF($A18&gt;(ImplementationYear+(Appraisal_Period-1)),0,Health!$E$22*$B18)))</f>
        <v>0</v>
      </c>
      <c r="Y18" s="97">
        <f>IF(Option2="No",0,IF($A18&lt;ImplementationYear,0,IF($A18&gt;(ImplementationYear+(Appraisal_Period-1)),0,SUM('Travel time'!$E$22:$E$23)*$B18)))</f>
        <v>0</v>
      </c>
      <c r="Z18" s="97">
        <f>IF(Option2="No",0,IF($A18&lt;ImplementationYear,0,IF($A18&gt;(ImplementationYear+(Appraisal_Period-1)),0,SUM('Travel time'!$E$20:$E$21)*$B18)))</f>
        <v>0</v>
      </c>
      <c r="AA18" s="97">
        <f>IF(Option2="No",0,IF($A18&lt;ImplementationYear,0,IF($A18&gt;(ImplementationYear+(Appraisal_Period-1)),0,SUM(Quality!$E$22:$E$23)*$B18)))</f>
        <v>0</v>
      </c>
      <c r="AB18" s="97">
        <f>IF(Option2="No",0,IF($A18&lt;ImplementationYear,0,IF($A18&gt;(ImplementationYear+(Appraisal_Period-1)),0,SUM(Quality!$E$20:$E$21)*$B18)))</f>
        <v>0</v>
      </c>
      <c r="AC18" s="97">
        <f>IF(Option2="No",0,IF($A18&lt;ImplementationYear,0,IF($A18&gt;(ImplementationYear+(Appraisal_Period-1)),0,'Mode change'!$E$36*$B18)))</f>
        <v>0</v>
      </c>
      <c r="AD18" s="97">
        <f>IF(Option2="No",0,IF($A18&lt;ImplementationYear,0,IF($A18&gt;(ImplementationYear+(Appraisal_Period-1)),0,'Mode change'!$E$37*$B18)))</f>
        <v>0</v>
      </c>
      <c r="AE18" s="97">
        <f>IF(Option2="No",0,IF($A18&lt;ImplementationYear,0,IF($A18&gt;(ImplementationYear+(Appraisal_Period-1)),0,'Road safety'!$E$22*$B18)))</f>
        <v>0</v>
      </c>
      <c r="AF18" s="97">
        <f>IF(Option2="No",0,IF($A18&lt;ImplementationYear,0,IF($A18&gt;(ImplementationYear+(Appraisal_Period-1)),0,'Reduction in car usage'!$E$46*$B18)))</f>
        <v>0</v>
      </c>
      <c r="AG18" s="97">
        <f>IF(Option2="No",0,IF($A18&lt;ImplementationYear,0,IF($A18&gt;(ImplementationYear+(Appraisal_Period-1)),0,'Reduction in car usage'!$E$47*$B18)))</f>
        <v>0</v>
      </c>
      <c r="AH18" s="97">
        <f>IF(Option2="No",0,IF($A18&lt;ImplementationYear,0,IF($A18&gt;(ImplementationYear+(Appraisal_Period-1)),0,'Reduction in car usage'!$E$48*$B18)))</f>
        <v>0</v>
      </c>
      <c r="AJ18" s="94">
        <f>IF(Option3="No",0,IF($A18=ImplementationYear,('Project details'!$P$10-'Project details'!$D$10)*VLOOKUP(Year_cost_estimate,'Time-series parameters'!$B$11:$C$89,2,FALSE)*$B18*(1+Contingency),0))</f>
        <v>0</v>
      </c>
      <c r="AK18" s="94">
        <f>IF(Option3="No",0,IF($A18&lt;ImplementationYear,0,IF($A18&gt;(ImplementationYear+(Appraisal_Period-1)),0,('Project details'!$P$11-'Project details'!$D$11)*VLOOKUP(Year_cost_estimate,'Time-series parameters'!$B$11:$C$89,2,0))*$B18))</f>
        <v>0</v>
      </c>
      <c r="AL18" s="94">
        <f>IF(Option3="No",0,IF($A18=ImplementationYear,('Project details'!$P$12-'Project details'!$D$12)*VLOOKUP(Year_cost_estimate,'Time-series parameters'!$B$11:$C$89,2,FALSE)*$B18,0))</f>
        <v>0</v>
      </c>
      <c r="AM18" s="97">
        <f>IF(Option3="No",0,IF($A18&lt;ImplementationYear,0,IF($A18&gt;(ImplementationYear+(Appraisal_Period-1)),0,Health!$F$21*$B18)))</f>
        <v>0</v>
      </c>
      <c r="AN18" s="97">
        <f>IF(Option3="No",0,IF($A18&lt;ImplementationYear,0,IF($A18&gt;(ImplementationYear+(Appraisal_Period-1)),0,Health!$F$22*$B18)))</f>
        <v>0</v>
      </c>
      <c r="AO18" s="97">
        <f>IF(Option3="No",0,IF($A18&lt;ImplementationYear,0,IF($A18&gt;(ImplementationYear+(Appraisal_Period-1)),0,SUM('Travel time'!$F$22:$F$23)*$B18)))</f>
        <v>0</v>
      </c>
      <c r="AP18" s="97">
        <f>IF(Option3="No",0,IF($A18&lt;ImplementationYear,0,IF($A18&gt;(ImplementationYear+(Appraisal_Period-1)),0,SUM('Travel time'!$F$20:$F$21)*$B18)))</f>
        <v>0</v>
      </c>
      <c r="AQ18" s="97">
        <f>IF(Option3="No",0,IF($A18&lt;ImplementationYear,0,IF($A18&gt;(ImplementationYear+(Appraisal_Period-1)),0,SUM(Quality!$F$22:$F$23)*$B18)))</f>
        <v>0</v>
      </c>
      <c r="AR18" s="97">
        <f>IF(Option3="No",0,IF($A18&lt;ImplementationYear,0,IF($A18&gt;(ImplementationYear+(Appraisal_Period-1)),0,SUM(Quality!$F$20:$F$21)*$B18)))</f>
        <v>0</v>
      </c>
      <c r="AS18" s="97">
        <f>IF(Option3="No",0,IF($A18&lt;ImplementationYear,0,IF($A18&gt;(ImplementationYear+(Appraisal_Period-1)),0,'Mode change'!$F$36*$B18)))</f>
        <v>0</v>
      </c>
      <c r="AT18" s="97">
        <f>IF(Option3="No",0,IF($A18&lt;ImplementationYear,0,IF($A18&gt;(ImplementationYear+(Appraisal_Period-1)),0,'Mode change'!$F$37*$B18)))</f>
        <v>0</v>
      </c>
      <c r="AU18" s="97">
        <f>IF(Option3="No",0,IF($A18&lt;ImplementationYear,0,IF($A18&gt;(ImplementationYear+(Appraisal_Period-1)),0,'Road safety'!$F$22*$B18)))</f>
        <v>0</v>
      </c>
      <c r="AV18" s="97">
        <f>IF(Option3="No",0,IF($A18&lt;ImplementationYear,0,IF($A18&gt;(ImplementationYear+(Appraisal_Period-1)),0,'Reduction in car usage'!$F$46*$B18)))</f>
        <v>0</v>
      </c>
      <c r="AW18" s="97">
        <f>IF(Option3="No",0,IF($A18&lt;ImplementationYear,0,IF($A18&gt;(ImplementationYear+(Appraisal_Period-1)),0,'Reduction in car usage'!$F$47*$B18)))</f>
        <v>0</v>
      </c>
      <c r="AX18" s="97">
        <f>IF(Option3="No",0,IF($A18&lt;ImplementationYear,0,IF($A18&gt;(ImplementationYear+(Appraisal_Period-1)),0,'Reduction in car usage'!$F$48*$B18)))</f>
        <v>0</v>
      </c>
    </row>
    <row r="19" spans="1:50">
      <c r="A19" s="335">
        <v>2014</v>
      </c>
      <c r="B19" s="62">
        <f>VLOOKUP($A19,'Time-series parameters'!$E$11:$H$89,4,FALSE)</f>
        <v>0.88473599999999997</v>
      </c>
      <c r="C19" s="89"/>
      <c r="D19" s="94">
        <f>IF(Option1="No",0,IF($A19=ImplementationYear,('Project details'!$H$10-'Project details'!$D$10)*VLOOKUP(Year_cost_estimate,'Time-series parameters'!$B$11:$C$89,2,FALSE)*$B19*(1+Contingency),0))</f>
        <v>0</v>
      </c>
      <c r="E19" s="94">
        <f>IF(Option1="No",0,IF($A19&lt;ImplementationYear,0,IF($A19&gt;(ImplementationYear+(Appraisal_Period-1)),0,('Project details'!$H$11-'Project details'!$D$11)*VLOOKUP(Year_cost_estimate,'Time-series parameters'!$B$11:$C$89,2,0))*$B19))</f>
        <v>0</v>
      </c>
      <c r="F19" s="94">
        <f>IF(Option1="No",0,IF($A19=ImplementationYear,('Project details'!$H$12-'Project details'!$D$12)*VLOOKUP(Year_cost_estimate,'Time-series parameters'!$B$11:$C$89,2,FALSE)*$B19,0))</f>
        <v>0</v>
      </c>
      <c r="G19" s="97">
        <f>IF(Option1="No",0,IF($A19&lt;ImplementationYear,0,IF($A19&gt;(ImplementationYear+(Appraisal_Period-1)),0,Health!$D$21*$B19)))</f>
        <v>0</v>
      </c>
      <c r="H19" s="97">
        <f>IF(Option1="No",0,IF($A19&lt;ImplementationYear,0,IF($A19&gt;(ImplementationYear+(Appraisal_Period-1)),0,Health!$D$22*$B19)))</f>
        <v>0</v>
      </c>
      <c r="I19" s="97">
        <f>IF(Option1="No",0,IF($A19&lt;ImplementationYear,0,IF($A19&gt;(ImplementationYear+(Appraisal_Period-1)),0,SUM('Travel time'!$D$22:$D$23)*$B19)))</f>
        <v>0</v>
      </c>
      <c r="J19" s="97">
        <f>IF(Option1="No",0,IF($A19&lt;ImplementationYear,0,IF($A19&gt;(ImplementationYear+(Appraisal_Period-1)),0,SUM('Travel time'!$D$20:$D$21)*$B19)))</f>
        <v>0</v>
      </c>
      <c r="K19" s="97">
        <f>IF(Option1="No",0,IF($A19&lt;ImplementationYear,0,IF($A19&gt;(ImplementationYear+(Appraisal_Period-1)),0,SUM(Quality!$D$22:$D$23)*$B19)))</f>
        <v>0</v>
      </c>
      <c r="L19" s="97">
        <f>IF(Option1="No",0,IF($A19&lt;ImplementationYear,0,IF($A19&gt;(ImplementationYear+(Appraisal_Period-1)),0,SUM(Quality!$D$20:$D$21)*$B19)))</f>
        <v>0</v>
      </c>
      <c r="M19" s="97">
        <f>IF(Option1="No",0,IF($A19&lt;ImplementationYear,0,IF($A19&gt;(ImplementationYear+(Appraisal_Period-1)),0,'Mode change'!$D$36*$B19)))</f>
        <v>0</v>
      </c>
      <c r="N19" s="97">
        <f>IF(Option1="No",0,IF($A19&lt;ImplementationYear,0,IF($A19&gt;(ImplementationYear+(Appraisal_Period-1)),0,'Mode change'!$D$37*$B19)))</f>
        <v>0</v>
      </c>
      <c r="O19" s="97">
        <f>IF(Option1="No",0,IF($A19&lt;ImplementationYear,0,IF($A19&gt;(ImplementationYear+(Appraisal_Period-1)),0,'Road safety'!$D$22*$B19)))</f>
        <v>0</v>
      </c>
      <c r="P19" s="97">
        <f>IF(Option1="No",0,IF($A19&lt;ImplementationYear,0,IF($A19&gt;(ImplementationYear+(Appraisal_Period-1)),0,'Reduction in car usage'!$D$46*$B19)))</f>
        <v>0</v>
      </c>
      <c r="Q19" s="97">
        <f>IF(Option1="No",0,IF($A19&lt;ImplementationYear,0,IF($A19&gt;(ImplementationYear+(Appraisal_Period-1)),0,'Reduction in car usage'!$D$47*$B19)))</f>
        <v>0</v>
      </c>
      <c r="R19" s="97">
        <f>IF(Option1="No",0,IF($A19&lt;ImplementationYear,0,IF($A19&gt;(ImplementationYear+(Appraisal_Period-1)),0,'Reduction in car usage'!$D$48*$B19)))</f>
        <v>0</v>
      </c>
      <c r="S19" s="92"/>
      <c r="T19" s="94">
        <f>IF(Option2="No",0,IF($A19=ImplementationYear,('Project details'!$L$10-'Project details'!$D$10)*VLOOKUP(Year_cost_estimate,'Time-series parameters'!$B$11:$C$89,2,FALSE)*$B19*(1+Contingency),0))</f>
        <v>0</v>
      </c>
      <c r="U19" s="94">
        <f>IF(Option2="No",0,IF($A19&lt;ImplementationYear,0,IF($A19&gt;(ImplementationYear+(Appraisal_Period-1)),0,('Project details'!$L$11-'Project details'!$D$11)*VLOOKUP(Year_cost_estimate,'Time-series parameters'!$B$11:$C$89,2,0))*$B19))</f>
        <v>0</v>
      </c>
      <c r="V19" s="94">
        <f>IF(Option2="No",0,IF($A19=ImplementationYear,('Project details'!$L$12-'Project details'!$D$12)*VLOOKUP(Year_cost_estimate,'Time-series parameters'!$B$11:$C$89,2,FALSE)*$B19,0))</f>
        <v>0</v>
      </c>
      <c r="W19" s="97">
        <f>IF(Option2="No",0,IF($A19&lt;ImplementationYear,0,IF($A19&gt;(ImplementationYear+(Appraisal_Period-1)),0,Health!$E$21*$B19)))</f>
        <v>0</v>
      </c>
      <c r="X19" s="97">
        <f>IF(Option2="No",0,IF($A19&lt;ImplementationYear,0,IF($A19&gt;(ImplementationYear+(Appraisal_Period-1)),0,Health!$E$22*$B19)))</f>
        <v>0</v>
      </c>
      <c r="Y19" s="97">
        <f>IF(Option2="No",0,IF($A19&lt;ImplementationYear,0,IF($A19&gt;(ImplementationYear+(Appraisal_Period-1)),0,SUM('Travel time'!$E$22:$E$23)*$B19)))</f>
        <v>0</v>
      </c>
      <c r="Z19" s="97">
        <f>IF(Option2="No",0,IF($A19&lt;ImplementationYear,0,IF($A19&gt;(ImplementationYear+(Appraisal_Period-1)),0,SUM('Travel time'!$E$20:$E$21)*$B19)))</f>
        <v>0</v>
      </c>
      <c r="AA19" s="97">
        <f>IF(Option2="No",0,IF($A19&lt;ImplementationYear,0,IF($A19&gt;(ImplementationYear+(Appraisal_Period-1)),0,SUM(Quality!$E$22:$E$23)*$B19)))</f>
        <v>0</v>
      </c>
      <c r="AB19" s="97">
        <f>IF(Option2="No",0,IF($A19&lt;ImplementationYear,0,IF($A19&gt;(ImplementationYear+(Appraisal_Period-1)),0,SUM(Quality!$E$20:$E$21)*$B19)))</f>
        <v>0</v>
      </c>
      <c r="AC19" s="97">
        <f>IF(Option2="No",0,IF($A19&lt;ImplementationYear,0,IF($A19&gt;(ImplementationYear+(Appraisal_Period-1)),0,'Mode change'!$E$36*$B19)))</f>
        <v>0</v>
      </c>
      <c r="AD19" s="97">
        <f>IF(Option2="No",0,IF($A19&lt;ImplementationYear,0,IF($A19&gt;(ImplementationYear+(Appraisal_Period-1)),0,'Mode change'!$E$37*$B19)))</f>
        <v>0</v>
      </c>
      <c r="AE19" s="97">
        <f>IF(Option2="No",0,IF($A19&lt;ImplementationYear,0,IF($A19&gt;(ImplementationYear+(Appraisal_Period-1)),0,'Road safety'!$E$22*$B19)))</f>
        <v>0</v>
      </c>
      <c r="AF19" s="97">
        <f>IF(Option2="No",0,IF($A19&lt;ImplementationYear,0,IF($A19&gt;(ImplementationYear+(Appraisal_Period-1)),0,'Reduction in car usage'!$E$46*$B19)))</f>
        <v>0</v>
      </c>
      <c r="AG19" s="97">
        <f>IF(Option2="No",0,IF($A19&lt;ImplementationYear,0,IF($A19&gt;(ImplementationYear+(Appraisal_Period-1)),0,'Reduction in car usage'!$E$47*$B19)))</f>
        <v>0</v>
      </c>
      <c r="AH19" s="97">
        <f>IF(Option2="No",0,IF($A19&lt;ImplementationYear,0,IF($A19&gt;(ImplementationYear+(Appraisal_Period-1)),0,'Reduction in car usage'!$E$48*$B19)))</f>
        <v>0</v>
      </c>
      <c r="AJ19" s="94">
        <f>IF(Option3="No",0,IF($A19=ImplementationYear,('Project details'!$P$10-'Project details'!$D$10)*VLOOKUP(Year_cost_estimate,'Time-series parameters'!$B$11:$C$89,2,FALSE)*$B19*(1+Contingency),0))</f>
        <v>0</v>
      </c>
      <c r="AK19" s="94">
        <f>IF(Option3="No",0,IF($A19&lt;ImplementationYear,0,IF($A19&gt;(ImplementationYear+(Appraisal_Period-1)),0,('Project details'!$P$11-'Project details'!$D$11)*VLOOKUP(Year_cost_estimate,'Time-series parameters'!$B$11:$C$89,2,0))*$B19))</f>
        <v>0</v>
      </c>
      <c r="AL19" s="94">
        <f>IF(Option3="No",0,IF($A19=ImplementationYear,('Project details'!$P$12-'Project details'!$D$12)*VLOOKUP(Year_cost_estimate,'Time-series parameters'!$B$11:$C$89,2,FALSE)*$B19,0))</f>
        <v>0</v>
      </c>
      <c r="AM19" s="97">
        <f>IF(Option3="No",0,IF($A19&lt;ImplementationYear,0,IF($A19&gt;(ImplementationYear+(Appraisal_Period-1)),0,Health!$F$21*$B19)))</f>
        <v>0</v>
      </c>
      <c r="AN19" s="97">
        <f>IF(Option3="No",0,IF($A19&lt;ImplementationYear,0,IF($A19&gt;(ImplementationYear+(Appraisal_Period-1)),0,Health!$F$22*$B19)))</f>
        <v>0</v>
      </c>
      <c r="AO19" s="97">
        <f>IF(Option3="No",0,IF($A19&lt;ImplementationYear,0,IF($A19&gt;(ImplementationYear+(Appraisal_Period-1)),0,SUM('Travel time'!$F$22:$F$23)*$B19)))</f>
        <v>0</v>
      </c>
      <c r="AP19" s="97">
        <f>IF(Option3="No",0,IF($A19&lt;ImplementationYear,0,IF($A19&gt;(ImplementationYear+(Appraisal_Period-1)),0,SUM('Travel time'!$F$20:$F$21)*$B19)))</f>
        <v>0</v>
      </c>
      <c r="AQ19" s="97">
        <f>IF(Option3="No",0,IF($A19&lt;ImplementationYear,0,IF($A19&gt;(ImplementationYear+(Appraisal_Period-1)),0,SUM(Quality!$F$22:$F$23)*$B19)))</f>
        <v>0</v>
      </c>
      <c r="AR19" s="97">
        <f>IF(Option3="No",0,IF($A19&lt;ImplementationYear,0,IF($A19&gt;(ImplementationYear+(Appraisal_Period-1)),0,SUM(Quality!$F$20:$F$21)*$B19)))</f>
        <v>0</v>
      </c>
      <c r="AS19" s="97">
        <f>IF(Option3="No",0,IF($A19&lt;ImplementationYear,0,IF($A19&gt;(ImplementationYear+(Appraisal_Period-1)),0,'Mode change'!$F$36*$B19)))</f>
        <v>0</v>
      </c>
      <c r="AT19" s="97">
        <f>IF(Option3="No",0,IF($A19&lt;ImplementationYear,0,IF($A19&gt;(ImplementationYear+(Appraisal_Period-1)),0,'Mode change'!$F$37*$B19)))</f>
        <v>0</v>
      </c>
      <c r="AU19" s="97">
        <f>IF(Option3="No",0,IF($A19&lt;ImplementationYear,0,IF($A19&gt;(ImplementationYear+(Appraisal_Period-1)),0,'Road safety'!$F$22*$B19)))</f>
        <v>0</v>
      </c>
      <c r="AV19" s="97">
        <f>IF(Option3="No",0,IF($A19&lt;ImplementationYear,0,IF($A19&gt;(ImplementationYear+(Appraisal_Period-1)),0,'Reduction in car usage'!$F$46*$B19)))</f>
        <v>0</v>
      </c>
      <c r="AW19" s="97">
        <f>IF(Option3="No",0,IF($A19&lt;ImplementationYear,0,IF($A19&gt;(ImplementationYear+(Appraisal_Period-1)),0,'Reduction in car usage'!$F$47*$B19)))</f>
        <v>0</v>
      </c>
      <c r="AX19" s="97">
        <f>IF(Option3="No",0,IF($A19&lt;ImplementationYear,0,IF($A19&gt;(ImplementationYear+(Appraisal_Period-1)),0,'Reduction in car usage'!$F$48*$B19)))</f>
        <v>0</v>
      </c>
    </row>
    <row r="20" spans="1:50">
      <c r="A20" s="335">
        <v>2015</v>
      </c>
      <c r="B20" s="62">
        <f>VLOOKUP($A20,'Time-series parameters'!$E$11:$H$89,4,FALSE)</f>
        <v>0.84934655999999997</v>
      </c>
      <c r="C20" s="89"/>
      <c r="D20" s="94">
        <f>IF(Option1="No",0,IF($A20=ImplementationYear,('Project details'!$H$10-'Project details'!$D$10)*VLOOKUP(Year_cost_estimate,'Time-series parameters'!$B$11:$C$89,2,FALSE)*$B20*(1+Contingency),0))</f>
        <v>0</v>
      </c>
      <c r="E20" s="94">
        <f>IF(Option1="No",0,IF($A20&lt;ImplementationYear,0,IF($A20&gt;(ImplementationYear+(Appraisal_Period-1)),0,('Project details'!$H$11-'Project details'!$D$11)*VLOOKUP(Year_cost_estimate,'Time-series parameters'!$B$11:$C$89,2,0))*$B20))</f>
        <v>0</v>
      </c>
      <c r="F20" s="94">
        <f>IF(Option1="No",0,IF($A20=ImplementationYear,('Project details'!$H$12-'Project details'!$D$12)*VLOOKUP(Year_cost_estimate,'Time-series parameters'!$B$11:$C$89,2,FALSE)*$B20,0))</f>
        <v>0</v>
      </c>
      <c r="G20" s="97">
        <f>IF(Option1="No",0,IF($A20&lt;ImplementationYear,0,IF($A20&gt;(ImplementationYear+(Appraisal_Period-1)),0,Health!$D$21*$B20)))</f>
        <v>0</v>
      </c>
      <c r="H20" s="97">
        <f>IF(Option1="No",0,IF($A20&lt;ImplementationYear,0,IF($A20&gt;(ImplementationYear+(Appraisal_Period-1)),0,Health!$D$22*$B20)))</f>
        <v>0</v>
      </c>
      <c r="I20" s="97">
        <f>IF(Option1="No",0,IF($A20&lt;ImplementationYear,0,IF($A20&gt;(ImplementationYear+(Appraisal_Period-1)),0,SUM('Travel time'!$D$22:$D$23)*$B20)))</f>
        <v>0</v>
      </c>
      <c r="J20" s="97">
        <f>IF(Option1="No",0,IF($A20&lt;ImplementationYear,0,IF($A20&gt;(ImplementationYear+(Appraisal_Period-1)),0,SUM('Travel time'!$D$20:$D$21)*$B20)))</f>
        <v>0</v>
      </c>
      <c r="K20" s="97">
        <f>IF(Option1="No",0,IF($A20&lt;ImplementationYear,0,IF($A20&gt;(ImplementationYear+(Appraisal_Period-1)),0,SUM(Quality!$D$22:$D$23)*$B20)))</f>
        <v>0</v>
      </c>
      <c r="L20" s="97">
        <f>IF(Option1="No",0,IF($A20&lt;ImplementationYear,0,IF($A20&gt;(ImplementationYear+(Appraisal_Period-1)),0,SUM(Quality!$D$20:$D$21)*$B20)))</f>
        <v>0</v>
      </c>
      <c r="M20" s="97">
        <f>IF(Option1="No",0,IF($A20&lt;ImplementationYear,0,IF($A20&gt;(ImplementationYear+(Appraisal_Period-1)),0,'Mode change'!$D$36*$B20)))</f>
        <v>0</v>
      </c>
      <c r="N20" s="97">
        <f>IF(Option1="No",0,IF($A20&lt;ImplementationYear,0,IF($A20&gt;(ImplementationYear+(Appraisal_Period-1)),0,'Mode change'!$D$37*$B20)))</f>
        <v>0</v>
      </c>
      <c r="O20" s="97">
        <f>IF(Option1="No",0,IF($A20&lt;ImplementationYear,0,IF($A20&gt;(ImplementationYear+(Appraisal_Period-1)),0,'Road safety'!$D$22*$B20)))</f>
        <v>0</v>
      </c>
      <c r="P20" s="97">
        <f>IF(Option1="No",0,IF($A20&lt;ImplementationYear,0,IF($A20&gt;(ImplementationYear+(Appraisal_Period-1)),0,'Reduction in car usage'!$D$46*$B20)))</f>
        <v>0</v>
      </c>
      <c r="Q20" s="97">
        <f>IF(Option1="No",0,IF($A20&lt;ImplementationYear,0,IF($A20&gt;(ImplementationYear+(Appraisal_Period-1)),0,'Reduction in car usage'!$D$47*$B20)))</f>
        <v>0</v>
      </c>
      <c r="R20" s="97">
        <f>IF(Option1="No",0,IF($A20&lt;ImplementationYear,0,IF($A20&gt;(ImplementationYear+(Appraisal_Period-1)),0,'Reduction in car usage'!$D$48*$B20)))</f>
        <v>0</v>
      </c>
      <c r="S20" s="92"/>
      <c r="T20" s="94">
        <f>IF(Option2="No",0,IF($A20=ImplementationYear,('Project details'!$L$10-'Project details'!$D$10)*VLOOKUP(Year_cost_estimate,'Time-series parameters'!$B$11:$C$89,2,FALSE)*$B20*(1+Contingency),0))</f>
        <v>0</v>
      </c>
      <c r="U20" s="94">
        <f>IF(Option2="No",0,IF($A20&lt;ImplementationYear,0,IF($A20&gt;(ImplementationYear+(Appraisal_Period-1)),0,('Project details'!$L$11-'Project details'!$D$11)*VLOOKUP(Year_cost_estimate,'Time-series parameters'!$B$11:$C$89,2,0))*$B20))</f>
        <v>0</v>
      </c>
      <c r="V20" s="94">
        <f>IF(Option2="No",0,IF($A20=ImplementationYear,('Project details'!$L$12-'Project details'!$D$12)*VLOOKUP(Year_cost_estimate,'Time-series parameters'!$B$11:$C$89,2,FALSE)*$B20,0))</f>
        <v>0</v>
      </c>
      <c r="W20" s="97">
        <f>IF(Option2="No",0,IF($A20&lt;ImplementationYear,0,IF($A20&gt;(ImplementationYear+(Appraisal_Period-1)),0,Health!$E$21*$B20)))</f>
        <v>0</v>
      </c>
      <c r="X20" s="97">
        <f>IF(Option2="No",0,IF($A20&lt;ImplementationYear,0,IF($A20&gt;(ImplementationYear+(Appraisal_Period-1)),0,Health!$E$22*$B20)))</f>
        <v>0</v>
      </c>
      <c r="Y20" s="97">
        <f>IF(Option2="No",0,IF($A20&lt;ImplementationYear,0,IF($A20&gt;(ImplementationYear+(Appraisal_Period-1)),0,SUM('Travel time'!$E$22:$E$23)*$B20)))</f>
        <v>0</v>
      </c>
      <c r="Z20" s="97">
        <f>IF(Option2="No",0,IF($A20&lt;ImplementationYear,0,IF($A20&gt;(ImplementationYear+(Appraisal_Period-1)),0,SUM('Travel time'!$E$20:$E$21)*$B20)))</f>
        <v>0</v>
      </c>
      <c r="AA20" s="97">
        <f>IF(Option2="No",0,IF($A20&lt;ImplementationYear,0,IF($A20&gt;(ImplementationYear+(Appraisal_Period-1)),0,SUM(Quality!$E$22:$E$23)*$B20)))</f>
        <v>0</v>
      </c>
      <c r="AB20" s="97">
        <f>IF(Option2="No",0,IF($A20&lt;ImplementationYear,0,IF($A20&gt;(ImplementationYear+(Appraisal_Period-1)),0,SUM(Quality!$E$20:$E$21)*$B20)))</f>
        <v>0</v>
      </c>
      <c r="AC20" s="97">
        <f>IF(Option2="No",0,IF($A20&lt;ImplementationYear,0,IF($A20&gt;(ImplementationYear+(Appraisal_Period-1)),0,'Mode change'!$E$36*$B20)))</f>
        <v>0</v>
      </c>
      <c r="AD20" s="97">
        <f>IF(Option2="No",0,IF($A20&lt;ImplementationYear,0,IF($A20&gt;(ImplementationYear+(Appraisal_Period-1)),0,'Mode change'!$E$37*$B20)))</f>
        <v>0</v>
      </c>
      <c r="AE20" s="97">
        <f>IF(Option2="No",0,IF($A20&lt;ImplementationYear,0,IF($A20&gt;(ImplementationYear+(Appraisal_Period-1)),0,'Road safety'!$E$22*$B20)))</f>
        <v>0</v>
      </c>
      <c r="AF20" s="97">
        <f>IF(Option2="No",0,IF($A20&lt;ImplementationYear,0,IF($A20&gt;(ImplementationYear+(Appraisal_Period-1)),0,'Reduction in car usage'!$E$46*$B20)))</f>
        <v>0</v>
      </c>
      <c r="AG20" s="97">
        <f>IF(Option2="No",0,IF($A20&lt;ImplementationYear,0,IF($A20&gt;(ImplementationYear+(Appraisal_Period-1)),0,'Reduction in car usage'!$E$47*$B20)))</f>
        <v>0</v>
      </c>
      <c r="AH20" s="97">
        <f>IF(Option2="No",0,IF($A20&lt;ImplementationYear,0,IF($A20&gt;(ImplementationYear+(Appraisal_Period-1)),0,'Reduction in car usage'!$E$48*$B20)))</f>
        <v>0</v>
      </c>
      <c r="AJ20" s="94">
        <f>IF(Option3="No",0,IF($A20=ImplementationYear,('Project details'!$P$10-'Project details'!$D$10)*VLOOKUP(Year_cost_estimate,'Time-series parameters'!$B$11:$C$89,2,FALSE)*$B20*(1+Contingency),0))</f>
        <v>0</v>
      </c>
      <c r="AK20" s="94">
        <f>IF(Option3="No",0,IF($A20&lt;ImplementationYear,0,IF($A20&gt;(ImplementationYear+(Appraisal_Period-1)),0,('Project details'!$P$11-'Project details'!$D$11)*VLOOKUP(Year_cost_estimate,'Time-series parameters'!$B$11:$C$89,2,0))*$B20))</f>
        <v>0</v>
      </c>
      <c r="AL20" s="94">
        <f>IF(Option3="No",0,IF($A20=ImplementationYear,('Project details'!$P$12-'Project details'!$D$12)*VLOOKUP(Year_cost_estimate,'Time-series parameters'!$B$11:$C$89,2,FALSE)*$B20,0))</f>
        <v>0</v>
      </c>
      <c r="AM20" s="97">
        <f>IF(Option3="No",0,IF($A20&lt;ImplementationYear,0,IF($A20&gt;(ImplementationYear+(Appraisal_Period-1)),0,Health!$F$21*$B20)))</f>
        <v>0</v>
      </c>
      <c r="AN20" s="97">
        <f>IF(Option3="No",0,IF($A20&lt;ImplementationYear,0,IF($A20&gt;(ImplementationYear+(Appraisal_Period-1)),0,Health!$F$22*$B20)))</f>
        <v>0</v>
      </c>
      <c r="AO20" s="97">
        <f>IF(Option3="No",0,IF($A20&lt;ImplementationYear,0,IF($A20&gt;(ImplementationYear+(Appraisal_Period-1)),0,SUM('Travel time'!$F$22:$F$23)*$B20)))</f>
        <v>0</v>
      </c>
      <c r="AP20" s="97">
        <f>IF(Option3="No",0,IF($A20&lt;ImplementationYear,0,IF($A20&gt;(ImplementationYear+(Appraisal_Period-1)),0,SUM('Travel time'!$F$20:$F$21)*$B20)))</f>
        <v>0</v>
      </c>
      <c r="AQ20" s="97">
        <f>IF(Option3="No",0,IF($A20&lt;ImplementationYear,0,IF($A20&gt;(ImplementationYear+(Appraisal_Period-1)),0,SUM(Quality!$F$22:$F$23)*$B20)))</f>
        <v>0</v>
      </c>
      <c r="AR20" s="97">
        <f>IF(Option3="No",0,IF($A20&lt;ImplementationYear,0,IF($A20&gt;(ImplementationYear+(Appraisal_Period-1)),0,SUM(Quality!$F$20:$F$21)*$B20)))</f>
        <v>0</v>
      </c>
      <c r="AS20" s="97">
        <f>IF(Option3="No",0,IF($A20&lt;ImplementationYear,0,IF($A20&gt;(ImplementationYear+(Appraisal_Period-1)),0,'Mode change'!$F$36*$B20)))</f>
        <v>0</v>
      </c>
      <c r="AT20" s="97">
        <f>IF(Option3="No",0,IF($A20&lt;ImplementationYear,0,IF($A20&gt;(ImplementationYear+(Appraisal_Period-1)),0,'Mode change'!$F$37*$B20)))</f>
        <v>0</v>
      </c>
      <c r="AU20" s="97">
        <f>IF(Option3="No",0,IF($A20&lt;ImplementationYear,0,IF($A20&gt;(ImplementationYear+(Appraisal_Period-1)),0,'Road safety'!$F$22*$B20)))</f>
        <v>0</v>
      </c>
      <c r="AV20" s="97">
        <f>IF(Option3="No",0,IF($A20&lt;ImplementationYear,0,IF($A20&gt;(ImplementationYear+(Appraisal_Period-1)),0,'Reduction in car usage'!$F$46*$B20)))</f>
        <v>0</v>
      </c>
      <c r="AW20" s="97">
        <f>IF(Option3="No",0,IF($A20&lt;ImplementationYear,0,IF($A20&gt;(ImplementationYear+(Appraisal_Period-1)),0,'Reduction in car usage'!$F$47*$B20)))</f>
        <v>0</v>
      </c>
      <c r="AX20" s="97">
        <f>IF(Option3="No",0,IF($A20&lt;ImplementationYear,0,IF($A20&gt;(ImplementationYear+(Appraisal_Period-1)),0,'Reduction in car usage'!$F$48*$B20)))</f>
        <v>0</v>
      </c>
    </row>
    <row r="21" spans="1:50">
      <c r="A21" s="335">
        <v>2016</v>
      </c>
      <c r="B21" s="62">
        <f>VLOOKUP($A21,'Time-series parameters'!$E$11:$H$89,4,FALSE)</f>
        <v>0.81537269759999997</v>
      </c>
      <c r="C21" s="89"/>
      <c r="D21" s="94">
        <f>IF(Option1="No",0,IF($A21=ImplementationYear,('Project details'!$H$10-'Project details'!$D$10)*VLOOKUP(Year_cost_estimate,'Time-series parameters'!$B$11:$C$89,2,FALSE)*$B21*(1+Contingency),0))</f>
        <v>0</v>
      </c>
      <c r="E21" s="94">
        <f>IF(Option1="No",0,IF($A21&lt;ImplementationYear,0,IF($A21&gt;(ImplementationYear+(Appraisal_Period-1)),0,('Project details'!$H$11-'Project details'!$D$11)*VLOOKUP(Year_cost_estimate,'Time-series parameters'!$B$11:$C$89,2,0))*$B21))</f>
        <v>0</v>
      </c>
      <c r="F21" s="94">
        <f>IF(Option1="No",0,IF($A21=ImplementationYear,('Project details'!$H$12-'Project details'!$D$12)*VLOOKUP(Year_cost_estimate,'Time-series parameters'!$B$11:$C$89,2,FALSE)*$B21,0))</f>
        <v>0</v>
      </c>
      <c r="G21" s="97">
        <f>IF(Option1="No",0,IF($A21&lt;ImplementationYear,0,IF($A21&gt;(ImplementationYear+(Appraisal_Period-1)),0,Health!$D$21*$B21)))</f>
        <v>0</v>
      </c>
      <c r="H21" s="97">
        <f>IF(Option1="No",0,IF($A21&lt;ImplementationYear,0,IF($A21&gt;(ImplementationYear+(Appraisal_Period-1)),0,Health!$D$22*$B21)))</f>
        <v>0</v>
      </c>
      <c r="I21" s="97">
        <f>IF(Option1="No",0,IF($A21&lt;ImplementationYear,0,IF($A21&gt;(ImplementationYear+(Appraisal_Period-1)),0,SUM('Travel time'!$D$22:$D$23)*$B21)))</f>
        <v>0</v>
      </c>
      <c r="J21" s="97">
        <f>IF(Option1="No",0,IF($A21&lt;ImplementationYear,0,IF($A21&gt;(ImplementationYear+(Appraisal_Period-1)),0,SUM('Travel time'!$D$20:$D$21)*$B21)))</f>
        <v>0</v>
      </c>
      <c r="K21" s="97">
        <f>IF(Option1="No",0,IF($A21&lt;ImplementationYear,0,IF($A21&gt;(ImplementationYear+(Appraisal_Period-1)),0,SUM(Quality!$D$22:$D$23)*$B21)))</f>
        <v>0</v>
      </c>
      <c r="L21" s="97">
        <f>IF(Option1="No",0,IF($A21&lt;ImplementationYear,0,IF($A21&gt;(ImplementationYear+(Appraisal_Period-1)),0,SUM(Quality!$D$20:$D$21)*$B21)))</f>
        <v>0</v>
      </c>
      <c r="M21" s="97">
        <f>IF(Option1="No",0,IF($A21&lt;ImplementationYear,0,IF($A21&gt;(ImplementationYear+(Appraisal_Period-1)),0,'Mode change'!$D$36*$B21)))</f>
        <v>0</v>
      </c>
      <c r="N21" s="97">
        <f>IF(Option1="No",0,IF($A21&lt;ImplementationYear,0,IF($A21&gt;(ImplementationYear+(Appraisal_Period-1)),0,'Mode change'!$D$37*$B21)))</f>
        <v>0</v>
      </c>
      <c r="O21" s="97">
        <f>IF(Option1="No",0,IF($A21&lt;ImplementationYear,0,IF($A21&gt;(ImplementationYear+(Appraisal_Period-1)),0,'Road safety'!$D$22*$B21)))</f>
        <v>0</v>
      </c>
      <c r="P21" s="97">
        <f>IF(Option1="No",0,IF($A21&lt;ImplementationYear,0,IF($A21&gt;(ImplementationYear+(Appraisal_Period-1)),0,'Reduction in car usage'!$D$46*$B21)))</f>
        <v>0</v>
      </c>
      <c r="Q21" s="97">
        <f>IF(Option1="No",0,IF($A21&lt;ImplementationYear,0,IF($A21&gt;(ImplementationYear+(Appraisal_Period-1)),0,'Reduction in car usage'!$D$47*$B21)))</f>
        <v>0</v>
      </c>
      <c r="R21" s="97">
        <f>IF(Option1="No",0,IF($A21&lt;ImplementationYear,0,IF($A21&gt;(ImplementationYear+(Appraisal_Period-1)),0,'Reduction in car usage'!$D$48*$B21)))</f>
        <v>0</v>
      </c>
      <c r="S21" s="92"/>
      <c r="T21" s="94">
        <f>IF(Option2="No",0,IF($A21=ImplementationYear,('Project details'!$L$10-'Project details'!$D$10)*VLOOKUP(Year_cost_estimate,'Time-series parameters'!$B$11:$C$89,2,FALSE)*$B21*(1+Contingency),0))</f>
        <v>0</v>
      </c>
      <c r="U21" s="94">
        <f>IF(Option2="No",0,IF($A21&lt;ImplementationYear,0,IF($A21&gt;(ImplementationYear+(Appraisal_Period-1)),0,('Project details'!$L$11-'Project details'!$D$11)*VLOOKUP(Year_cost_estimate,'Time-series parameters'!$B$11:$C$89,2,0))*$B21))</f>
        <v>0</v>
      </c>
      <c r="V21" s="94">
        <f>IF(Option2="No",0,IF($A21=ImplementationYear,('Project details'!$L$12-'Project details'!$D$12)*VLOOKUP(Year_cost_estimate,'Time-series parameters'!$B$11:$C$89,2,FALSE)*$B21,0))</f>
        <v>0</v>
      </c>
      <c r="W21" s="97">
        <f>IF(Option2="No",0,IF($A21&lt;ImplementationYear,0,IF($A21&gt;(ImplementationYear+(Appraisal_Period-1)),0,Health!$E$21*$B21)))</f>
        <v>0</v>
      </c>
      <c r="X21" s="97">
        <f>IF(Option2="No",0,IF($A21&lt;ImplementationYear,0,IF($A21&gt;(ImplementationYear+(Appraisal_Period-1)),0,Health!$E$22*$B21)))</f>
        <v>0</v>
      </c>
      <c r="Y21" s="97">
        <f>IF(Option2="No",0,IF($A21&lt;ImplementationYear,0,IF($A21&gt;(ImplementationYear+(Appraisal_Period-1)),0,SUM('Travel time'!$E$22:$E$23)*$B21)))</f>
        <v>0</v>
      </c>
      <c r="Z21" s="97">
        <f>IF(Option2="No",0,IF($A21&lt;ImplementationYear,0,IF($A21&gt;(ImplementationYear+(Appraisal_Period-1)),0,SUM('Travel time'!$E$20:$E$21)*$B21)))</f>
        <v>0</v>
      </c>
      <c r="AA21" s="97">
        <f>IF(Option2="No",0,IF($A21&lt;ImplementationYear,0,IF($A21&gt;(ImplementationYear+(Appraisal_Period-1)),0,SUM(Quality!$E$22:$E$23)*$B21)))</f>
        <v>0</v>
      </c>
      <c r="AB21" s="97">
        <f>IF(Option2="No",0,IF($A21&lt;ImplementationYear,0,IF($A21&gt;(ImplementationYear+(Appraisal_Period-1)),0,SUM(Quality!$E$20:$E$21)*$B21)))</f>
        <v>0</v>
      </c>
      <c r="AC21" s="97">
        <f>IF(Option2="No",0,IF($A21&lt;ImplementationYear,0,IF($A21&gt;(ImplementationYear+(Appraisal_Period-1)),0,'Mode change'!$E$36*$B21)))</f>
        <v>0</v>
      </c>
      <c r="AD21" s="97">
        <f>IF(Option2="No",0,IF($A21&lt;ImplementationYear,0,IF($A21&gt;(ImplementationYear+(Appraisal_Period-1)),0,'Mode change'!$E$37*$B21)))</f>
        <v>0</v>
      </c>
      <c r="AE21" s="97">
        <f>IF(Option2="No",0,IF($A21&lt;ImplementationYear,0,IF($A21&gt;(ImplementationYear+(Appraisal_Period-1)),0,'Road safety'!$E$22*$B21)))</f>
        <v>0</v>
      </c>
      <c r="AF21" s="97">
        <f>IF(Option2="No",0,IF($A21&lt;ImplementationYear,0,IF($A21&gt;(ImplementationYear+(Appraisal_Period-1)),0,'Reduction in car usage'!$E$46*$B21)))</f>
        <v>0</v>
      </c>
      <c r="AG21" s="97">
        <f>IF(Option2="No",0,IF($A21&lt;ImplementationYear,0,IF($A21&gt;(ImplementationYear+(Appraisal_Period-1)),0,'Reduction in car usage'!$E$47*$B21)))</f>
        <v>0</v>
      </c>
      <c r="AH21" s="97">
        <f>IF(Option2="No",0,IF($A21&lt;ImplementationYear,0,IF($A21&gt;(ImplementationYear+(Appraisal_Period-1)),0,'Reduction in car usage'!$E$48*$B21)))</f>
        <v>0</v>
      </c>
      <c r="AJ21" s="94">
        <f>IF(Option3="No",0,IF($A21=ImplementationYear,('Project details'!$P$10-'Project details'!$D$10)*VLOOKUP(Year_cost_estimate,'Time-series parameters'!$B$11:$C$89,2,FALSE)*$B21*(1+Contingency),0))</f>
        <v>0</v>
      </c>
      <c r="AK21" s="94">
        <f>IF(Option3="No",0,IF($A21&lt;ImplementationYear,0,IF($A21&gt;(ImplementationYear+(Appraisal_Period-1)),0,('Project details'!$P$11-'Project details'!$D$11)*VLOOKUP(Year_cost_estimate,'Time-series parameters'!$B$11:$C$89,2,0))*$B21))</f>
        <v>0</v>
      </c>
      <c r="AL21" s="94">
        <f>IF(Option3="No",0,IF($A21=ImplementationYear,('Project details'!$P$12-'Project details'!$D$12)*VLOOKUP(Year_cost_estimate,'Time-series parameters'!$B$11:$C$89,2,FALSE)*$B21,0))</f>
        <v>0</v>
      </c>
      <c r="AM21" s="97">
        <f>IF(Option3="No",0,IF($A21&lt;ImplementationYear,0,IF($A21&gt;(ImplementationYear+(Appraisal_Period-1)),0,Health!$F$21*$B21)))</f>
        <v>0</v>
      </c>
      <c r="AN21" s="97">
        <f>IF(Option3="No",0,IF($A21&lt;ImplementationYear,0,IF($A21&gt;(ImplementationYear+(Appraisal_Period-1)),0,Health!$F$22*$B21)))</f>
        <v>0</v>
      </c>
      <c r="AO21" s="97">
        <f>IF(Option3="No",0,IF($A21&lt;ImplementationYear,0,IF($A21&gt;(ImplementationYear+(Appraisal_Period-1)),0,SUM('Travel time'!$F$22:$F$23)*$B21)))</f>
        <v>0</v>
      </c>
      <c r="AP21" s="97">
        <f>IF(Option3="No",0,IF($A21&lt;ImplementationYear,0,IF($A21&gt;(ImplementationYear+(Appraisal_Period-1)),0,SUM('Travel time'!$F$20:$F$21)*$B21)))</f>
        <v>0</v>
      </c>
      <c r="AQ21" s="97">
        <f>IF(Option3="No",0,IF($A21&lt;ImplementationYear,0,IF($A21&gt;(ImplementationYear+(Appraisal_Period-1)),0,SUM(Quality!$F$22:$F$23)*$B21)))</f>
        <v>0</v>
      </c>
      <c r="AR21" s="97">
        <f>IF(Option3="No",0,IF($A21&lt;ImplementationYear,0,IF($A21&gt;(ImplementationYear+(Appraisal_Period-1)),0,SUM(Quality!$F$20:$F$21)*$B21)))</f>
        <v>0</v>
      </c>
      <c r="AS21" s="97">
        <f>IF(Option3="No",0,IF($A21&lt;ImplementationYear,0,IF($A21&gt;(ImplementationYear+(Appraisal_Period-1)),0,'Mode change'!$F$36*$B21)))</f>
        <v>0</v>
      </c>
      <c r="AT21" s="97">
        <f>IF(Option3="No",0,IF($A21&lt;ImplementationYear,0,IF($A21&gt;(ImplementationYear+(Appraisal_Period-1)),0,'Mode change'!$F$37*$B21)))</f>
        <v>0</v>
      </c>
      <c r="AU21" s="97">
        <f>IF(Option3="No",0,IF($A21&lt;ImplementationYear,0,IF($A21&gt;(ImplementationYear+(Appraisal_Period-1)),0,'Road safety'!$F$22*$B21)))</f>
        <v>0</v>
      </c>
      <c r="AV21" s="97">
        <f>IF(Option3="No",0,IF($A21&lt;ImplementationYear,0,IF($A21&gt;(ImplementationYear+(Appraisal_Period-1)),0,'Reduction in car usage'!$F$46*$B21)))</f>
        <v>0</v>
      </c>
      <c r="AW21" s="97">
        <f>IF(Option3="No",0,IF($A21&lt;ImplementationYear,0,IF($A21&gt;(ImplementationYear+(Appraisal_Period-1)),0,'Reduction in car usage'!$F$47*$B21)))</f>
        <v>0</v>
      </c>
      <c r="AX21" s="97">
        <f>IF(Option3="No",0,IF($A21&lt;ImplementationYear,0,IF($A21&gt;(ImplementationYear+(Appraisal_Period-1)),0,'Reduction in car usage'!$F$48*$B21)))</f>
        <v>0</v>
      </c>
    </row>
    <row r="22" spans="1:50">
      <c r="A22" s="335">
        <v>2017</v>
      </c>
      <c r="B22" s="62">
        <f>VLOOKUP($A22,'Time-series parameters'!$E$11:$H$89,4,FALSE)</f>
        <v>0.78275778969599996</v>
      </c>
      <c r="C22" s="89"/>
      <c r="D22" s="94">
        <f>IF(Option1="No",0,IF($A22=ImplementationYear,('Project details'!$H$10-'Project details'!$D$10)*VLOOKUP(Year_cost_estimate,'Time-series parameters'!$B$11:$C$89,2,FALSE)*$B22*(1+Contingency),0))</f>
        <v>0</v>
      </c>
      <c r="E22" s="94">
        <f>IF(Option1="No",0,IF($A22&lt;ImplementationYear,0,IF($A22&gt;(ImplementationYear+(Appraisal_Period-1)),0,('Project details'!$H$11-'Project details'!$D$11)*VLOOKUP(Year_cost_estimate,'Time-series parameters'!$B$11:$C$89,2,0))*$B22))</f>
        <v>0</v>
      </c>
      <c r="F22" s="94">
        <f>IF(Option1="No",0,IF($A22=ImplementationYear,('Project details'!$H$12-'Project details'!$D$12)*VLOOKUP(Year_cost_estimate,'Time-series parameters'!$B$11:$C$89,2,FALSE)*$B22,0))</f>
        <v>0</v>
      </c>
      <c r="G22" s="97">
        <f>IF(Option1="No",0,IF($A22&lt;ImplementationYear,0,IF($A22&gt;(ImplementationYear+(Appraisal_Period-1)),0,Health!$D$21*$B22)))</f>
        <v>0</v>
      </c>
      <c r="H22" s="97">
        <f>IF(Option1="No",0,IF($A22&lt;ImplementationYear,0,IF($A22&gt;(ImplementationYear+(Appraisal_Period-1)),0,Health!$D$22*$B22)))</f>
        <v>0</v>
      </c>
      <c r="I22" s="97">
        <f>IF(Option1="No",0,IF($A22&lt;ImplementationYear,0,IF($A22&gt;(ImplementationYear+(Appraisal_Period-1)),0,SUM('Travel time'!$D$22:$D$23)*$B22)))</f>
        <v>0</v>
      </c>
      <c r="J22" s="97">
        <f>IF(Option1="No",0,IF($A22&lt;ImplementationYear,0,IF($A22&gt;(ImplementationYear+(Appraisal_Period-1)),0,SUM('Travel time'!$D$20:$D$21)*$B22)))</f>
        <v>0</v>
      </c>
      <c r="K22" s="97">
        <f>IF(Option1="No",0,IF($A22&lt;ImplementationYear,0,IF($A22&gt;(ImplementationYear+(Appraisal_Period-1)),0,SUM(Quality!$D$22:$D$23)*$B22)))</f>
        <v>0</v>
      </c>
      <c r="L22" s="97">
        <f>IF(Option1="No",0,IF($A22&lt;ImplementationYear,0,IF($A22&gt;(ImplementationYear+(Appraisal_Period-1)),0,SUM(Quality!$D$20:$D$21)*$B22)))</f>
        <v>0</v>
      </c>
      <c r="M22" s="97">
        <f>IF(Option1="No",0,IF($A22&lt;ImplementationYear,0,IF($A22&gt;(ImplementationYear+(Appraisal_Period-1)),0,'Mode change'!$D$36*$B22)))</f>
        <v>0</v>
      </c>
      <c r="N22" s="97">
        <f>IF(Option1="No",0,IF($A22&lt;ImplementationYear,0,IF($A22&gt;(ImplementationYear+(Appraisal_Period-1)),0,'Mode change'!$D$37*$B22)))</f>
        <v>0</v>
      </c>
      <c r="O22" s="97">
        <f>IF(Option1="No",0,IF($A22&lt;ImplementationYear,0,IF($A22&gt;(ImplementationYear+(Appraisal_Period-1)),0,'Road safety'!$D$22*$B22)))</f>
        <v>0</v>
      </c>
      <c r="P22" s="97">
        <f>IF(Option1="No",0,IF($A22&lt;ImplementationYear,0,IF($A22&gt;(ImplementationYear+(Appraisal_Period-1)),0,'Reduction in car usage'!$D$46*$B22)))</f>
        <v>0</v>
      </c>
      <c r="Q22" s="97">
        <f>IF(Option1="No",0,IF($A22&lt;ImplementationYear,0,IF($A22&gt;(ImplementationYear+(Appraisal_Period-1)),0,'Reduction in car usage'!$D$47*$B22)))</f>
        <v>0</v>
      </c>
      <c r="R22" s="97">
        <f>IF(Option1="No",0,IF($A22&lt;ImplementationYear,0,IF($A22&gt;(ImplementationYear+(Appraisal_Period-1)),0,'Reduction in car usage'!$D$48*$B22)))</f>
        <v>0</v>
      </c>
      <c r="S22" s="92"/>
      <c r="T22" s="94">
        <f>IF(Option2="No",0,IF($A22=ImplementationYear,('Project details'!$L$10-'Project details'!$D$10)*VLOOKUP(Year_cost_estimate,'Time-series parameters'!$B$11:$C$89,2,FALSE)*$B22*(1+Contingency),0))</f>
        <v>0</v>
      </c>
      <c r="U22" s="94">
        <f>IF(Option2="No",0,IF($A22&lt;ImplementationYear,0,IF($A22&gt;(ImplementationYear+(Appraisal_Period-1)),0,('Project details'!$L$11-'Project details'!$D$11)*VLOOKUP(Year_cost_estimate,'Time-series parameters'!$B$11:$C$89,2,0))*$B22))</f>
        <v>0</v>
      </c>
      <c r="V22" s="94">
        <f>IF(Option2="No",0,IF($A22=ImplementationYear,('Project details'!$L$12-'Project details'!$D$12)*VLOOKUP(Year_cost_estimate,'Time-series parameters'!$B$11:$C$89,2,FALSE)*$B22,0))</f>
        <v>0</v>
      </c>
      <c r="W22" s="97">
        <f>IF(Option2="No",0,IF($A22&lt;ImplementationYear,0,IF($A22&gt;(ImplementationYear+(Appraisal_Period-1)),0,Health!$E$21*$B22)))</f>
        <v>0</v>
      </c>
      <c r="X22" s="97">
        <f>IF(Option2="No",0,IF($A22&lt;ImplementationYear,0,IF($A22&gt;(ImplementationYear+(Appraisal_Period-1)),0,Health!$E$22*$B22)))</f>
        <v>0</v>
      </c>
      <c r="Y22" s="97">
        <f>IF(Option2="No",0,IF($A22&lt;ImplementationYear,0,IF($A22&gt;(ImplementationYear+(Appraisal_Period-1)),0,SUM('Travel time'!$E$22:$E$23)*$B22)))</f>
        <v>0</v>
      </c>
      <c r="Z22" s="97">
        <f>IF(Option2="No",0,IF($A22&lt;ImplementationYear,0,IF($A22&gt;(ImplementationYear+(Appraisal_Period-1)),0,SUM('Travel time'!$E$20:$E$21)*$B22)))</f>
        <v>0</v>
      </c>
      <c r="AA22" s="97">
        <f>IF(Option2="No",0,IF($A22&lt;ImplementationYear,0,IF($A22&gt;(ImplementationYear+(Appraisal_Period-1)),0,SUM(Quality!$E$22:$E$23)*$B22)))</f>
        <v>0</v>
      </c>
      <c r="AB22" s="97">
        <f>IF(Option2="No",0,IF($A22&lt;ImplementationYear,0,IF($A22&gt;(ImplementationYear+(Appraisal_Period-1)),0,SUM(Quality!$E$20:$E$21)*$B22)))</f>
        <v>0</v>
      </c>
      <c r="AC22" s="97">
        <f>IF(Option2="No",0,IF($A22&lt;ImplementationYear,0,IF($A22&gt;(ImplementationYear+(Appraisal_Period-1)),0,'Mode change'!$E$36*$B22)))</f>
        <v>0</v>
      </c>
      <c r="AD22" s="97">
        <f>IF(Option2="No",0,IF($A22&lt;ImplementationYear,0,IF($A22&gt;(ImplementationYear+(Appraisal_Period-1)),0,'Mode change'!$E$37*$B22)))</f>
        <v>0</v>
      </c>
      <c r="AE22" s="97">
        <f>IF(Option2="No",0,IF($A22&lt;ImplementationYear,0,IF($A22&gt;(ImplementationYear+(Appraisal_Period-1)),0,'Road safety'!$E$22*$B22)))</f>
        <v>0</v>
      </c>
      <c r="AF22" s="97">
        <f>IF(Option2="No",0,IF($A22&lt;ImplementationYear,0,IF($A22&gt;(ImplementationYear+(Appraisal_Period-1)),0,'Reduction in car usage'!$E$46*$B22)))</f>
        <v>0</v>
      </c>
      <c r="AG22" s="97">
        <f>IF(Option2="No",0,IF($A22&lt;ImplementationYear,0,IF($A22&gt;(ImplementationYear+(Appraisal_Period-1)),0,'Reduction in car usage'!$E$47*$B22)))</f>
        <v>0</v>
      </c>
      <c r="AH22" s="97">
        <f>IF(Option2="No",0,IF($A22&lt;ImplementationYear,0,IF($A22&gt;(ImplementationYear+(Appraisal_Period-1)),0,'Reduction in car usage'!$E$48*$B22)))</f>
        <v>0</v>
      </c>
      <c r="AJ22" s="94">
        <f>IF(Option3="No",0,IF($A22=ImplementationYear,('Project details'!$P$10-'Project details'!$D$10)*VLOOKUP(Year_cost_estimate,'Time-series parameters'!$B$11:$C$89,2,FALSE)*$B22*(1+Contingency),0))</f>
        <v>0</v>
      </c>
      <c r="AK22" s="94">
        <f>IF(Option3="No",0,IF($A22&lt;ImplementationYear,0,IF($A22&gt;(ImplementationYear+(Appraisal_Period-1)),0,('Project details'!$P$11-'Project details'!$D$11)*VLOOKUP(Year_cost_estimate,'Time-series parameters'!$B$11:$C$89,2,0))*$B22))</f>
        <v>0</v>
      </c>
      <c r="AL22" s="94">
        <f>IF(Option3="No",0,IF($A22=ImplementationYear,('Project details'!$P$12-'Project details'!$D$12)*VLOOKUP(Year_cost_estimate,'Time-series parameters'!$B$11:$C$89,2,FALSE)*$B22,0))</f>
        <v>0</v>
      </c>
      <c r="AM22" s="97">
        <f>IF(Option3="No",0,IF($A22&lt;ImplementationYear,0,IF($A22&gt;(ImplementationYear+(Appraisal_Period-1)),0,Health!$F$21*$B22)))</f>
        <v>0</v>
      </c>
      <c r="AN22" s="97">
        <f>IF(Option3="No",0,IF($A22&lt;ImplementationYear,0,IF($A22&gt;(ImplementationYear+(Appraisal_Period-1)),0,Health!$F$22*$B22)))</f>
        <v>0</v>
      </c>
      <c r="AO22" s="97">
        <f>IF(Option3="No",0,IF($A22&lt;ImplementationYear,0,IF($A22&gt;(ImplementationYear+(Appraisal_Period-1)),0,SUM('Travel time'!$F$22:$F$23)*$B22)))</f>
        <v>0</v>
      </c>
      <c r="AP22" s="97">
        <f>IF(Option3="No",0,IF($A22&lt;ImplementationYear,0,IF($A22&gt;(ImplementationYear+(Appraisal_Period-1)),0,SUM('Travel time'!$F$20:$F$21)*$B22)))</f>
        <v>0</v>
      </c>
      <c r="AQ22" s="97">
        <f>IF(Option3="No",0,IF($A22&lt;ImplementationYear,0,IF($A22&gt;(ImplementationYear+(Appraisal_Period-1)),0,SUM(Quality!$F$22:$F$23)*$B22)))</f>
        <v>0</v>
      </c>
      <c r="AR22" s="97">
        <f>IF(Option3="No",0,IF($A22&lt;ImplementationYear,0,IF($A22&gt;(ImplementationYear+(Appraisal_Period-1)),0,SUM(Quality!$F$20:$F$21)*$B22)))</f>
        <v>0</v>
      </c>
      <c r="AS22" s="97">
        <f>IF(Option3="No",0,IF($A22&lt;ImplementationYear,0,IF($A22&gt;(ImplementationYear+(Appraisal_Period-1)),0,'Mode change'!$F$36*$B22)))</f>
        <v>0</v>
      </c>
      <c r="AT22" s="97">
        <f>IF(Option3="No",0,IF($A22&lt;ImplementationYear,0,IF($A22&gt;(ImplementationYear+(Appraisal_Period-1)),0,'Mode change'!$F$37*$B22)))</f>
        <v>0</v>
      </c>
      <c r="AU22" s="97">
        <f>IF(Option3="No",0,IF($A22&lt;ImplementationYear,0,IF($A22&gt;(ImplementationYear+(Appraisal_Period-1)),0,'Road safety'!$F$22*$B22)))</f>
        <v>0</v>
      </c>
      <c r="AV22" s="97">
        <f>IF(Option3="No",0,IF($A22&lt;ImplementationYear,0,IF($A22&gt;(ImplementationYear+(Appraisal_Period-1)),0,'Reduction in car usage'!$F$46*$B22)))</f>
        <v>0</v>
      </c>
      <c r="AW22" s="97">
        <f>IF(Option3="No",0,IF($A22&lt;ImplementationYear,0,IF($A22&gt;(ImplementationYear+(Appraisal_Period-1)),0,'Reduction in car usage'!$F$47*$B22)))</f>
        <v>0</v>
      </c>
      <c r="AX22" s="97">
        <f>IF(Option3="No",0,IF($A22&lt;ImplementationYear,0,IF($A22&gt;(ImplementationYear+(Appraisal_Period-1)),0,'Reduction in car usage'!$F$48*$B22)))</f>
        <v>0</v>
      </c>
    </row>
    <row r="23" spans="1:50">
      <c r="A23" s="335">
        <v>2018</v>
      </c>
      <c r="B23" s="62">
        <f>VLOOKUP($A23,'Time-series parameters'!$E$11:$H$89,4,FALSE)</f>
        <v>0.75144747810815993</v>
      </c>
      <c r="C23" s="89"/>
      <c r="D23" s="94">
        <f>IF(Option1="No",0,IF($A23=ImplementationYear,('Project details'!$H$10-'Project details'!$D$10)*VLOOKUP(Year_cost_estimate,'Time-series parameters'!$B$11:$C$89,2,FALSE)*$B23*(1+Contingency),0))</f>
        <v>0</v>
      </c>
      <c r="E23" s="94">
        <f>IF(Option1="No",0,IF($A23&lt;ImplementationYear,0,IF($A23&gt;(ImplementationYear+(Appraisal_Period-1)),0,('Project details'!$H$11-'Project details'!$D$11)*VLOOKUP(Year_cost_estimate,'Time-series parameters'!$B$11:$C$89,2,0))*$B23))</f>
        <v>0</v>
      </c>
      <c r="F23" s="94">
        <f>IF(Option1="No",0,IF($A23=ImplementationYear,('Project details'!$H$12-'Project details'!$D$12)*VLOOKUP(Year_cost_estimate,'Time-series parameters'!$B$11:$C$89,2,FALSE)*$B23,0))</f>
        <v>0</v>
      </c>
      <c r="G23" s="97">
        <f>IF(Option1="No",0,IF($A23&lt;ImplementationYear,0,IF($A23&gt;(ImplementationYear+(Appraisal_Period-1)),0,Health!$D$21*$B23)))</f>
        <v>0</v>
      </c>
      <c r="H23" s="97">
        <f>IF(Option1="No",0,IF($A23&lt;ImplementationYear,0,IF($A23&gt;(ImplementationYear+(Appraisal_Period-1)),0,Health!$D$22*$B23)))</f>
        <v>0</v>
      </c>
      <c r="I23" s="97">
        <f>IF(Option1="No",0,IF($A23&lt;ImplementationYear,0,IF($A23&gt;(ImplementationYear+(Appraisal_Period-1)),0,SUM('Travel time'!$D$22:$D$23)*$B23)))</f>
        <v>0</v>
      </c>
      <c r="J23" s="97">
        <f>IF(Option1="No",0,IF($A23&lt;ImplementationYear,0,IF($A23&gt;(ImplementationYear+(Appraisal_Period-1)),0,SUM('Travel time'!$D$20:$D$21)*$B23)))</f>
        <v>0</v>
      </c>
      <c r="K23" s="97">
        <f>IF(Option1="No",0,IF($A23&lt;ImplementationYear,0,IF($A23&gt;(ImplementationYear+(Appraisal_Period-1)),0,SUM(Quality!$D$22:$D$23)*$B23)))</f>
        <v>0</v>
      </c>
      <c r="L23" s="97">
        <f>IF(Option1="No",0,IF($A23&lt;ImplementationYear,0,IF($A23&gt;(ImplementationYear+(Appraisal_Period-1)),0,SUM(Quality!$D$20:$D$21)*$B23)))</f>
        <v>0</v>
      </c>
      <c r="M23" s="97">
        <f>IF(Option1="No",0,IF($A23&lt;ImplementationYear,0,IF($A23&gt;(ImplementationYear+(Appraisal_Period-1)),0,'Mode change'!$D$36*$B23)))</f>
        <v>0</v>
      </c>
      <c r="N23" s="97">
        <f>IF(Option1="No",0,IF($A23&lt;ImplementationYear,0,IF($A23&gt;(ImplementationYear+(Appraisal_Period-1)),0,'Mode change'!$D$37*$B23)))</f>
        <v>0</v>
      </c>
      <c r="O23" s="97">
        <f>IF(Option1="No",0,IF($A23&lt;ImplementationYear,0,IF($A23&gt;(ImplementationYear+(Appraisal_Period-1)),0,'Road safety'!$D$22*$B23)))</f>
        <v>0</v>
      </c>
      <c r="P23" s="97">
        <f>IF(Option1="No",0,IF($A23&lt;ImplementationYear,0,IF($A23&gt;(ImplementationYear+(Appraisal_Period-1)),0,'Reduction in car usage'!$D$46*$B23)))</f>
        <v>0</v>
      </c>
      <c r="Q23" s="97">
        <f>IF(Option1="No",0,IF($A23&lt;ImplementationYear,0,IF($A23&gt;(ImplementationYear+(Appraisal_Period-1)),0,'Reduction in car usage'!$D$47*$B23)))</f>
        <v>0</v>
      </c>
      <c r="R23" s="97">
        <f>IF(Option1="No",0,IF($A23&lt;ImplementationYear,0,IF($A23&gt;(ImplementationYear+(Appraisal_Period-1)),0,'Reduction in car usage'!$D$48*$B23)))</f>
        <v>0</v>
      </c>
      <c r="S23" s="92"/>
      <c r="T23" s="94">
        <f>IF(Option2="No",0,IF($A23=ImplementationYear,('Project details'!$L$10-'Project details'!$D$10)*VLOOKUP(Year_cost_estimate,'Time-series parameters'!$B$11:$C$89,2,FALSE)*$B23*(1+Contingency),0))</f>
        <v>0</v>
      </c>
      <c r="U23" s="94">
        <f>IF(Option2="No",0,IF($A23&lt;ImplementationYear,0,IF($A23&gt;(ImplementationYear+(Appraisal_Period-1)),0,('Project details'!$L$11-'Project details'!$D$11)*VLOOKUP(Year_cost_estimate,'Time-series parameters'!$B$11:$C$89,2,0))*$B23))</f>
        <v>0</v>
      </c>
      <c r="V23" s="94">
        <f>IF(Option2="No",0,IF($A23=ImplementationYear,('Project details'!$L$12-'Project details'!$D$12)*VLOOKUP(Year_cost_estimate,'Time-series parameters'!$B$11:$C$89,2,FALSE)*$B23,0))</f>
        <v>0</v>
      </c>
      <c r="W23" s="97">
        <f>IF(Option2="No",0,IF($A23&lt;ImplementationYear,0,IF($A23&gt;(ImplementationYear+(Appraisal_Period-1)),0,Health!$E$21*$B23)))</f>
        <v>0</v>
      </c>
      <c r="X23" s="97">
        <f>IF(Option2="No",0,IF($A23&lt;ImplementationYear,0,IF($A23&gt;(ImplementationYear+(Appraisal_Period-1)),0,Health!$E$22*$B23)))</f>
        <v>0</v>
      </c>
      <c r="Y23" s="97">
        <f>IF(Option2="No",0,IF($A23&lt;ImplementationYear,0,IF($A23&gt;(ImplementationYear+(Appraisal_Period-1)),0,SUM('Travel time'!$E$22:$E$23)*$B23)))</f>
        <v>0</v>
      </c>
      <c r="Z23" s="97">
        <f>IF(Option2="No",0,IF($A23&lt;ImplementationYear,0,IF($A23&gt;(ImplementationYear+(Appraisal_Period-1)),0,SUM('Travel time'!$E$20:$E$21)*$B23)))</f>
        <v>0</v>
      </c>
      <c r="AA23" s="97">
        <f>IF(Option2="No",0,IF($A23&lt;ImplementationYear,0,IF($A23&gt;(ImplementationYear+(Appraisal_Period-1)),0,SUM(Quality!$E$22:$E$23)*$B23)))</f>
        <v>0</v>
      </c>
      <c r="AB23" s="97">
        <f>IF(Option2="No",0,IF($A23&lt;ImplementationYear,0,IF($A23&gt;(ImplementationYear+(Appraisal_Period-1)),0,SUM(Quality!$E$20:$E$21)*$B23)))</f>
        <v>0</v>
      </c>
      <c r="AC23" s="97">
        <f>IF(Option2="No",0,IF($A23&lt;ImplementationYear,0,IF($A23&gt;(ImplementationYear+(Appraisal_Period-1)),0,'Mode change'!$E$36*$B23)))</f>
        <v>0</v>
      </c>
      <c r="AD23" s="97">
        <f>IF(Option2="No",0,IF($A23&lt;ImplementationYear,0,IF($A23&gt;(ImplementationYear+(Appraisal_Period-1)),0,'Mode change'!$E$37*$B23)))</f>
        <v>0</v>
      </c>
      <c r="AE23" s="97">
        <f>IF(Option2="No",0,IF($A23&lt;ImplementationYear,0,IF($A23&gt;(ImplementationYear+(Appraisal_Period-1)),0,'Road safety'!$E$22*$B23)))</f>
        <v>0</v>
      </c>
      <c r="AF23" s="97">
        <f>IF(Option2="No",0,IF($A23&lt;ImplementationYear,0,IF($A23&gt;(ImplementationYear+(Appraisal_Period-1)),0,'Reduction in car usage'!$E$46*$B23)))</f>
        <v>0</v>
      </c>
      <c r="AG23" s="97">
        <f>IF(Option2="No",0,IF($A23&lt;ImplementationYear,0,IF($A23&gt;(ImplementationYear+(Appraisal_Period-1)),0,'Reduction in car usage'!$E$47*$B23)))</f>
        <v>0</v>
      </c>
      <c r="AH23" s="97">
        <f>IF(Option2="No",0,IF($A23&lt;ImplementationYear,0,IF($A23&gt;(ImplementationYear+(Appraisal_Period-1)),0,'Reduction in car usage'!$E$48*$B23)))</f>
        <v>0</v>
      </c>
      <c r="AJ23" s="94">
        <f>IF(Option3="No",0,IF($A23=ImplementationYear,('Project details'!$P$10-'Project details'!$D$10)*VLOOKUP(Year_cost_estimate,'Time-series parameters'!$B$11:$C$89,2,FALSE)*$B23*(1+Contingency),0))</f>
        <v>0</v>
      </c>
      <c r="AK23" s="94">
        <f>IF(Option3="No",0,IF($A23&lt;ImplementationYear,0,IF($A23&gt;(ImplementationYear+(Appraisal_Period-1)),0,('Project details'!$P$11-'Project details'!$D$11)*VLOOKUP(Year_cost_estimate,'Time-series parameters'!$B$11:$C$89,2,0))*$B23))</f>
        <v>0</v>
      </c>
      <c r="AL23" s="94">
        <f>IF(Option3="No",0,IF($A23=ImplementationYear,('Project details'!$P$12-'Project details'!$D$12)*VLOOKUP(Year_cost_estimate,'Time-series parameters'!$B$11:$C$89,2,FALSE)*$B23,0))</f>
        <v>0</v>
      </c>
      <c r="AM23" s="97">
        <f>IF(Option3="No",0,IF($A23&lt;ImplementationYear,0,IF($A23&gt;(ImplementationYear+(Appraisal_Period-1)),0,Health!$F$21*$B23)))</f>
        <v>0</v>
      </c>
      <c r="AN23" s="97">
        <f>IF(Option3="No",0,IF($A23&lt;ImplementationYear,0,IF($A23&gt;(ImplementationYear+(Appraisal_Period-1)),0,Health!$F$22*$B23)))</f>
        <v>0</v>
      </c>
      <c r="AO23" s="97">
        <f>IF(Option3="No",0,IF($A23&lt;ImplementationYear,0,IF($A23&gt;(ImplementationYear+(Appraisal_Period-1)),0,SUM('Travel time'!$F$22:$F$23)*$B23)))</f>
        <v>0</v>
      </c>
      <c r="AP23" s="97">
        <f>IF(Option3="No",0,IF($A23&lt;ImplementationYear,0,IF($A23&gt;(ImplementationYear+(Appraisal_Period-1)),0,SUM('Travel time'!$F$20:$F$21)*$B23)))</f>
        <v>0</v>
      </c>
      <c r="AQ23" s="97">
        <f>IF(Option3="No",0,IF($A23&lt;ImplementationYear,0,IF($A23&gt;(ImplementationYear+(Appraisal_Period-1)),0,SUM(Quality!$F$22:$F$23)*$B23)))</f>
        <v>0</v>
      </c>
      <c r="AR23" s="97">
        <f>IF(Option3="No",0,IF($A23&lt;ImplementationYear,0,IF($A23&gt;(ImplementationYear+(Appraisal_Period-1)),0,SUM(Quality!$F$20:$F$21)*$B23)))</f>
        <v>0</v>
      </c>
      <c r="AS23" s="97">
        <f>IF(Option3="No",0,IF($A23&lt;ImplementationYear,0,IF($A23&gt;(ImplementationYear+(Appraisal_Period-1)),0,'Mode change'!$F$36*$B23)))</f>
        <v>0</v>
      </c>
      <c r="AT23" s="97">
        <f>IF(Option3="No",0,IF($A23&lt;ImplementationYear,0,IF($A23&gt;(ImplementationYear+(Appraisal_Period-1)),0,'Mode change'!$F$37*$B23)))</f>
        <v>0</v>
      </c>
      <c r="AU23" s="97">
        <f>IF(Option3="No",0,IF($A23&lt;ImplementationYear,0,IF($A23&gt;(ImplementationYear+(Appraisal_Period-1)),0,'Road safety'!$F$22*$B23)))</f>
        <v>0</v>
      </c>
      <c r="AV23" s="97">
        <f>IF(Option3="No",0,IF($A23&lt;ImplementationYear,0,IF($A23&gt;(ImplementationYear+(Appraisal_Period-1)),0,'Reduction in car usage'!$F$46*$B23)))</f>
        <v>0</v>
      </c>
      <c r="AW23" s="97">
        <f>IF(Option3="No",0,IF($A23&lt;ImplementationYear,0,IF($A23&gt;(ImplementationYear+(Appraisal_Period-1)),0,'Reduction in car usage'!$F$47*$B23)))</f>
        <v>0</v>
      </c>
      <c r="AX23" s="97">
        <f>IF(Option3="No",0,IF($A23&lt;ImplementationYear,0,IF($A23&gt;(ImplementationYear+(Appraisal_Period-1)),0,'Reduction in car usage'!$F$48*$B23)))</f>
        <v>0</v>
      </c>
    </row>
    <row r="24" spans="1:50">
      <c r="A24" s="335">
        <v>2019</v>
      </c>
      <c r="B24" s="62">
        <f>VLOOKUP($A24,'Time-series parameters'!$E$11:$H$89,4,FALSE)</f>
        <v>0.72138957898383349</v>
      </c>
      <c r="C24" s="89"/>
      <c r="D24" s="94">
        <f>IF(Option1="No",0,IF($A24=ImplementationYear,('Project details'!$H$10-'Project details'!$D$10)*VLOOKUP(Year_cost_estimate,'Time-series parameters'!$B$11:$C$89,2,FALSE)*$B24*(1+Contingency),0))</f>
        <v>0</v>
      </c>
      <c r="E24" s="94">
        <f>IF(Option1="No",0,IF($A24&lt;ImplementationYear,0,IF($A24&gt;(ImplementationYear+(Appraisal_Period-1)),0,('Project details'!$H$11-'Project details'!$D$11)*VLOOKUP(Year_cost_estimate,'Time-series parameters'!$B$11:$C$89,2,0))*$B24))</f>
        <v>0</v>
      </c>
      <c r="F24" s="94">
        <f>IF(Option1="No",0,IF($A24=ImplementationYear,('Project details'!$H$12-'Project details'!$D$12)*VLOOKUP(Year_cost_estimate,'Time-series parameters'!$B$11:$C$89,2,FALSE)*$B24,0))</f>
        <v>0</v>
      </c>
      <c r="G24" s="97">
        <f>IF(Option1="No",0,IF($A24&lt;ImplementationYear,0,IF($A24&gt;(ImplementationYear+(Appraisal_Period-1)),0,Health!$D$21*$B24)))</f>
        <v>0</v>
      </c>
      <c r="H24" s="97">
        <f>IF(Option1="No",0,IF($A24&lt;ImplementationYear,0,IF($A24&gt;(ImplementationYear+(Appraisal_Period-1)),0,Health!$D$22*$B24)))</f>
        <v>0</v>
      </c>
      <c r="I24" s="97">
        <f>IF(Option1="No",0,IF($A24&lt;ImplementationYear,0,IF($A24&gt;(ImplementationYear+(Appraisal_Period-1)),0,SUM('Travel time'!$D$22:$D$23)*$B24)))</f>
        <v>0</v>
      </c>
      <c r="J24" s="97">
        <f>IF(Option1="No",0,IF($A24&lt;ImplementationYear,0,IF($A24&gt;(ImplementationYear+(Appraisal_Period-1)),0,SUM('Travel time'!$D$20:$D$21)*$B24)))</f>
        <v>0</v>
      </c>
      <c r="K24" s="97">
        <f>IF(Option1="No",0,IF($A24&lt;ImplementationYear,0,IF($A24&gt;(ImplementationYear+(Appraisal_Period-1)),0,SUM(Quality!$D$22:$D$23)*$B24)))</f>
        <v>0</v>
      </c>
      <c r="L24" s="97">
        <f>IF(Option1="No",0,IF($A24&lt;ImplementationYear,0,IF($A24&gt;(ImplementationYear+(Appraisal_Period-1)),0,SUM(Quality!$D$20:$D$21)*$B24)))</f>
        <v>0</v>
      </c>
      <c r="M24" s="97">
        <f>IF(Option1="No",0,IF($A24&lt;ImplementationYear,0,IF($A24&gt;(ImplementationYear+(Appraisal_Period-1)),0,'Mode change'!$D$36*$B24)))</f>
        <v>0</v>
      </c>
      <c r="N24" s="97">
        <f>IF(Option1="No",0,IF($A24&lt;ImplementationYear,0,IF($A24&gt;(ImplementationYear+(Appraisal_Period-1)),0,'Mode change'!$D$37*$B24)))</f>
        <v>0</v>
      </c>
      <c r="O24" s="97">
        <f>IF(Option1="No",0,IF($A24&lt;ImplementationYear,0,IF($A24&gt;(ImplementationYear+(Appraisal_Period-1)),0,'Road safety'!$D$22*$B24)))</f>
        <v>0</v>
      </c>
      <c r="P24" s="97">
        <f>IF(Option1="No",0,IF($A24&lt;ImplementationYear,0,IF($A24&gt;(ImplementationYear+(Appraisal_Period-1)),0,'Reduction in car usage'!$D$46*$B24)))</f>
        <v>0</v>
      </c>
      <c r="Q24" s="97">
        <f>IF(Option1="No",0,IF($A24&lt;ImplementationYear,0,IF($A24&gt;(ImplementationYear+(Appraisal_Period-1)),0,'Reduction in car usage'!$D$47*$B24)))</f>
        <v>0</v>
      </c>
      <c r="R24" s="97">
        <f>IF(Option1="No",0,IF($A24&lt;ImplementationYear,0,IF($A24&gt;(ImplementationYear+(Appraisal_Period-1)),0,'Reduction in car usage'!$D$48*$B24)))</f>
        <v>0</v>
      </c>
      <c r="S24" s="92"/>
      <c r="T24" s="94">
        <f>IF(Option2="No",0,IF($A24=ImplementationYear,('Project details'!$L$10-'Project details'!$D$10)*VLOOKUP(Year_cost_estimate,'Time-series parameters'!$B$11:$C$89,2,FALSE)*$B24*(1+Contingency),0))</f>
        <v>0</v>
      </c>
      <c r="U24" s="94">
        <f>IF(Option2="No",0,IF($A24&lt;ImplementationYear,0,IF($A24&gt;(ImplementationYear+(Appraisal_Period-1)),0,('Project details'!$L$11-'Project details'!$D$11)*VLOOKUP(Year_cost_estimate,'Time-series parameters'!$B$11:$C$89,2,0))*$B24))</f>
        <v>0</v>
      </c>
      <c r="V24" s="94">
        <f>IF(Option2="No",0,IF($A24=ImplementationYear,('Project details'!$L$12-'Project details'!$D$12)*VLOOKUP(Year_cost_estimate,'Time-series parameters'!$B$11:$C$89,2,FALSE)*$B24,0))</f>
        <v>0</v>
      </c>
      <c r="W24" s="97">
        <f>IF(Option2="No",0,IF($A24&lt;ImplementationYear,0,IF($A24&gt;(ImplementationYear+(Appraisal_Period-1)),0,Health!$E$21*$B24)))</f>
        <v>0</v>
      </c>
      <c r="X24" s="97">
        <f>IF(Option2="No",0,IF($A24&lt;ImplementationYear,0,IF($A24&gt;(ImplementationYear+(Appraisal_Period-1)),0,Health!$E$22*$B24)))</f>
        <v>0</v>
      </c>
      <c r="Y24" s="97">
        <f>IF(Option2="No",0,IF($A24&lt;ImplementationYear,0,IF($A24&gt;(ImplementationYear+(Appraisal_Period-1)),0,SUM('Travel time'!$E$22:$E$23)*$B24)))</f>
        <v>0</v>
      </c>
      <c r="Z24" s="97">
        <f>IF(Option2="No",0,IF($A24&lt;ImplementationYear,0,IF($A24&gt;(ImplementationYear+(Appraisal_Period-1)),0,SUM('Travel time'!$E$20:$E$21)*$B24)))</f>
        <v>0</v>
      </c>
      <c r="AA24" s="97">
        <f>IF(Option2="No",0,IF($A24&lt;ImplementationYear,0,IF($A24&gt;(ImplementationYear+(Appraisal_Period-1)),0,SUM(Quality!$E$22:$E$23)*$B24)))</f>
        <v>0</v>
      </c>
      <c r="AB24" s="97">
        <f>IF(Option2="No",0,IF($A24&lt;ImplementationYear,0,IF($A24&gt;(ImplementationYear+(Appraisal_Period-1)),0,SUM(Quality!$E$20:$E$21)*$B24)))</f>
        <v>0</v>
      </c>
      <c r="AC24" s="97">
        <f>IF(Option2="No",0,IF($A24&lt;ImplementationYear,0,IF($A24&gt;(ImplementationYear+(Appraisal_Period-1)),0,'Mode change'!$E$36*$B24)))</f>
        <v>0</v>
      </c>
      <c r="AD24" s="97">
        <f>IF(Option2="No",0,IF($A24&lt;ImplementationYear,0,IF($A24&gt;(ImplementationYear+(Appraisal_Period-1)),0,'Mode change'!$E$37*$B24)))</f>
        <v>0</v>
      </c>
      <c r="AE24" s="97">
        <f>IF(Option2="No",0,IF($A24&lt;ImplementationYear,0,IF($A24&gt;(ImplementationYear+(Appraisal_Period-1)),0,'Road safety'!$E$22*$B24)))</f>
        <v>0</v>
      </c>
      <c r="AF24" s="97">
        <f>IF(Option2="No",0,IF($A24&lt;ImplementationYear,0,IF($A24&gt;(ImplementationYear+(Appraisal_Period-1)),0,'Reduction in car usage'!$E$46*$B24)))</f>
        <v>0</v>
      </c>
      <c r="AG24" s="97">
        <f>IF(Option2="No",0,IF($A24&lt;ImplementationYear,0,IF($A24&gt;(ImplementationYear+(Appraisal_Period-1)),0,'Reduction in car usage'!$E$47*$B24)))</f>
        <v>0</v>
      </c>
      <c r="AH24" s="97">
        <f>IF(Option2="No",0,IF($A24&lt;ImplementationYear,0,IF($A24&gt;(ImplementationYear+(Appraisal_Period-1)),0,'Reduction in car usage'!$E$48*$B24)))</f>
        <v>0</v>
      </c>
      <c r="AJ24" s="94">
        <f>IF(Option3="No",0,IF($A24=ImplementationYear,('Project details'!$P$10-'Project details'!$D$10)*VLOOKUP(Year_cost_estimate,'Time-series parameters'!$B$11:$C$89,2,FALSE)*$B24*(1+Contingency),0))</f>
        <v>0</v>
      </c>
      <c r="AK24" s="94">
        <f>IF(Option3="No",0,IF($A24&lt;ImplementationYear,0,IF($A24&gt;(ImplementationYear+(Appraisal_Period-1)),0,('Project details'!$P$11-'Project details'!$D$11)*VLOOKUP(Year_cost_estimate,'Time-series parameters'!$B$11:$C$89,2,0))*$B24))</f>
        <v>0</v>
      </c>
      <c r="AL24" s="94">
        <f>IF(Option3="No",0,IF($A24=ImplementationYear,('Project details'!$P$12-'Project details'!$D$12)*VLOOKUP(Year_cost_estimate,'Time-series parameters'!$B$11:$C$89,2,FALSE)*$B24,0))</f>
        <v>0</v>
      </c>
      <c r="AM24" s="97">
        <f>IF(Option3="No",0,IF($A24&lt;ImplementationYear,0,IF($A24&gt;(ImplementationYear+(Appraisal_Period-1)),0,Health!$F$21*$B24)))</f>
        <v>0</v>
      </c>
      <c r="AN24" s="97">
        <f>IF(Option3="No",0,IF($A24&lt;ImplementationYear,0,IF($A24&gt;(ImplementationYear+(Appraisal_Period-1)),0,Health!$F$22*$B24)))</f>
        <v>0</v>
      </c>
      <c r="AO24" s="97">
        <f>IF(Option3="No",0,IF($A24&lt;ImplementationYear,0,IF($A24&gt;(ImplementationYear+(Appraisal_Period-1)),0,SUM('Travel time'!$F$22:$F$23)*$B24)))</f>
        <v>0</v>
      </c>
      <c r="AP24" s="97">
        <f>IF(Option3="No",0,IF($A24&lt;ImplementationYear,0,IF($A24&gt;(ImplementationYear+(Appraisal_Period-1)),0,SUM('Travel time'!$F$20:$F$21)*$B24)))</f>
        <v>0</v>
      </c>
      <c r="AQ24" s="97">
        <f>IF(Option3="No",0,IF($A24&lt;ImplementationYear,0,IF($A24&gt;(ImplementationYear+(Appraisal_Period-1)),0,SUM(Quality!$F$22:$F$23)*$B24)))</f>
        <v>0</v>
      </c>
      <c r="AR24" s="97">
        <f>IF(Option3="No",0,IF($A24&lt;ImplementationYear,0,IF($A24&gt;(ImplementationYear+(Appraisal_Period-1)),0,SUM(Quality!$F$20:$F$21)*$B24)))</f>
        <v>0</v>
      </c>
      <c r="AS24" s="97">
        <f>IF(Option3="No",0,IF($A24&lt;ImplementationYear,0,IF($A24&gt;(ImplementationYear+(Appraisal_Period-1)),0,'Mode change'!$F$36*$B24)))</f>
        <v>0</v>
      </c>
      <c r="AT24" s="97">
        <f>IF(Option3="No",0,IF($A24&lt;ImplementationYear,0,IF($A24&gt;(ImplementationYear+(Appraisal_Period-1)),0,'Mode change'!$F$37*$B24)))</f>
        <v>0</v>
      </c>
      <c r="AU24" s="97">
        <f>IF(Option3="No",0,IF($A24&lt;ImplementationYear,0,IF($A24&gt;(ImplementationYear+(Appraisal_Period-1)),0,'Road safety'!$F$22*$B24)))</f>
        <v>0</v>
      </c>
      <c r="AV24" s="97">
        <f>IF(Option3="No",0,IF($A24&lt;ImplementationYear,0,IF($A24&gt;(ImplementationYear+(Appraisal_Period-1)),0,'Reduction in car usage'!$F$46*$B24)))</f>
        <v>0</v>
      </c>
      <c r="AW24" s="97">
        <f>IF(Option3="No",0,IF($A24&lt;ImplementationYear,0,IF($A24&gt;(ImplementationYear+(Appraisal_Period-1)),0,'Reduction in car usage'!$F$47*$B24)))</f>
        <v>0</v>
      </c>
      <c r="AX24" s="97">
        <f>IF(Option3="No",0,IF($A24&lt;ImplementationYear,0,IF($A24&gt;(ImplementationYear+(Appraisal_Period-1)),0,'Reduction in car usage'!$F$48*$B24)))</f>
        <v>0</v>
      </c>
    </row>
    <row r="25" spans="1:50">
      <c r="A25" s="335">
        <v>2020</v>
      </c>
      <c r="B25" s="62">
        <f>VLOOKUP($A25,'Time-series parameters'!$E$11:$H$89,4,FALSE)</f>
        <v>0.69253399582448016</v>
      </c>
      <c r="C25" s="89"/>
      <c r="D25" s="94">
        <f>IF(Option1="No",0,IF($A25=ImplementationYear,('Project details'!$H$10-'Project details'!$D$10)*VLOOKUP(Year_cost_estimate,'Time-series parameters'!$B$11:$C$89,2,FALSE)*$B25*(1+Contingency),0))</f>
        <v>0</v>
      </c>
      <c r="E25" s="94">
        <f>IF(Option1="No",0,IF($A25&lt;ImplementationYear,0,IF($A25&gt;(ImplementationYear+(Appraisal_Period-1)),0,('Project details'!$H$11-'Project details'!$D$11)*VLOOKUP(Year_cost_estimate,'Time-series parameters'!$B$11:$C$89,2,0))*$B25))</f>
        <v>0</v>
      </c>
      <c r="F25" s="94">
        <f>IF(Option1="No",0,IF($A25=ImplementationYear,('Project details'!$H$12-'Project details'!$D$12)*VLOOKUP(Year_cost_estimate,'Time-series parameters'!$B$11:$C$89,2,FALSE)*$B25,0))</f>
        <v>0</v>
      </c>
      <c r="G25" s="97">
        <f>IF(Option1="No",0,IF($A25&lt;ImplementationYear,0,IF($A25&gt;(ImplementationYear+(Appraisal_Period-1)),0,Health!$D$21*$B25)))</f>
        <v>0</v>
      </c>
      <c r="H25" s="97">
        <f>IF(Option1="No",0,IF($A25&lt;ImplementationYear,0,IF($A25&gt;(ImplementationYear+(Appraisal_Period-1)),0,Health!$D$22*$B25)))</f>
        <v>0</v>
      </c>
      <c r="I25" s="97">
        <f>IF(Option1="No",0,IF($A25&lt;ImplementationYear,0,IF($A25&gt;(ImplementationYear+(Appraisal_Period-1)),0,SUM('Travel time'!$D$22:$D$23)*$B25)))</f>
        <v>0</v>
      </c>
      <c r="J25" s="97">
        <f>IF(Option1="No",0,IF($A25&lt;ImplementationYear,0,IF($A25&gt;(ImplementationYear+(Appraisal_Period-1)),0,SUM('Travel time'!$D$20:$D$21)*$B25)))</f>
        <v>0</v>
      </c>
      <c r="K25" s="97">
        <f>IF(Option1="No",0,IF($A25&lt;ImplementationYear,0,IF($A25&gt;(ImplementationYear+(Appraisal_Period-1)),0,SUM(Quality!$D$22:$D$23)*$B25)))</f>
        <v>0</v>
      </c>
      <c r="L25" s="97">
        <f>IF(Option1="No",0,IF($A25&lt;ImplementationYear,0,IF($A25&gt;(ImplementationYear+(Appraisal_Period-1)),0,SUM(Quality!$D$20:$D$21)*$B25)))</f>
        <v>0</v>
      </c>
      <c r="M25" s="97">
        <f>IF(Option1="No",0,IF($A25&lt;ImplementationYear,0,IF($A25&gt;(ImplementationYear+(Appraisal_Period-1)),0,'Mode change'!$D$36*$B25)))</f>
        <v>0</v>
      </c>
      <c r="N25" s="97">
        <f>IF(Option1="No",0,IF($A25&lt;ImplementationYear,0,IF($A25&gt;(ImplementationYear+(Appraisal_Period-1)),0,'Mode change'!$D$37*$B25)))</f>
        <v>0</v>
      </c>
      <c r="O25" s="97">
        <f>IF(Option1="No",0,IF($A25&lt;ImplementationYear,0,IF($A25&gt;(ImplementationYear+(Appraisal_Period-1)),0,'Road safety'!$D$22*$B25)))</f>
        <v>0</v>
      </c>
      <c r="P25" s="97">
        <f>IF(Option1="No",0,IF($A25&lt;ImplementationYear,0,IF($A25&gt;(ImplementationYear+(Appraisal_Period-1)),0,'Reduction in car usage'!$D$46*$B25)))</f>
        <v>0</v>
      </c>
      <c r="Q25" s="97">
        <f>IF(Option1="No",0,IF($A25&lt;ImplementationYear,0,IF($A25&gt;(ImplementationYear+(Appraisal_Period-1)),0,'Reduction in car usage'!$D$47*$B25)))</f>
        <v>0</v>
      </c>
      <c r="R25" s="97">
        <f>IF(Option1="No",0,IF($A25&lt;ImplementationYear,0,IF($A25&gt;(ImplementationYear+(Appraisal_Period-1)),0,'Reduction in car usage'!$D$48*$B25)))</f>
        <v>0</v>
      </c>
      <c r="S25" s="92"/>
      <c r="T25" s="94">
        <f>IF(Option2="No",0,IF($A25=ImplementationYear,('Project details'!$L$10-'Project details'!$D$10)*VLOOKUP(Year_cost_estimate,'Time-series parameters'!$B$11:$C$89,2,FALSE)*$B25*(1+Contingency),0))</f>
        <v>0</v>
      </c>
      <c r="U25" s="94">
        <f>IF(Option2="No",0,IF($A25&lt;ImplementationYear,0,IF($A25&gt;(ImplementationYear+(Appraisal_Period-1)),0,('Project details'!$L$11-'Project details'!$D$11)*VLOOKUP(Year_cost_estimate,'Time-series parameters'!$B$11:$C$89,2,0))*$B25))</f>
        <v>0</v>
      </c>
      <c r="V25" s="94">
        <f>IF(Option2="No",0,IF($A25=ImplementationYear,('Project details'!$L$12-'Project details'!$D$12)*VLOOKUP(Year_cost_estimate,'Time-series parameters'!$B$11:$C$89,2,FALSE)*$B25,0))</f>
        <v>0</v>
      </c>
      <c r="W25" s="97">
        <f>IF(Option2="No",0,IF($A25&lt;ImplementationYear,0,IF($A25&gt;(ImplementationYear+(Appraisal_Period-1)),0,Health!$E$21*$B25)))</f>
        <v>0</v>
      </c>
      <c r="X25" s="97">
        <f>IF(Option2="No",0,IF($A25&lt;ImplementationYear,0,IF($A25&gt;(ImplementationYear+(Appraisal_Period-1)),0,Health!$E$22*$B25)))</f>
        <v>0</v>
      </c>
      <c r="Y25" s="97">
        <f>IF(Option2="No",0,IF($A25&lt;ImplementationYear,0,IF($A25&gt;(ImplementationYear+(Appraisal_Period-1)),0,SUM('Travel time'!$E$22:$E$23)*$B25)))</f>
        <v>0</v>
      </c>
      <c r="Z25" s="97">
        <f>IF(Option2="No",0,IF($A25&lt;ImplementationYear,0,IF($A25&gt;(ImplementationYear+(Appraisal_Period-1)),0,SUM('Travel time'!$E$20:$E$21)*$B25)))</f>
        <v>0</v>
      </c>
      <c r="AA25" s="97">
        <f>IF(Option2="No",0,IF($A25&lt;ImplementationYear,0,IF($A25&gt;(ImplementationYear+(Appraisal_Period-1)),0,SUM(Quality!$E$22:$E$23)*$B25)))</f>
        <v>0</v>
      </c>
      <c r="AB25" s="97">
        <f>IF(Option2="No",0,IF($A25&lt;ImplementationYear,0,IF($A25&gt;(ImplementationYear+(Appraisal_Period-1)),0,SUM(Quality!$E$20:$E$21)*$B25)))</f>
        <v>0</v>
      </c>
      <c r="AC25" s="97">
        <f>IF(Option2="No",0,IF($A25&lt;ImplementationYear,0,IF($A25&gt;(ImplementationYear+(Appraisal_Period-1)),0,'Mode change'!$E$36*$B25)))</f>
        <v>0</v>
      </c>
      <c r="AD25" s="97">
        <f>IF(Option2="No",0,IF($A25&lt;ImplementationYear,0,IF($A25&gt;(ImplementationYear+(Appraisal_Period-1)),0,'Mode change'!$E$37*$B25)))</f>
        <v>0</v>
      </c>
      <c r="AE25" s="97">
        <f>IF(Option2="No",0,IF($A25&lt;ImplementationYear,0,IF($A25&gt;(ImplementationYear+(Appraisal_Period-1)),0,'Road safety'!$E$22*$B25)))</f>
        <v>0</v>
      </c>
      <c r="AF25" s="97">
        <f>IF(Option2="No",0,IF($A25&lt;ImplementationYear,0,IF($A25&gt;(ImplementationYear+(Appraisal_Period-1)),0,'Reduction in car usage'!$E$46*$B25)))</f>
        <v>0</v>
      </c>
      <c r="AG25" s="97">
        <f>IF(Option2="No",0,IF($A25&lt;ImplementationYear,0,IF($A25&gt;(ImplementationYear+(Appraisal_Period-1)),0,'Reduction in car usage'!$E$47*$B25)))</f>
        <v>0</v>
      </c>
      <c r="AH25" s="97">
        <f>IF(Option2="No",0,IF($A25&lt;ImplementationYear,0,IF($A25&gt;(ImplementationYear+(Appraisal_Period-1)),0,'Reduction in car usage'!$E$48*$B25)))</f>
        <v>0</v>
      </c>
      <c r="AJ25" s="94">
        <f>IF(Option3="No",0,IF($A25=ImplementationYear,('Project details'!$P$10-'Project details'!$D$10)*VLOOKUP(Year_cost_estimate,'Time-series parameters'!$B$11:$C$89,2,FALSE)*$B25*(1+Contingency),0))</f>
        <v>0</v>
      </c>
      <c r="AK25" s="94">
        <f>IF(Option3="No",0,IF($A25&lt;ImplementationYear,0,IF($A25&gt;(ImplementationYear+(Appraisal_Period-1)),0,('Project details'!$P$11-'Project details'!$D$11)*VLOOKUP(Year_cost_estimate,'Time-series parameters'!$B$11:$C$89,2,0))*$B25))</f>
        <v>0</v>
      </c>
      <c r="AL25" s="94">
        <f>IF(Option3="No",0,IF($A25=ImplementationYear,('Project details'!$P$12-'Project details'!$D$12)*VLOOKUP(Year_cost_estimate,'Time-series parameters'!$B$11:$C$89,2,FALSE)*$B25,0))</f>
        <v>0</v>
      </c>
      <c r="AM25" s="97">
        <f>IF(Option3="No",0,IF($A25&lt;ImplementationYear,0,IF($A25&gt;(ImplementationYear+(Appraisal_Period-1)),0,Health!$F$21*$B25)))</f>
        <v>0</v>
      </c>
      <c r="AN25" s="97">
        <f>IF(Option3="No",0,IF($A25&lt;ImplementationYear,0,IF($A25&gt;(ImplementationYear+(Appraisal_Period-1)),0,Health!$F$22*$B25)))</f>
        <v>0</v>
      </c>
      <c r="AO25" s="97">
        <f>IF(Option3="No",0,IF($A25&lt;ImplementationYear,0,IF($A25&gt;(ImplementationYear+(Appraisal_Period-1)),0,SUM('Travel time'!$F$22:$F$23)*$B25)))</f>
        <v>0</v>
      </c>
      <c r="AP25" s="97">
        <f>IF(Option3="No",0,IF($A25&lt;ImplementationYear,0,IF($A25&gt;(ImplementationYear+(Appraisal_Period-1)),0,SUM('Travel time'!$F$20:$F$21)*$B25)))</f>
        <v>0</v>
      </c>
      <c r="AQ25" s="97">
        <f>IF(Option3="No",0,IF($A25&lt;ImplementationYear,0,IF($A25&gt;(ImplementationYear+(Appraisal_Period-1)),0,SUM(Quality!$F$22:$F$23)*$B25)))</f>
        <v>0</v>
      </c>
      <c r="AR25" s="97">
        <f>IF(Option3="No",0,IF($A25&lt;ImplementationYear,0,IF($A25&gt;(ImplementationYear+(Appraisal_Period-1)),0,SUM(Quality!$F$20:$F$21)*$B25)))</f>
        <v>0</v>
      </c>
      <c r="AS25" s="97">
        <f>IF(Option3="No",0,IF($A25&lt;ImplementationYear,0,IF($A25&gt;(ImplementationYear+(Appraisal_Period-1)),0,'Mode change'!$F$36*$B25)))</f>
        <v>0</v>
      </c>
      <c r="AT25" s="97">
        <f>IF(Option3="No",0,IF($A25&lt;ImplementationYear,0,IF($A25&gt;(ImplementationYear+(Appraisal_Period-1)),0,'Mode change'!$F$37*$B25)))</f>
        <v>0</v>
      </c>
      <c r="AU25" s="97">
        <f>IF(Option3="No",0,IF($A25&lt;ImplementationYear,0,IF($A25&gt;(ImplementationYear+(Appraisal_Period-1)),0,'Road safety'!$F$22*$B25)))</f>
        <v>0</v>
      </c>
      <c r="AV25" s="97">
        <f>IF(Option3="No",0,IF($A25&lt;ImplementationYear,0,IF($A25&gt;(ImplementationYear+(Appraisal_Period-1)),0,'Reduction in car usage'!$F$46*$B25)))</f>
        <v>0</v>
      </c>
      <c r="AW25" s="97">
        <f>IF(Option3="No",0,IF($A25&lt;ImplementationYear,0,IF($A25&gt;(ImplementationYear+(Appraisal_Period-1)),0,'Reduction in car usage'!$F$47*$B25)))</f>
        <v>0</v>
      </c>
      <c r="AX25" s="97">
        <f>IF(Option3="No",0,IF($A25&lt;ImplementationYear,0,IF($A25&gt;(ImplementationYear+(Appraisal_Period-1)),0,'Reduction in car usage'!$F$48*$B25)))</f>
        <v>0</v>
      </c>
    </row>
    <row r="26" spans="1:50">
      <c r="A26" s="335">
        <v>2021</v>
      </c>
      <c r="B26" s="62">
        <f>VLOOKUP($A26,'Time-series parameters'!$E$11:$H$89,4,FALSE)</f>
        <v>0.664832635991501</v>
      </c>
      <c r="C26" s="89"/>
      <c r="D26" s="94">
        <f>IF(Option1="No",0,IF($A26=ImplementationYear,('Project details'!$H$10-'Project details'!$D$10)*VLOOKUP(Year_cost_estimate,'Time-series parameters'!$B$11:$C$89,2,FALSE)*$B26*(1+Contingency),0))</f>
        <v>0</v>
      </c>
      <c r="E26" s="94">
        <f>IF(Option1="No",0,IF($A26&lt;ImplementationYear,0,IF($A26&gt;(ImplementationYear+(Appraisal_Period-1)),0,('Project details'!$H$11-'Project details'!$D$11)*VLOOKUP(Year_cost_estimate,'Time-series parameters'!$B$11:$C$89,2,0))*$B26))</f>
        <v>0</v>
      </c>
      <c r="F26" s="94">
        <f>IF(Option1="No",0,IF($A26=ImplementationYear,('Project details'!$H$12-'Project details'!$D$12)*VLOOKUP(Year_cost_estimate,'Time-series parameters'!$B$11:$C$89,2,FALSE)*$B26,0))</f>
        <v>0</v>
      </c>
      <c r="G26" s="97">
        <f>IF(Option1="No",0,IF($A26&lt;ImplementationYear,0,IF($A26&gt;(ImplementationYear+(Appraisal_Period-1)),0,Health!$D$21*$B26)))</f>
        <v>0</v>
      </c>
      <c r="H26" s="97">
        <f>IF(Option1="No",0,IF($A26&lt;ImplementationYear,0,IF($A26&gt;(ImplementationYear+(Appraisal_Period-1)),0,Health!$D$22*$B26)))</f>
        <v>0</v>
      </c>
      <c r="I26" s="97">
        <f>IF(Option1="No",0,IF($A26&lt;ImplementationYear,0,IF($A26&gt;(ImplementationYear+(Appraisal_Period-1)),0,SUM('Travel time'!$D$22:$D$23)*$B26)))</f>
        <v>0</v>
      </c>
      <c r="J26" s="97">
        <f>IF(Option1="No",0,IF($A26&lt;ImplementationYear,0,IF($A26&gt;(ImplementationYear+(Appraisal_Period-1)),0,SUM('Travel time'!$D$20:$D$21)*$B26)))</f>
        <v>0</v>
      </c>
      <c r="K26" s="97">
        <f>IF(Option1="No",0,IF($A26&lt;ImplementationYear,0,IF($A26&gt;(ImplementationYear+(Appraisal_Period-1)),0,SUM(Quality!$D$22:$D$23)*$B26)))</f>
        <v>0</v>
      </c>
      <c r="L26" s="97">
        <f>IF(Option1="No",0,IF($A26&lt;ImplementationYear,0,IF($A26&gt;(ImplementationYear+(Appraisal_Period-1)),0,SUM(Quality!$D$20:$D$21)*$B26)))</f>
        <v>0</v>
      </c>
      <c r="M26" s="97">
        <f>IF(Option1="No",0,IF($A26&lt;ImplementationYear,0,IF($A26&gt;(ImplementationYear+(Appraisal_Period-1)),0,'Mode change'!$D$36*$B26)))</f>
        <v>0</v>
      </c>
      <c r="N26" s="97">
        <f>IF(Option1="No",0,IF($A26&lt;ImplementationYear,0,IF($A26&gt;(ImplementationYear+(Appraisal_Period-1)),0,'Mode change'!$D$37*$B26)))</f>
        <v>0</v>
      </c>
      <c r="O26" s="97">
        <f>IF(Option1="No",0,IF($A26&lt;ImplementationYear,0,IF($A26&gt;(ImplementationYear+(Appraisal_Period-1)),0,'Road safety'!$D$22*$B26)))</f>
        <v>0</v>
      </c>
      <c r="P26" s="97">
        <f>IF(Option1="No",0,IF($A26&lt;ImplementationYear,0,IF($A26&gt;(ImplementationYear+(Appraisal_Period-1)),0,'Reduction in car usage'!$D$46*$B26)))</f>
        <v>0</v>
      </c>
      <c r="Q26" s="97">
        <f>IF(Option1="No",0,IF($A26&lt;ImplementationYear,0,IF($A26&gt;(ImplementationYear+(Appraisal_Period-1)),0,'Reduction in car usage'!$D$47*$B26)))</f>
        <v>0</v>
      </c>
      <c r="R26" s="97">
        <f>IF(Option1="No",0,IF($A26&lt;ImplementationYear,0,IF($A26&gt;(ImplementationYear+(Appraisal_Period-1)),0,'Reduction in car usage'!$D$48*$B26)))</f>
        <v>0</v>
      </c>
      <c r="S26" s="92"/>
      <c r="T26" s="94">
        <f>IF(Option2="No",0,IF($A26=ImplementationYear,('Project details'!$L$10-'Project details'!$D$10)*VLOOKUP(Year_cost_estimate,'Time-series parameters'!$B$11:$C$89,2,FALSE)*$B26*(1+Contingency),0))</f>
        <v>0</v>
      </c>
      <c r="U26" s="94">
        <f>IF(Option2="No",0,IF($A26&lt;ImplementationYear,0,IF($A26&gt;(ImplementationYear+(Appraisal_Period-1)),0,('Project details'!$L$11-'Project details'!$D$11)*VLOOKUP(Year_cost_estimate,'Time-series parameters'!$B$11:$C$89,2,0))*$B26))</f>
        <v>0</v>
      </c>
      <c r="V26" s="94">
        <f>IF(Option2="No",0,IF($A26=ImplementationYear,('Project details'!$L$12-'Project details'!$D$12)*VLOOKUP(Year_cost_estimate,'Time-series parameters'!$B$11:$C$89,2,FALSE)*$B26,0))</f>
        <v>0</v>
      </c>
      <c r="W26" s="97">
        <f>IF(Option2="No",0,IF($A26&lt;ImplementationYear,0,IF($A26&gt;(ImplementationYear+(Appraisal_Period-1)),0,Health!$E$21*$B26)))</f>
        <v>0</v>
      </c>
      <c r="X26" s="97">
        <f>IF(Option2="No",0,IF($A26&lt;ImplementationYear,0,IF($A26&gt;(ImplementationYear+(Appraisal_Period-1)),0,Health!$E$22*$B26)))</f>
        <v>0</v>
      </c>
      <c r="Y26" s="97">
        <f>IF(Option2="No",0,IF($A26&lt;ImplementationYear,0,IF($A26&gt;(ImplementationYear+(Appraisal_Period-1)),0,SUM('Travel time'!$E$22:$E$23)*$B26)))</f>
        <v>0</v>
      </c>
      <c r="Z26" s="97">
        <f>IF(Option2="No",0,IF($A26&lt;ImplementationYear,0,IF($A26&gt;(ImplementationYear+(Appraisal_Period-1)),0,SUM('Travel time'!$E$20:$E$21)*$B26)))</f>
        <v>0</v>
      </c>
      <c r="AA26" s="97">
        <f>IF(Option2="No",0,IF($A26&lt;ImplementationYear,0,IF($A26&gt;(ImplementationYear+(Appraisal_Period-1)),0,SUM(Quality!$E$22:$E$23)*$B26)))</f>
        <v>0</v>
      </c>
      <c r="AB26" s="97">
        <f>IF(Option2="No",0,IF($A26&lt;ImplementationYear,0,IF($A26&gt;(ImplementationYear+(Appraisal_Period-1)),0,SUM(Quality!$E$20:$E$21)*$B26)))</f>
        <v>0</v>
      </c>
      <c r="AC26" s="97">
        <f>IF(Option2="No",0,IF($A26&lt;ImplementationYear,0,IF($A26&gt;(ImplementationYear+(Appraisal_Period-1)),0,'Mode change'!$E$36*$B26)))</f>
        <v>0</v>
      </c>
      <c r="AD26" s="97">
        <f>IF(Option2="No",0,IF($A26&lt;ImplementationYear,0,IF($A26&gt;(ImplementationYear+(Appraisal_Period-1)),0,'Mode change'!$E$37*$B26)))</f>
        <v>0</v>
      </c>
      <c r="AE26" s="97">
        <f>IF(Option2="No",0,IF($A26&lt;ImplementationYear,0,IF($A26&gt;(ImplementationYear+(Appraisal_Period-1)),0,'Road safety'!$E$22*$B26)))</f>
        <v>0</v>
      </c>
      <c r="AF26" s="97">
        <f>IF(Option2="No",0,IF($A26&lt;ImplementationYear,0,IF($A26&gt;(ImplementationYear+(Appraisal_Period-1)),0,'Reduction in car usage'!$E$46*$B26)))</f>
        <v>0</v>
      </c>
      <c r="AG26" s="97">
        <f>IF(Option2="No",0,IF($A26&lt;ImplementationYear,0,IF($A26&gt;(ImplementationYear+(Appraisal_Period-1)),0,'Reduction in car usage'!$E$47*$B26)))</f>
        <v>0</v>
      </c>
      <c r="AH26" s="97">
        <f>IF(Option2="No",0,IF($A26&lt;ImplementationYear,0,IF($A26&gt;(ImplementationYear+(Appraisal_Period-1)),0,'Reduction in car usage'!$E$48*$B26)))</f>
        <v>0</v>
      </c>
      <c r="AJ26" s="94">
        <f>IF(Option3="No",0,IF($A26=ImplementationYear,('Project details'!$P$10-'Project details'!$D$10)*VLOOKUP(Year_cost_estimate,'Time-series parameters'!$B$11:$C$89,2,FALSE)*$B26*(1+Contingency),0))</f>
        <v>0</v>
      </c>
      <c r="AK26" s="94">
        <f>IF(Option3="No",0,IF($A26&lt;ImplementationYear,0,IF($A26&gt;(ImplementationYear+(Appraisal_Period-1)),0,('Project details'!$P$11-'Project details'!$D$11)*VLOOKUP(Year_cost_estimate,'Time-series parameters'!$B$11:$C$89,2,0))*$B26))</f>
        <v>0</v>
      </c>
      <c r="AL26" s="94">
        <f>IF(Option3="No",0,IF($A26=ImplementationYear,('Project details'!$P$12-'Project details'!$D$12)*VLOOKUP(Year_cost_estimate,'Time-series parameters'!$B$11:$C$89,2,FALSE)*$B26,0))</f>
        <v>0</v>
      </c>
      <c r="AM26" s="97">
        <f>IF(Option3="No",0,IF($A26&lt;ImplementationYear,0,IF($A26&gt;(ImplementationYear+(Appraisal_Period-1)),0,Health!$F$21*$B26)))</f>
        <v>0</v>
      </c>
      <c r="AN26" s="97">
        <f>IF(Option3="No",0,IF($A26&lt;ImplementationYear,0,IF($A26&gt;(ImplementationYear+(Appraisal_Period-1)),0,Health!$F$22*$B26)))</f>
        <v>0</v>
      </c>
      <c r="AO26" s="97">
        <f>IF(Option3="No",0,IF($A26&lt;ImplementationYear,0,IF($A26&gt;(ImplementationYear+(Appraisal_Period-1)),0,SUM('Travel time'!$F$22:$F$23)*$B26)))</f>
        <v>0</v>
      </c>
      <c r="AP26" s="97">
        <f>IF(Option3="No",0,IF($A26&lt;ImplementationYear,0,IF($A26&gt;(ImplementationYear+(Appraisal_Period-1)),0,SUM('Travel time'!$F$20:$F$21)*$B26)))</f>
        <v>0</v>
      </c>
      <c r="AQ26" s="97">
        <f>IF(Option3="No",0,IF($A26&lt;ImplementationYear,0,IF($A26&gt;(ImplementationYear+(Appraisal_Period-1)),0,SUM(Quality!$F$22:$F$23)*$B26)))</f>
        <v>0</v>
      </c>
      <c r="AR26" s="97">
        <f>IF(Option3="No",0,IF($A26&lt;ImplementationYear,0,IF($A26&gt;(ImplementationYear+(Appraisal_Period-1)),0,SUM(Quality!$F$20:$F$21)*$B26)))</f>
        <v>0</v>
      </c>
      <c r="AS26" s="97">
        <f>IF(Option3="No",0,IF($A26&lt;ImplementationYear,0,IF($A26&gt;(ImplementationYear+(Appraisal_Period-1)),0,'Mode change'!$F$36*$B26)))</f>
        <v>0</v>
      </c>
      <c r="AT26" s="97">
        <f>IF(Option3="No",0,IF($A26&lt;ImplementationYear,0,IF($A26&gt;(ImplementationYear+(Appraisal_Period-1)),0,'Mode change'!$F$37*$B26)))</f>
        <v>0</v>
      </c>
      <c r="AU26" s="97">
        <f>IF(Option3="No",0,IF($A26&lt;ImplementationYear,0,IF($A26&gt;(ImplementationYear+(Appraisal_Period-1)),0,'Road safety'!$F$22*$B26)))</f>
        <v>0</v>
      </c>
      <c r="AV26" s="97">
        <f>IF(Option3="No",0,IF($A26&lt;ImplementationYear,0,IF($A26&gt;(ImplementationYear+(Appraisal_Period-1)),0,'Reduction in car usage'!$F$46*$B26)))</f>
        <v>0</v>
      </c>
      <c r="AW26" s="97">
        <f>IF(Option3="No",0,IF($A26&lt;ImplementationYear,0,IF($A26&gt;(ImplementationYear+(Appraisal_Period-1)),0,'Reduction in car usage'!$F$47*$B26)))</f>
        <v>0</v>
      </c>
      <c r="AX26" s="97">
        <f>IF(Option3="No",0,IF($A26&lt;ImplementationYear,0,IF($A26&gt;(ImplementationYear+(Appraisal_Period-1)),0,'Reduction in car usage'!$F$48*$B26)))</f>
        <v>0</v>
      </c>
    </row>
    <row r="27" spans="1:50">
      <c r="A27" s="335">
        <v>2022</v>
      </c>
      <c r="B27" s="62">
        <f>VLOOKUP($A27,'Time-series parameters'!$E$11:$H$89,4,FALSE)</f>
        <v>0.63823933055184101</v>
      </c>
      <c r="C27" s="89"/>
      <c r="D27" s="94">
        <f>IF(Option1="No",0,IF($A27=ImplementationYear,('Project details'!$H$10-'Project details'!$D$10)*VLOOKUP(Year_cost_estimate,'Time-series parameters'!$B$11:$C$89,2,FALSE)*$B27*(1+Contingency),0))</f>
        <v>0</v>
      </c>
      <c r="E27" s="94">
        <f>IF(Option1="No",0,IF($A27&lt;ImplementationYear,0,IF($A27&gt;(ImplementationYear+(Appraisal_Period-1)),0,('Project details'!$H$11-'Project details'!$D$11)*VLOOKUP(Year_cost_estimate,'Time-series parameters'!$B$11:$C$89,2,0))*$B27))</f>
        <v>0</v>
      </c>
      <c r="F27" s="94">
        <f>IF(Option1="No",0,IF($A27=ImplementationYear,('Project details'!$H$12-'Project details'!$D$12)*VLOOKUP(Year_cost_estimate,'Time-series parameters'!$B$11:$C$89,2,FALSE)*$B27,0))</f>
        <v>0</v>
      </c>
      <c r="G27" s="97">
        <f>IF(Option1="No",0,IF($A27&lt;ImplementationYear,0,IF($A27&gt;(ImplementationYear+(Appraisal_Period-1)),0,Health!$D$21*$B27)))</f>
        <v>0</v>
      </c>
      <c r="H27" s="97">
        <f>IF(Option1="No",0,IF($A27&lt;ImplementationYear,0,IF($A27&gt;(ImplementationYear+(Appraisal_Period-1)),0,Health!$D$22*$B27)))</f>
        <v>0</v>
      </c>
      <c r="I27" s="97">
        <f>IF(Option1="No",0,IF($A27&lt;ImplementationYear,0,IF($A27&gt;(ImplementationYear+(Appraisal_Period-1)),0,SUM('Travel time'!$D$22:$D$23)*$B27)))</f>
        <v>0</v>
      </c>
      <c r="J27" s="97">
        <f>IF(Option1="No",0,IF($A27&lt;ImplementationYear,0,IF($A27&gt;(ImplementationYear+(Appraisal_Period-1)),0,SUM('Travel time'!$D$20:$D$21)*$B27)))</f>
        <v>0</v>
      </c>
      <c r="K27" s="97">
        <f>IF(Option1="No",0,IF($A27&lt;ImplementationYear,0,IF($A27&gt;(ImplementationYear+(Appraisal_Period-1)),0,SUM(Quality!$D$22:$D$23)*$B27)))</f>
        <v>0</v>
      </c>
      <c r="L27" s="97">
        <f>IF(Option1="No",0,IF($A27&lt;ImplementationYear,0,IF($A27&gt;(ImplementationYear+(Appraisal_Period-1)),0,SUM(Quality!$D$20:$D$21)*$B27)))</f>
        <v>0</v>
      </c>
      <c r="M27" s="97">
        <f>IF(Option1="No",0,IF($A27&lt;ImplementationYear,0,IF($A27&gt;(ImplementationYear+(Appraisal_Period-1)),0,'Mode change'!$D$36*$B27)))</f>
        <v>0</v>
      </c>
      <c r="N27" s="97">
        <f>IF(Option1="No",0,IF($A27&lt;ImplementationYear,0,IF($A27&gt;(ImplementationYear+(Appraisal_Period-1)),0,'Mode change'!$D$37*$B27)))</f>
        <v>0</v>
      </c>
      <c r="O27" s="97">
        <f>IF(Option1="No",0,IF($A27&lt;ImplementationYear,0,IF($A27&gt;(ImplementationYear+(Appraisal_Period-1)),0,'Road safety'!$D$22*$B27)))</f>
        <v>0</v>
      </c>
      <c r="P27" s="97">
        <f>IF(Option1="No",0,IF($A27&lt;ImplementationYear,0,IF($A27&gt;(ImplementationYear+(Appraisal_Period-1)),0,'Reduction in car usage'!$D$46*$B27)))</f>
        <v>0</v>
      </c>
      <c r="Q27" s="97">
        <f>IF(Option1="No",0,IF($A27&lt;ImplementationYear,0,IF($A27&gt;(ImplementationYear+(Appraisal_Period-1)),0,'Reduction in car usage'!$D$47*$B27)))</f>
        <v>0</v>
      </c>
      <c r="R27" s="97">
        <f>IF(Option1="No",0,IF($A27&lt;ImplementationYear,0,IF($A27&gt;(ImplementationYear+(Appraisal_Period-1)),0,'Reduction in car usage'!$D$48*$B27)))</f>
        <v>0</v>
      </c>
      <c r="S27" s="92"/>
      <c r="T27" s="94">
        <f>IF(Option2="No",0,IF($A27=ImplementationYear,('Project details'!$L$10-'Project details'!$D$10)*VLOOKUP(Year_cost_estimate,'Time-series parameters'!$B$11:$C$89,2,FALSE)*$B27*(1+Contingency),0))</f>
        <v>0</v>
      </c>
      <c r="U27" s="94">
        <f>IF(Option2="No",0,IF($A27&lt;ImplementationYear,0,IF($A27&gt;(ImplementationYear+(Appraisal_Period-1)),0,('Project details'!$L$11-'Project details'!$D$11)*VLOOKUP(Year_cost_estimate,'Time-series parameters'!$B$11:$C$89,2,0))*$B27))</f>
        <v>0</v>
      </c>
      <c r="V27" s="94">
        <f>IF(Option2="No",0,IF($A27=ImplementationYear,('Project details'!$L$12-'Project details'!$D$12)*VLOOKUP(Year_cost_estimate,'Time-series parameters'!$B$11:$C$89,2,FALSE)*$B27,0))</f>
        <v>0</v>
      </c>
      <c r="W27" s="97">
        <f>IF(Option2="No",0,IF($A27&lt;ImplementationYear,0,IF($A27&gt;(ImplementationYear+(Appraisal_Period-1)),0,Health!$E$21*$B27)))</f>
        <v>0</v>
      </c>
      <c r="X27" s="97">
        <f>IF(Option2="No",0,IF($A27&lt;ImplementationYear,0,IF($A27&gt;(ImplementationYear+(Appraisal_Period-1)),0,Health!$E$22*$B27)))</f>
        <v>0</v>
      </c>
      <c r="Y27" s="97">
        <f>IF(Option2="No",0,IF($A27&lt;ImplementationYear,0,IF($A27&gt;(ImplementationYear+(Appraisal_Period-1)),0,SUM('Travel time'!$E$22:$E$23)*$B27)))</f>
        <v>0</v>
      </c>
      <c r="Z27" s="97">
        <f>IF(Option2="No",0,IF($A27&lt;ImplementationYear,0,IF($A27&gt;(ImplementationYear+(Appraisal_Period-1)),0,SUM('Travel time'!$E$20:$E$21)*$B27)))</f>
        <v>0</v>
      </c>
      <c r="AA27" s="97">
        <f>IF(Option2="No",0,IF($A27&lt;ImplementationYear,0,IF($A27&gt;(ImplementationYear+(Appraisal_Period-1)),0,SUM(Quality!$E$22:$E$23)*$B27)))</f>
        <v>0</v>
      </c>
      <c r="AB27" s="97">
        <f>IF(Option2="No",0,IF($A27&lt;ImplementationYear,0,IF($A27&gt;(ImplementationYear+(Appraisal_Period-1)),0,SUM(Quality!$E$20:$E$21)*$B27)))</f>
        <v>0</v>
      </c>
      <c r="AC27" s="97">
        <f>IF(Option2="No",0,IF($A27&lt;ImplementationYear,0,IF($A27&gt;(ImplementationYear+(Appraisal_Period-1)),0,'Mode change'!$E$36*$B27)))</f>
        <v>0</v>
      </c>
      <c r="AD27" s="97">
        <f>IF(Option2="No",0,IF($A27&lt;ImplementationYear,0,IF($A27&gt;(ImplementationYear+(Appraisal_Period-1)),0,'Mode change'!$E$37*$B27)))</f>
        <v>0</v>
      </c>
      <c r="AE27" s="97">
        <f>IF(Option2="No",0,IF($A27&lt;ImplementationYear,0,IF($A27&gt;(ImplementationYear+(Appraisal_Period-1)),0,'Road safety'!$E$22*$B27)))</f>
        <v>0</v>
      </c>
      <c r="AF27" s="97">
        <f>IF(Option2="No",0,IF($A27&lt;ImplementationYear,0,IF($A27&gt;(ImplementationYear+(Appraisal_Period-1)),0,'Reduction in car usage'!$E$46*$B27)))</f>
        <v>0</v>
      </c>
      <c r="AG27" s="97">
        <f>IF(Option2="No",0,IF($A27&lt;ImplementationYear,0,IF($A27&gt;(ImplementationYear+(Appraisal_Period-1)),0,'Reduction in car usage'!$E$47*$B27)))</f>
        <v>0</v>
      </c>
      <c r="AH27" s="97">
        <f>IF(Option2="No",0,IF($A27&lt;ImplementationYear,0,IF($A27&gt;(ImplementationYear+(Appraisal_Period-1)),0,'Reduction in car usage'!$E$48*$B27)))</f>
        <v>0</v>
      </c>
      <c r="AJ27" s="94">
        <f>IF(Option3="No",0,IF($A27=ImplementationYear,('Project details'!$P$10-'Project details'!$D$10)*VLOOKUP(Year_cost_estimate,'Time-series parameters'!$B$11:$C$89,2,FALSE)*$B27*(1+Contingency),0))</f>
        <v>0</v>
      </c>
      <c r="AK27" s="94">
        <f>IF(Option3="No",0,IF($A27&lt;ImplementationYear,0,IF($A27&gt;(ImplementationYear+(Appraisal_Period-1)),0,('Project details'!$P$11-'Project details'!$D$11)*VLOOKUP(Year_cost_estimate,'Time-series parameters'!$B$11:$C$89,2,0))*$B27))</f>
        <v>0</v>
      </c>
      <c r="AL27" s="94">
        <f>IF(Option3="No",0,IF($A27=ImplementationYear,('Project details'!$P$12-'Project details'!$D$12)*VLOOKUP(Year_cost_estimate,'Time-series parameters'!$B$11:$C$89,2,FALSE)*$B27,0))</f>
        <v>0</v>
      </c>
      <c r="AM27" s="97">
        <f>IF(Option3="No",0,IF($A27&lt;ImplementationYear,0,IF($A27&gt;(ImplementationYear+(Appraisal_Period-1)),0,Health!$F$21*$B27)))</f>
        <v>0</v>
      </c>
      <c r="AN27" s="97">
        <f>IF(Option3="No",0,IF($A27&lt;ImplementationYear,0,IF($A27&gt;(ImplementationYear+(Appraisal_Period-1)),0,Health!$F$22*$B27)))</f>
        <v>0</v>
      </c>
      <c r="AO27" s="97">
        <f>IF(Option3="No",0,IF($A27&lt;ImplementationYear,0,IF($A27&gt;(ImplementationYear+(Appraisal_Period-1)),0,SUM('Travel time'!$F$22:$F$23)*$B27)))</f>
        <v>0</v>
      </c>
      <c r="AP27" s="97">
        <f>IF(Option3="No",0,IF($A27&lt;ImplementationYear,0,IF($A27&gt;(ImplementationYear+(Appraisal_Period-1)),0,SUM('Travel time'!$F$20:$F$21)*$B27)))</f>
        <v>0</v>
      </c>
      <c r="AQ27" s="97">
        <f>IF(Option3="No",0,IF($A27&lt;ImplementationYear,0,IF($A27&gt;(ImplementationYear+(Appraisal_Period-1)),0,SUM(Quality!$F$22:$F$23)*$B27)))</f>
        <v>0</v>
      </c>
      <c r="AR27" s="97">
        <f>IF(Option3="No",0,IF($A27&lt;ImplementationYear,0,IF($A27&gt;(ImplementationYear+(Appraisal_Period-1)),0,SUM(Quality!$F$20:$F$21)*$B27)))</f>
        <v>0</v>
      </c>
      <c r="AS27" s="97">
        <f>IF(Option3="No",0,IF($A27&lt;ImplementationYear,0,IF($A27&gt;(ImplementationYear+(Appraisal_Period-1)),0,'Mode change'!$F$36*$B27)))</f>
        <v>0</v>
      </c>
      <c r="AT27" s="97">
        <f>IF(Option3="No",0,IF($A27&lt;ImplementationYear,0,IF($A27&gt;(ImplementationYear+(Appraisal_Period-1)),0,'Mode change'!$F$37*$B27)))</f>
        <v>0</v>
      </c>
      <c r="AU27" s="97">
        <f>IF(Option3="No",0,IF($A27&lt;ImplementationYear,0,IF($A27&gt;(ImplementationYear+(Appraisal_Period-1)),0,'Road safety'!$F$22*$B27)))</f>
        <v>0</v>
      </c>
      <c r="AV27" s="97">
        <f>IF(Option3="No",0,IF($A27&lt;ImplementationYear,0,IF($A27&gt;(ImplementationYear+(Appraisal_Period-1)),0,'Reduction in car usage'!$F$46*$B27)))</f>
        <v>0</v>
      </c>
      <c r="AW27" s="97">
        <f>IF(Option3="No",0,IF($A27&lt;ImplementationYear,0,IF($A27&gt;(ImplementationYear+(Appraisal_Period-1)),0,'Reduction in car usage'!$F$47*$B27)))</f>
        <v>0</v>
      </c>
      <c r="AX27" s="97">
        <f>IF(Option3="No",0,IF($A27&lt;ImplementationYear,0,IF($A27&gt;(ImplementationYear+(Appraisal_Period-1)),0,'Reduction in car usage'!$F$48*$B27)))</f>
        <v>0</v>
      </c>
    </row>
    <row r="28" spans="1:50">
      <c r="A28" s="335">
        <v>2023</v>
      </c>
      <c r="B28" s="62">
        <f>VLOOKUP($A28,'Time-series parameters'!$E$11:$H$89,4,FALSE)</f>
        <v>0.6127097573297674</v>
      </c>
      <c r="C28" s="89"/>
      <c r="D28" s="94">
        <f>IF(Option1="No",0,IF($A28=ImplementationYear,('Project details'!$H$10-'Project details'!$D$10)*VLOOKUP(Year_cost_estimate,'Time-series parameters'!$B$11:$C$89,2,FALSE)*$B28*(1+Contingency),0))</f>
        <v>0</v>
      </c>
      <c r="E28" s="94">
        <f>IF(Option1="No",0,IF($A28&lt;ImplementationYear,0,IF($A28&gt;(ImplementationYear+(Appraisal_Period-1)),0,('Project details'!$H$11-'Project details'!$D$11)*VLOOKUP(Year_cost_estimate,'Time-series parameters'!$B$11:$C$89,2,0))*$B28))</f>
        <v>0</v>
      </c>
      <c r="F28" s="94">
        <f>IF(Option1="No",0,IF($A28=ImplementationYear,('Project details'!$H$12-'Project details'!$D$12)*VLOOKUP(Year_cost_estimate,'Time-series parameters'!$B$11:$C$89,2,FALSE)*$B28,0))</f>
        <v>0</v>
      </c>
      <c r="G28" s="97">
        <f>IF(Option1="No",0,IF($A28&lt;ImplementationYear,0,IF($A28&gt;(ImplementationYear+(Appraisal_Period-1)),0,Health!$D$21*$B28)))</f>
        <v>0</v>
      </c>
      <c r="H28" s="97">
        <f>IF(Option1="No",0,IF($A28&lt;ImplementationYear,0,IF($A28&gt;(ImplementationYear+(Appraisal_Period-1)),0,Health!$D$22*$B28)))</f>
        <v>0</v>
      </c>
      <c r="I28" s="97">
        <f>IF(Option1="No",0,IF($A28&lt;ImplementationYear,0,IF($A28&gt;(ImplementationYear+(Appraisal_Period-1)),0,SUM('Travel time'!$D$22:$D$23)*$B28)))</f>
        <v>0</v>
      </c>
      <c r="J28" s="97">
        <f>IF(Option1="No",0,IF($A28&lt;ImplementationYear,0,IF($A28&gt;(ImplementationYear+(Appraisal_Period-1)),0,SUM('Travel time'!$D$20:$D$21)*$B28)))</f>
        <v>0</v>
      </c>
      <c r="K28" s="97">
        <f>IF(Option1="No",0,IF($A28&lt;ImplementationYear,0,IF($A28&gt;(ImplementationYear+(Appraisal_Period-1)),0,SUM(Quality!$D$22:$D$23)*$B28)))</f>
        <v>0</v>
      </c>
      <c r="L28" s="97">
        <f>IF(Option1="No",0,IF($A28&lt;ImplementationYear,0,IF($A28&gt;(ImplementationYear+(Appraisal_Period-1)),0,SUM(Quality!$D$20:$D$21)*$B28)))</f>
        <v>0</v>
      </c>
      <c r="M28" s="97">
        <f>IF(Option1="No",0,IF($A28&lt;ImplementationYear,0,IF($A28&gt;(ImplementationYear+(Appraisal_Period-1)),0,'Mode change'!$D$36*$B28)))</f>
        <v>0</v>
      </c>
      <c r="N28" s="97">
        <f>IF(Option1="No",0,IF($A28&lt;ImplementationYear,0,IF($A28&gt;(ImplementationYear+(Appraisal_Period-1)),0,'Mode change'!$D$37*$B28)))</f>
        <v>0</v>
      </c>
      <c r="O28" s="97">
        <f>IF(Option1="No",0,IF($A28&lt;ImplementationYear,0,IF($A28&gt;(ImplementationYear+(Appraisal_Period-1)),0,'Road safety'!$D$22*$B28)))</f>
        <v>0</v>
      </c>
      <c r="P28" s="97">
        <f>IF(Option1="No",0,IF($A28&lt;ImplementationYear,0,IF($A28&gt;(ImplementationYear+(Appraisal_Period-1)),0,'Reduction in car usage'!$D$46*$B28)))</f>
        <v>0</v>
      </c>
      <c r="Q28" s="97">
        <f>IF(Option1="No",0,IF($A28&lt;ImplementationYear,0,IF($A28&gt;(ImplementationYear+(Appraisal_Period-1)),0,'Reduction in car usage'!$D$47*$B28)))</f>
        <v>0</v>
      </c>
      <c r="R28" s="97">
        <f>IF(Option1="No",0,IF($A28&lt;ImplementationYear,0,IF($A28&gt;(ImplementationYear+(Appraisal_Period-1)),0,'Reduction in car usage'!$D$48*$B28)))</f>
        <v>0</v>
      </c>
      <c r="S28" s="92"/>
      <c r="T28" s="94">
        <f>IF(Option2="No",0,IF($A28=ImplementationYear,('Project details'!$L$10-'Project details'!$D$10)*VLOOKUP(Year_cost_estimate,'Time-series parameters'!$B$11:$C$89,2,FALSE)*$B28*(1+Contingency),0))</f>
        <v>0</v>
      </c>
      <c r="U28" s="94">
        <f>IF(Option2="No",0,IF($A28&lt;ImplementationYear,0,IF($A28&gt;(ImplementationYear+(Appraisal_Period-1)),0,('Project details'!$L$11-'Project details'!$D$11)*VLOOKUP(Year_cost_estimate,'Time-series parameters'!$B$11:$C$89,2,0))*$B28))</f>
        <v>0</v>
      </c>
      <c r="V28" s="94">
        <f>IF(Option2="No",0,IF($A28=ImplementationYear,('Project details'!$L$12-'Project details'!$D$12)*VLOOKUP(Year_cost_estimate,'Time-series parameters'!$B$11:$C$89,2,FALSE)*$B28,0))</f>
        <v>0</v>
      </c>
      <c r="W28" s="97">
        <f>IF(Option2="No",0,IF($A28&lt;ImplementationYear,0,IF($A28&gt;(ImplementationYear+(Appraisal_Period-1)),0,Health!$E$21*$B28)))</f>
        <v>0</v>
      </c>
      <c r="X28" s="97">
        <f>IF(Option2="No",0,IF($A28&lt;ImplementationYear,0,IF($A28&gt;(ImplementationYear+(Appraisal_Period-1)),0,Health!$E$22*$B28)))</f>
        <v>0</v>
      </c>
      <c r="Y28" s="97">
        <f>IF(Option2="No",0,IF($A28&lt;ImplementationYear,0,IF($A28&gt;(ImplementationYear+(Appraisal_Period-1)),0,SUM('Travel time'!$E$22:$E$23)*$B28)))</f>
        <v>0</v>
      </c>
      <c r="Z28" s="97">
        <f>IF(Option2="No",0,IF($A28&lt;ImplementationYear,0,IF($A28&gt;(ImplementationYear+(Appraisal_Period-1)),0,SUM('Travel time'!$E$20:$E$21)*$B28)))</f>
        <v>0</v>
      </c>
      <c r="AA28" s="97">
        <f>IF(Option2="No",0,IF($A28&lt;ImplementationYear,0,IF($A28&gt;(ImplementationYear+(Appraisal_Period-1)),0,SUM(Quality!$E$22:$E$23)*$B28)))</f>
        <v>0</v>
      </c>
      <c r="AB28" s="97">
        <f>IF(Option2="No",0,IF($A28&lt;ImplementationYear,0,IF($A28&gt;(ImplementationYear+(Appraisal_Period-1)),0,SUM(Quality!$E$20:$E$21)*$B28)))</f>
        <v>0</v>
      </c>
      <c r="AC28" s="97">
        <f>IF(Option2="No",0,IF($A28&lt;ImplementationYear,0,IF($A28&gt;(ImplementationYear+(Appraisal_Period-1)),0,'Mode change'!$E$36*$B28)))</f>
        <v>0</v>
      </c>
      <c r="AD28" s="97">
        <f>IF(Option2="No",0,IF($A28&lt;ImplementationYear,0,IF($A28&gt;(ImplementationYear+(Appraisal_Period-1)),0,'Mode change'!$E$37*$B28)))</f>
        <v>0</v>
      </c>
      <c r="AE28" s="97">
        <f>IF(Option2="No",0,IF($A28&lt;ImplementationYear,0,IF($A28&gt;(ImplementationYear+(Appraisal_Period-1)),0,'Road safety'!$E$22*$B28)))</f>
        <v>0</v>
      </c>
      <c r="AF28" s="97">
        <f>IF(Option2="No",0,IF($A28&lt;ImplementationYear,0,IF($A28&gt;(ImplementationYear+(Appraisal_Period-1)),0,'Reduction in car usage'!$E$46*$B28)))</f>
        <v>0</v>
      </c>
      <c r="AG28" s="97">
        <f>IF(Option2="No",0,IF($A28&lt;ImplementationYear,0,IF($A28&gt;(ImplementationYear+(Appraisal_Period-1)),0,'Reduction in car usage'!$E$47*$B28)))</f>
        <v>0</v>
      </c>
      <c r="AH28" s="97">
        <f>IF(Option2="No",0,IF($A28&lt;ImplementationYear,0,IF($A28&gt;(ImplementationYear+(Appraisal_Period-1)),0,'Reduction in car usage'!$E$48*$B28)))</f>
        <v>0</v>
      </c>
      <c r="AJ28" s="94">
        <f>IF(Option3="No",0,IF($A28=ImplementationYear,('Project details'!$P$10-'Project details'!$D$10)*VLOOKUP(Year_cost_estimate,'Time-series parameters'!$B$11:$C$89,2,FALSE)*$B28*(1+Contingency),0))</f>
        <v>0</v>
      </c>
      <c r="AK28" s="94">
        <f>IF(Option3="No",0,IF($A28&lt;ImplementationYear,0,IF($A28&gt;(ImplementationYear+(Appraisal_Period-1)),0,('Project details'!$P$11-'Project details'!$D$11)*VLOOKUP(Year_cost_estimate,'Time-series parameters'!$B$11:$C$89,2,0))*$B28))</f>
        <v>0</v>
      </c>
      <c r="AL28" s="94">
        <f>IF(Option3="No",0,IF($A28=ImplementationYear,('Project details'!$P$12-'Project details'!$D$12)*VLOOKUP(Year_cost_estimate,'Time-series parameters'!$B$11:$C$89,2,FALSE)*$B28,0))</f>
        <v>0</v>
      </c>
      <c r="AM28" s="97">
        <f>IF(Option3="No",0,IF($A28&lt;ImplementationYear,0,IF($A28&gt;(ImplementationYear+(Appraisal_Period-1)),0,Health!$F$21*$B28)))</f>
        <v>0</v>
      </c>
      <c r="AN28" s="97">
        <f>IF(Option3="No",0,IF($A28&lt;ImplementationYear,0,IF($A28&gt;(ImplementationYear+(Appraisal_Period-1)),0,Health!$F$22*$B28)))</f>
        <v>0</v>
      </c>
      <c r="AO28" s="97">
        <f>IF(Option3="No",0,IF($A28&lt;ImplementationYear,0,IF($A28&gt;(ImplementationYear+(Appraisal_Period-1)),0,SUM('Travel time'!$F$22:$F$23)*$B28)))</f>
        <v>0</v>
      </c>
      <c r="AP28" s="97">
        <f>IF(Option3="No",0,IF($A28&lt;ImplementationYear,0,IF($A28&gt;(ImplementationYear+(Appraisal_Period-1)),0,SUM('Travel time'!$F$20:$F$21)*$B28)))</f>
        <v>0</v>
      </c>
      <c r="AQ28" s="97">
        <f>IF(Option3="No",0,IF($A28&lt;ImplementationYear,0,IF($A28&gt;(ImplementationYear+(Appraisal_Period-1)),0,SUM(Quality!$F$22:$F$23)*$B28)))</f>
        <v>0</v>
      </c>
      <c r="AR28" s="97">
        <f>IF(Option3="No",0,IF($A28&lt;ImplementationYear,0,IF($A28&gt;(ImplementationYear+(Appraisal_Period-1)),0,SUM(Quality!$F$20:$F$21)*$B28)))</f>
        <v>0</v>
      </c>
      <c r="AS28" s="97">
        <f>IF(Option3="No",0,IF($A28&lt;ImplementationYear,0,IF($A28&gt;(ImplementationYear+(Appraisal_Period-1)),0,'Mode change'!$F$36*$B28)))</f>
        <v>0</v>
      </c>
      <c r="AT28" s="97">
        <f>IF(Option3="No",0,IF($A28&lt;ImplementationYear,0,IF($A28&gt;(ImplementationYear+(Appraisal_Period-1)),0,'Mode change'!$F$37*$B28)))</f>
        <v>0</v>
      </c>
      <c r="AU28" s="97">
        <f>IF(Option3="No",0,IF($A28&lt;ImplementationYear,0,IF($A28&gt;(ImplementationYear+(Appraisal_Period-1)),0,'Road safety'!$F$22*$B28)))</f>
        <v>0</v>
      </c>
      <c r="AV28" s="97">
        <f>IF(Option3="No",0,IF($A28&lt;ImplementationYear,0,IF($A28&gt;(ImplementationYear+(Appraisal_Period-1)),0,'Reduction in car usage'!$F$46*$B28)))</f>
        <v>0</v>
      </c>
      <c r="AW28" s="97">
        <f>IF(Option3="No",0,IF($A28&lt;ImplementationYear,0,IF($A28&gt;(ImplementationYear+(Appraisal_Period-1)),0,'Reduction in car usage'!$F$47*$B28)))</f>
        <v>0</v>
      </c>
      <c r="AX28" s="97">
        <f>IF(Option3="No",0,IF($A28&lt;ImplementationYear,0,IF($A28&gt;(ImplementationYear+(Appraisal_Period-1)),0,'Reduction in car usage'!$F$48*$B28)))</f>
        <v>0</v>
      </c>
    </row>
    <row r="29" spans="1:50">
      <c r="A29" s="335">
        <v>2024</v>
      </c>
      <c r="B29" s="62">
        <f>VLOOKUP($A29,'Time-series parameters'!$E$11:$H$89,4,FALSE)</f>
        <v>0.58820136703657666</v>
      </c>
      <c r="C29" s="89"/>
      <c r="D29" s="94">
        <f>IF(Option1="No",0,IF($A29=ImplementationYear,('Project details'!$H$10-'Project details'!$D$10)*VLOOKUP(Year_cost_estimate,'Time-series parameters'!$B$11:$C$89,2,FALSE)*$B29*(1+Contingency),0))</f>
        <v>0</v>
      </c>
      <c r="E29" s="94">
        <f>IF(Option1="No",0,IF($A29&lt;ImplementationYear,0,IF($A29&gt;(ImplementationYear+(Appraisal_Period-1)),0,('Project details'!$H$11-'Project details'!$D$11)*VLOOKUP(Year_cost_estimate,'Time-series parameters'!$B$11:$C$89,2,0))*$B29))</f>
        <v>0</v>
      </c>
      <c r="F29" s="94">
        <f>IF(Option1="No",0,IF($A29=ImplementationYear,('Project details'!$H$12-'Project details'!$D$12)*VLOOKUP(Year_cost_estimate,'Time-series parameters'!$B$11:$C$89,2,FALSE)*$B29,0))</f>
        <v>0</v>
      </c>
      <c r="G29" s="97">
        <f>IF(Option1="No",0,IF($A29&lt;ImplementationYear,0,IF($A29&gt;(ImplementationYear+(Appraisal_Period-1)),0,Health!$D$21*$B29)))</f>
        <v>0</v>
      </c>
      <c r="H29" s="97">
        <f>IF(Option1="No",0,IF($A29&lt;ImplementationYear,0,IF($A29&gt;(ImplementationYear+(Appraisal_Period-1)),0,Health!$D$22*$B29)))</f>
        <v>0</v>
      </c>
      <c r="I29" s="97">
        <f>IF(Option1="No",0,IF($A29&lt;ImplementationYear,0,IF($A29&gt;(ImplementationYear+(Appraisal_Period-1)),0,SUM('Travel time'!$D$22:$D$23)*$B29)))</f>
        <v>0</v>
      </c>
      <c r="J29" s="97">
        <f>IF(Option1="No",0,IF($A29&lt;ImplementationYear,0,IF($A29&gt;(ImplementationYear+(Appraisal_Period-1)),0,SUM('Travel time'!$D$20:$D$21)*$B29)))</f>
        <v>0</v>
      </c>
      <c r="K29" s="97">
        <f>IF(Option1="No",0,IF($A29&lt;ImplementationYear,0,IF($A29&gt;(ImplementationYear+(Appraisal_Period-1)),0,SUM(Quality!$D$22:$D$23)*$B29)))</f>
        <v>0</v>
      </c>
      <c r="L29" s="97">
        <f>IF(Option1="No",0,IF($A29&lt;ImplementationYear,0,IF($A29&gt;(ImplementationYear+(Appraisal_Period-1)),0,SUM(Quality!$D$20:$D$21)*$B29)))</f>
        <v>0</v>
      </c>
      <c r="M29" s="97">
        <f>IF(Option1="No",0,IF($A29&lt;ImplementationYear,0,IF($A29&gt;(ImplementationYear+(Appraisal_Period-1)),0,'Mode change'!$D$36*$B29)))</f>
        <v>0</v>
      </c>
      <c r="N29" s="97">
        <f>IF(Option1="No",0,IF($A29&lt;ImplementationYear,0,IF($A29&gt;(ImplementationYear+(Appraisal_Period-1)),0,'Mode change'!$D$37*$B29)))</f>
        <v>0</v>
      </c>
      <c r="O29" s="97">
        <f>IF(Option1="No",0,IF($A29&lt;ImplementationYear,0,IF($A29&gt;(ImplementationYear+(Appraisal_Period-1)),0,'Road safety'!$D$22*$B29)))</f>
        <v>0</v>
      </c>
      <c r="P29" s="97">
        <f>IF(Option1="No",0,IF($A29&lt;ImplementationYear,0,IF($A29&gt;(ImplementationYear+(Appraisal_Period-1)),0,'Reduction in car usage'!$D$46*$B29)))</f>
        <v>0</v>
      </c>
      <c r="Q29" s="97">
        <f>IF(Option1="No",0,IF($A29&lt;ImplementationYear,0,IF($A29&gt;(ImplementationYear+(Appraisal_Period-1)),0,'Reduction in car usage'!$D$47*$B29)))</f>
        <v>0</v>
      </c>
      <c r="R29" s="97">
        <f>IF(Option1="No",0,IF($A29&lt;ImplementationYear,0,IF($A29&gt;(ImplementationYear+(Appraisal_Period-1)),0,'Reduction in car usage'!$D$48*$B29)))</f>
        <v>0</v>
      </c>
      <c r="S29" s="92"/>
      <c r="T29" s="94">
        <f>IF(Option2="No",0,IF($A29=ImplementationYear,('Project details'!$L$10-'Project details'!$D$10)*VLOOKUP(Year_cost_estimate,'Time-series parameters'!$B$11:$C$89,2,FALSE)*$B29*(1+Contingency),0))</f>
        <v>0</v>
      </c>
      <c r="U29" s="94">
        <f>IF(Option2="No",0,IF($A29&lt;ImplementationYear,0,IF($A29&gt;(ImplementationYear+(Appraisal_Period-1)),0,('Project details'!$L$11-'Project details'!$D$11)*VLOOKUP(Year_cost_estimate,'Time-series parameters'!$B$11:$C$89,2,0))*$B29))</f>
        <v>0</v>
      </c>
      <c r="V29" s="94">
        <f>IF(Option2="No",0,IF($A29=ImplementationYear,('Project details'!$L$12-'Project details'!$D$12)*VLOOKUP(Year_cost_estimate,'Time-series parameters'!$B$11:$C$89,2,FALSE)*$B29,0))</f>
        <v>0</v>
      </c>
      <c r="W29" s="97">
        <f>IF(Option2="No",0,IF($A29&lt;ImplementationYear,0,IF($A29&gt;(ImplementationYear+(Appraisal_Period-1)),0,Health!$E$21*$B29)))</f>
        <v>0</v>
      </c>
      <c r="X29" s="97">
        <f>IF(Option2="No",0,IF($A29&lt;ImplementationYear,0,IF($A29&gt;(ImplementationYear+(Appraisal_Period-1)),0,Health!$E$22*$B29)))</f>
        <v>0</v>
      </c>
      <c r="Y29" s="97">
        <f>IF(Option2="No",0,IF($A29&lt;ImplementationYear,0,IF($A29&gt;(ImplementationYear+(Appraisal_Period-1)),0,SUM('Travel time'!$E$22:$E$23)*$B29)))</f>
        <v>0</v>
      </c>
      <c r="Z29" s="97">
        <f>IF(Option2="No",0,IF($A29&lt;ImplementationYear,0,IF($A29&gt;(ImplementationYear+(Appraisal_Period-1)),0,SUM('Travel time'!$E$20:$E$21)*$B29)))</f>
        <v>0</v>
      </c>
      <c r="AA29" s="97">
        <f>IF(Option2="No",0,IF($A29&lt;ImplementationYear,0,IF($A29&gt;(ImplementationYear+(Appraisal_Period-1)),0,SUM(Quality!$E$22:$E$23)*$B29)))</f>
        <v>0</v>
      </c>
      <c r="AB29" s="97">
        <f>IF(Option2="No",0,IF($A29&lt;ImplementationYear,0,IF($A29&gt;(ImplementationYear+(Appraisal_Period-1)),0,SUM(Quality!$E$20:$E$21)*$B29)))</f>
        <v>0</v>
      </c>
      <c r="AC29" s="97">
        <f>IF(Option2="No",0,IF($A29&lt;ImplementationYear,0,IF($A29&gt;(ImplementationYear+(Appraisal_Period-1)),0,'Mode change'!$E$36*$B29)))</f>
        <v>0</v>
      </c>
      <c r="AD29" s="97">
        <f>IF(Option2="No",0,IF($A29&lt;ImplementationYear,0,IF($A29&gt;(ImplementationYear+(Appraisal_Period-1)),0,'Mode change'!$E$37*$B29)))</f>
        <v>0</v>
      </c>
      <c r="AE29" s="97">
        <f>IF(Option2="No",0,IF($A29&lt;ImplementationYear,0,IF($A29&gt;(ImplementationYear+(Appraisal_Period-1)),0,'Road safety'!$E$22*$B29)))</f>
        <v>0</v>
      </c>
      <c r="AF29" s="97">
        <f>IF(Option2="No",0,IF($A29&lt;ImplementationYear,0,IF($A29&gt;(ImplementationYear+(Appraisal_Period-1)),0,'Reduction in car usage'!$E$46*$B29)))</f>
        <v>0</v>
      </c>
      <c r="AG29" s="97">
        <f>IF(Option2="No",0,IF($A29&lt;ImplementationYear,0,IF($A29&gt;(ImplementationYear+(Appraisal_Period-1)),0,'Reduction in car usage'!$E$47*$B29)))</f>
        <v>0</v>
      </c>
      <c r="AH29" s="97">
        <f>IF(Option2="No",0,IF($A29&lt;ImplementationYear,0,IF($A29&gt;(ImplementationYear+(Appraisal_Period-1)),0,'Reduction in car usage'!$E$48*$B29)))</f>
        <v>0</v>
      </c>
      <c r="AJ29" s="94">
        <f>IF(Option3="No",0,IF($A29=ImplementationYear,('Project details'!$P$10-'Project details'!$D$10)*VLOOKUP(Year_cost_estimate,'Time-series parameters'!$B$11:$C$89,2,FALSE)*$B29*(1+Contingency),0))</f>
        <v>0</v>
      </c>
      <c r="AK29" s="94">
        <f>IF(Option3="No",0,IF($A29&lt;ImplementationYear,0,IF($A29&gt;(ImplementationYear+(Appraisal_Period-1)),0,('Project details'!$P$11-'Project details'!$D$11)*VLOOKUP(Year_cost_estimate,'Time-series parameters'!$B$11:$C$89,2,0))*$B29))</f>
        <v>0</v>
      </c>
      <c r="AL29" s="94">
        <f>IF(Option3="No",0,IF($A29=ImplementationYear,('Project details'!$P$12-'Project details'!$D$12)*VLOOKUP(Year_cost_estimate,'Time-series parameters'!$B$11:$C$89,2,FALSE)*$B29,0))</f>
        <v>0</v>
      </c>
      <c r="AM29" s="97">
        <f>IF(Option3="No",0,IF($A29&lt;ImplementationYear,0,IF($A29&gt;(ImplementationYear+(Appraisal_Period-1)),0,Health!$F$21*$B29)))</f>
        <v>0</v>
      </c>
      <c r="AN29" s="97">
        <f>IF(Option3="No",0,IF($A29&lt;ImplementationYear,0,IF($A29&gt;(ImplementationYear+(Appraisal_Period-1)),0,Health!$F$22*$B29)))</f>
        <v>0</v>
      </c>
      <c r="AO29" s="97">
        <f>IF(Option3="No",0,IF($A29&lt;ImplementationYear,0,IF($A29&gt;(ImplementationYear+(Appraisal_Period-1)),0,SUM('Travel time'!$F$22:$F$23)*$B29)))</f>
        <v>0</v>
      </c>
      <c r="AP29" s="97">
        <f>IF(Option3="No",0,IF($A29&lt;ImplementationYear,0,IF($A29&gt;(ImplementationYear+(Appraisal_Period-1)),0,SUM('Travel time'!$F$20:$F$21)*$B29)))</f>
        <v>0</v>
      </c>
      <c r="AQ29" s="97">
        <f>IF(Option3="No",0,IF($A29&lt;ImplementationYear,0,IF($A29&gt;(ImplementationYear+(Appraisal_Period-1)),0,SUM(Quality!$F$22:$F$23)*$B29)))</f>
        <v>0</v>
      </c>
      <c r="AR29" s="97">
        <f>IF(Option3="No",0,IF($A29&lt;ImplementationYear,0,IF($A29&gt;(ImplementationYear+(Appraisal_Period-1)),0,SUM(Quality!$F$20:$F$21)*$B29)))</f>
        <v>0</v>
      </c>
      <c r="AS29" s="97">
        <f>IF(Option3="No",0,IF($A29&lt;ImplementationYear,0,IF($A29&gt;(ImplementationYear+(Appraisal_Period-1)),0,'Mode change'!$F$36*$B29)))</f>
        <v>0</v>
      </c>
      <c r="AT29" s="97">
        <f>IF(Option3="No",0,IF($A29&lt;ImplementationYear,0,IF($A29&gt;(ImplementationYear+(Appraisal_Period-1)),0,'Mode change'!$F$37*$B29)))</f>
        <v>0</v>
      </c>
      <c r="AU29" s="97">
        <f>IF(Option3="No",0,IF($A29&lt;ImplementationYear,0,IF($A29&gt;(ImplementationYear+(Appraisal_Period-1)),0,'Road safety'!$F$22*$B29)))</f>
        <v>0</v>
      </c>
      <c r="AV29" s="97">
        <f>IF(Option3="No",0,IF($A29&lt;ImplementationYear,0,IF($A29&gt;(ImplementationYear+(Appraisal_Period-1)),0,'Reduction in car usage'!$F$46*$B29)))</f>
        <v>0</v>
      </c>
      <c r="AW29" s="97">
        <f>IF(Option3="No",0,IF($A29&lt;ImplementationYear,0,IF($A29&gt;(ImplementationYear+(Appraisal_Period-1)),0,'Reduction in car usage'!$F$47*$B29)))</f>
        <v>0</v>
      </c>
      <c r="AX29" s="97">
        <f>IF(Option3="No",0,IF($A29&lt;ImplementationYear,0,IF($A29&gt;(ImplementationYear+(Appraisal_Period-1)),0,'Reduction in car usage'!$F$48*$B29)))</f>
        <v>0</v>
      </c>
    </row>
    <row r="30" spans="1:50">
      <c r="A30" s="335">
        <v>2025</v>
      </c>
      <c r="B30" s="62">
        <f>VLOOKUP($A30,'Time-series parameters'!$E$11:$H$89,4,FALSE)</f>
        <v>0.56467331235511364</v>
      </c>
      <c r="C30" s="89"/>
      <c r="D30" s="94">
        <f>IF(Option1="No",0,IF($A30=ImplementationYear,('Project details'!$H$10-'Project details'!$D$10)*VLOOKUP(Year_cost_estimate,'Time-series parameters'!$B$11:$C$89,2,FALSE)*$B30*(1+Contingency),0))</f>
        <v>0</v>
      </c>
      <c r="E30" s="94">
        <f>IF(Option1="No",0,IF($A30&lt;ImplementationYear,0,IF($A30&gt;(ImplementationYear+(Appraisal_Period-1)),0,('Project details'!$H$11-'Project details'!$D$11)*VLOOKUP(Year_cost_estimate,'Time-series parameters'!$B$11:$C$89,2,0))*$B30))</f>
        <v>0</v>
      </c>
      <c r="F30" s="94">
        <f>IF(Option1="No",0,IF($A30=ImplementationYear,('Project details'!$H$12-'Project details'!$D$12)*VLOOKUP(Year_cost_estimate,'Time-series parameters'!$B$11:$C$89,2,FALSE)*$B30,0))</f>
        <v>0</v>
      </c>
      <c r="G30" s="97">
        <f>IF(Option1="No",0,IF($A30&lt;ImplementationYear,0,IF($A30&gt;(ImplementationYear+(Appraisal_Period-1)),0,Health!$D$21*$B30)))</f>
        <v>0</v>
      </c>
      <c r="H30" s="97">
        <f>IF(Option1="No",0,IF($A30&lt;ImplementationYear,0,IF($A30&gt;(ImplementationYear+(Appraisal_Period-1)),0,Health!$D$22*$B30)))</f>
        <v>0</v>
      </c>
      <c r="I30" s="97">
        <f>IF(Option1="No",0,IF($A30&lt;ImplementationYear,0,IF($A30&gt;(ImplementationYear+(Appraisal_Period-1)),0,SUM('Travel time'!$D$22:$D$23)*$B30)))</f>
        <v>0</v>
      </c>
      <c r="J30" s="97">
        <f>IF(Option1="No",0,IF($A30&lt;ImplementationYear,0,IF($A30&gt;(ImplementationYear+(Appraisal_Period-1)),0,SUM('Travel time'!$D$20:$D$21)*$B30)))</f>
        <v>0</v>
      </c>
      <c r="K30" s="97">
        <f>IF(Option1="No",0,IF($A30&lt;ImplementationYear,0,IF($A30&gt;(ImplementationYear+(Appraisal_Period-1)),0,SUM(Quality!$D$22:$D$23)*$B30)))</f>
        <v>0</v>
      </c>
      <c r="L30" s="97">
        <f>IF(Option1="No",0,IF($A30&lt;ImplementationYear,0,IF($A30&gt;(ImplementationYear+(Appraisal_Period-1)),0,SUM(Quality!$D$20:$D$21)*$B30)))</f>
        <v>0</v>
      </c>
      <c r="M30" s="97">
        <f>IF(Option1="No",0,IF($A30&lt;ImplementationYear,0,IF($A30&gt;(ImplementationYear+(Appraisal_Period-1)),0,'Mode change'!$D$36*$B30)))</f>
        <v>0</v>
      </c>
      <c r="N30" s="97">
        <f>IF(Option1="No",0,IF($A30&lt;ImplementationYear,0,IF($A30&gt;(ImplementationYear+(Appraisal_Period-1)),0,'Mode change'!$D$37*$B30)))</f>
        <v>0</v>
      </c>
      <c r="O30" s="97">
        <f>IF(Option1="No",0,IF($A30&lt;ImplementationYear,0,IF($A30&gt;(ImplementationYear+(Appraisal_Period-1)),0,'Road safety'!$D$22*$B30)))</f>
        <v>0</v>
      </c>
      <c r="P30" s="97">
        <f>IF(Option1="No",0,IF($A30&lt;ImplementationYear,0,IF($A30&gt;(ImplementationYear+(Appraisal_Period-1)),0,'Reduction in car usage'!$D$46*$B30)))</f>
        <v>0</v>
      </c>
      <c r="Q30" s="97">
        <f>IF(Option1="No",0,IF($A30&lt;ImplementationYear,0,IF($A30&gt;(ImplementationYear+(Appraisal_Period-1)),0,'Reduction in car usage'!$D$47*$B30)))</f>
        <v>0</v>
      </c>
      <c r="R30" s="97">
        <f>IF(Option1="No",0,IF($A30&lt;ImplementationYear,0,IF($A30&gt;(ImplementationYear+(Appraisal_Period-1)),0,'Reduction in car usage'!$D$48*$B30)))</f>
        <v>0</v>
      </c>
      <c r="S30" s="92"/>
      <c r="T30" s="94">
        <f>IF(Option2="No",0,IF($A30=ImplementationYear,('Project details'!$L$10-'Project details'!$D$10)*VLOOKUP(Year_cost_estimate,'Time-series parameters'!$B$11:$C$89,2,FALSE)*$B30*(1+Contingency),0))</f>
        <v>0</v>
      </c>
      <c r="U30" s="94">
        <f>IF(Option2="No",0,IF($A30&lt;ImplementationYear,0,IF($A30&gt;(ImplementationYear+(Appraisal_Period-1)),0,('Project details'!$L$11-'Project details'!$D$11)*VLOOKUP(Year_cost_estimate,'Time-series parameters'!$B$11:$C$89,2,0))*$B30))</f>
        <v>0</v>
      </c>
      <c r="V30" s="94">
        <f>IF(Option2="No",0,IF($A30=ImplementationYear,('Project details'!$L$12-'Project details'!$D$12)*VLOOKUP(Year_cost_estimate,'Time-series parameters'!$B$11:$C$89,2,FALSE)*$B30,0))</f>
        <v>0</v>
      </c>
      <c r="W30" s="97">
        <f>IF(Option2="No",0,IF($A30&lt;ImplementationYear,0,IF($A30&gt;(ImplementationYear+(Appraisal_Period-1)),0,Health!$E$21*$B30)))</f>
        <v>0</v>
      </c>
      <c r="X30" s="97">
        <f>IF(Option2="No",0,IF($A30&lt;ImplementationYear,0,IF($A30&gt;(ImplementationYear+(Appraisal_Period-1)),0,Health!$E$22*$B30)))</f>
        <v>0</v>
      </c>
      <c r="Y30" s="97">
        <f>IF(Option2="No",0,IF($A30&lt;ImplementationYear,0,IF($A30&gt;(ImplementationYear+(Appraisal_Period-1)),0,SUM('Travel time'!$E$22:$E$23)*$B30)))</f>
        <v>0</v>
      </c>
      <c r="Z30" s="97">
        <f>IF(Option2="No",0,IF($A30&lt;ImplementationYear,0,IF($A30&gt;(ImplementationYear+(Appraisal_Period-1)),0,SUM('Travel time'!$E$20:$E$21)*$B30)))</f>
        <v>0</v>
      </c>
      <c r="AA30" s="97">
        <f>IF(Option2="No",0,IF($A30&lt;ImplementationYear,0,IF($A30&gt;(ImplementationYear+(Appraisal_Period-1)),0,SUM(Quality!$E$22:$E$23)*$B30)))</f>
        <v>0</v>
      </c>
      <c r="AB30" s="97">
        <f>IF(Option2="No",0,IF($A30&lt;ImplementationYear,0,IF($A30&gt;(ImplementationYear+(Appraisal_Period-1)),0,SUM(Quality!$E$20:$E$21)*$B30)))</f>
        <v>0</v>
      </c>
      <c r="AC30" s="97">
        <f>IF(Option2="No",0,IF($A30&lt;ImplementationYear,0,IF($A30&gt;(ImplementationYear+(Appraisal_Period-1)),0,'Mode change'!$E$36*$B30)))</f>
        <v>0</v>
      </c>
      <c r="AD30" s="97">
        <f>IF(Option2="No",0,IF($A30&lt;ImplementationYear,0,IF($A30&gt;(ImplementationYear+(Appraisal_Period-1)),0,'Mode change'!$E$37*$B30)))</f>
        <v>0</v>
      </c>
      <c r="AE30" s="97">
        <f>IF(Option2="No",0,IF($A30&lt;ImplementationYear,0,IF($A30&gt;(ImplementationYear+(Appraisal_Period-1)),0,'Road safety'!$E$22*$B30)))</f>
        <v>0</v>
      </c>
      <c r="AF30" s="97">
        <f>IF(Option2="No",0,IF($A30&lt;ImplementationYear,0,IF($A30&gt;(ImplementationYear+(Appraisal_Period-1)),0,'Reduction in car usage'!$E$46*$B30)))</f>
        <v>0</v>
      </c>
      <c r="AG30" s="97">
        <f>IF(Option2="No",0,IF($A30&lt;ImplementationYear,0,IF($A30&gt;(ImplementationYear+(Appraisal_Period-1)),0,'Reduction in car usage'!$E$47*$B30)))</f>
        <v>0</v>
      </c>
      <c r="AH30" s="97">
        <f>IF(Option2="No",0,IF($A30&lt;ImplementationYear,0,IF($A30&gt;(ImplementationYear+(Appraisal_Period-1)),0,'Reduction in car usage'!$E$48*$B30)))</f>
        <v>0</v>
      </c>
      <c r="AJ30" s="94">
        <f>IF(Option3="No",0,IF($A30=ImplementationYear,('Project details'!$P$10-'Project details'!$D$10)*VLOOKUP(Year_cost_estimate,'Time-series parameters'!$B$11:$C$89,2,FALSE)*$B30*(1+Contingency),0))</f>
        <v>0</v>
      </c>
      <c r="AK30" s="94">
        <f>IF(Option3="No",0,IF($A30&lt;ImplementationYear,0,IF($A30&gt;(ImplementationYear+(Appraisal_Period-1)),0,('Project details'!$P$11-'Project details'!$D$11)*VLOOKUP(Year_cost_estimate,'Time-series parameters'!$B$11:$C$89,2,0))*$B30))</f>
        <v>0</v>
      </c>
      <c r="AL30" s="94">
        <f>IF(Option3="No",0,IF($A30=ImplementationYear,('Project details'!$P$12-'Project details'!$D$12)*VLOOKUP(Year_cost_estimate,'Time-series parameters'!$B$11:$C$89,2,FALSE)*$B30,0))</f>
        <v>0</v>
      </c>
      <c r="AM30" s="97">
        <f>IF(Option3="No",0,IF($A30&lt;ImplementationYear,0,IF($A30&gt;(ImplementationYear+(Appraisal_Period-1)),0,Health!$F$21*$B30)))</f>
        <v>0</v>
      </c>
      <c r="AN30" s="97">
        <f>IF(Option3="No",0,IF($A30&lt;ImplementationYear,0,IF($A30&gt;(ImplementationYear+(Appraisal_Period-1)),0,Health!$F$22*$B30)))</f>
        <v>0</v>
      </c>
      <c r="AO30" s="97">
        <f>IF(Option3="No",0,IF($A30&lt;ImplementationYear,0,IF($A30&gt;(ImplementationYear+(Appraisal_Period-1)),0,SUM('Travel time'!$F$22:$F$23)*$B30)))</f>
        <v>0</v>
      </c>
      <c r="AP30" s="97">
        <f>IF(Option3="No",0,IF($A30&lt;ImplementationYear,0,IF($A30&gt;(ImplementationYear+(Appraisal_Period-1)),0,SUM('Travel time'!$F$20:$F$21)*$B30)))</f>
        <v>0</v>
      </c>
      <c r="AQ30" s="97">
        <f>IF(Option3="No",0,IF($A30&lt;ImplementationYear,0,IF($A30&gt;(ImplementationYear+(Appraisal_Period-1)),0,SUM(Quality!$F$22:$F$23)*$B30)))</f>
        <v>0</v>
      </c>
      <c r="AR30" s="97">
        <f>IF(Option3="No",0,IF($A30&lt;ImplementationYear,0,IF($A30&gt;(ImplementationYear+(Appraisal_Period-1)),0,SUM(Quality!$F$20:$F$21)*$B30)))</f>
        <v>0</v>
      </c>
      <c r="AS30" s="97">
        <f>IF(Option3="No",0,IF($A30&lt;ImplementationYear,0,IF($A30&gt;(ImplementationYear+(Appraisal_Period-1)),0,'Mode change'!$F$36*$B30)))</f>
        <v>0</v>
      </c>
      <c r="AT30" s="97">
        <f>IF(Option3="No",0,IF($A30&lt;ImplementationYear,0,IF($A30&gt;(ImplementationYear+(Appraisal_Period-1)),0,'Mode change'!$F$37*$B30)))</f>
        <v>0</v>
      </c>
      <c r="AU30" s="97">
        <f>IF(Option3="No",0,IF($A30&lt;ImplementationYear,0,IF($A30&gt;(ImplementationYear+(Appraisal_Period-1)),0,'Road safety'!$F$22*$B30)))</f>
        <v>0</v>
      </c>
      <c r="AV30" s="97">
        <f>IF(Option3="No",0,IF($A30&lt;ImplementationYear,0,IF($A30&gt;(ImplementationYear+(Appraisal_Period-1)),0,'Reduction in car usage'!$F$46*$B30)))</f>
        <v>0</v>
      </c>
      <c r="AW30" s="97">
        <f>IF(Option3="No",0,IF($A30&lt;ImplementationYear,0,IF($A30&gt;(ImplementationYear+(Appraisal_Period-1)),0,'Reduction in car usage'!$F$47*$B30)))</f>
        <v>0</v>
      </c>
      <c r="AX30" s="97">
        <f>IF(Option3="No",0,IF($A30&lt;ImplementationYear,0,IF($A30&gt;(ImplementationYear+(Appraisal_Period-1)),0,'Reduction in car usage'!$F$48*$B30)))</f>
        <v>0</v>
      </c>
    </row>
    <row r="31" spans="1:50">
      <c r="A31" s="335">
        <v>2026</v>
      </c>
      <c r="B31" s="62">
        <f>VLOOKUP($A31,'Time-series parameters'!$E$11:$H$89,4,FALSE)</f>
        <v>0.54208637986090913</v>
      </c>
      <c r="C31" s="89"/>
      <c r="D31" s="94">
        <f>IF(Option1="No",0,IF($A31=ImplementationYear,('Project details'!$H$10-'Project details'!$D$10)*VLOOKUP(Year_cost_estimate,'Time-series parameters'!$B$11:$C$89,2,FALSE)*$B31*(1+Contingency),0))</f>
        <v>0</v>
      </c>
      <c r="E31" s="94">
        <f>IF(Option1="No",0,IF($A31&lt;ImplementationYear,0,IF($A31&gt;(ImplementationYear+(Appraisal_Period-1)),0,('Project details'!$H$11-'Project details'!$D$11)*VLOOKUP(Year_cost_estimate,'Time-series parameters'!$B$11:$C$89,2,0))*$B31))</f>
        <v>0</v>
      </c>
      <c r="F31" s="94">
        <f>IF(Option1="No",0,IF($A31=ImplementationYear,('Project details'!$H$12-'Project details'!$D$12)*VLOOKUP(Year_cost_estimate,'Time-series parameters'!$B$11:$C$89,2,FALSE)*$B31,0))</f>
        <v>0</v>
      </c>
      <c r="G31" s="97">
        <f>IF(Option1="No",0,IF($A31&lt;ImplementationYear,0,IF($A31&gt;(ImplementationYear+(Appraisal_Period-1)),0,Health!$D$21*$B31)))</f>
        <v>0</v>
      </c>
      <c r="H31" s="97">
        <f>IF(Option1="No",0,IF($A31&lt;ImplementationYear,0,IF($A31&gt;(ImplementationYear+(Appraisal_Period-1)),0,Health!$D$22*$B31)))</f>
        <v>0</v>
      </c>
      <c r="I31" s="97">
        <f>IF(Option1="No",0,IF($A31&lt;ImplementationYear,0,IF($A31&gt;(ImplementationYear+(Appraisal_Period-1)),0,SUM('Travel time'!$D$22:$D$23)*$B31)))</f>
        <v>0</v>
      </c>
      <c r="J31" s="97">
        <f>IF(Option1="No",0,IF($A31&lt;ImplementationYear,0,IF($A31&gt;(ImplementationYear+(Appraisal_Period-1)),0,SUM('Travel time'!$D$20:$D$21)*$B31)))</f>
        <v>0</v>
      </c>
      <c r="K31" s="97">
        <f>IF(Option1="No",0,IF($A31&lt;ImplementationYear,0,IF($A31&gt;(ImplementationYear+(Appraisal_Period-1)),0,SUM(Quality!$D$22:$D$23)*$B31)))</f>
        <v>0</v>
      </c>
      <c r="L31" s="97">
        <f>IF(Option1="No",0,IF($A31&lt;ImplementationYear,0,IF($A31&gt;(ImplementationYear+(Appraisal_Period-1)),0,SUM(Quality!$D$20:$D$21)*$B31)))</f>
        <v>0</v>
      </c>
      <c r="M31" s="97">
        <f>IF(Option1="No",0,IF($A31&lt;ImplementationYear,0,IF($A31&gt;(ImplementationYear+(Appraisal_Period-1)),0,'Mode change'!$D$36*$B31)))</f>
        <v>0</v>
      </c>
      <c r="N31" s="97">
        <f>IF(Option1="No",0,IF($A31&lt;ImplementationYear,0,IF($A31&gt;(ImplementationYear+(Appraisal_Period-1)),0,'Mode change'!$D$37*$B31)))</f>
        <v>0</v>
      </c>
      <c r="O31" s="97">
        <f>IF(Option1="No",0,IF($A31&lt;ImplementationYear,0,IF($A31&gt;(ImplementationYear+(Appraisal_Period-1)),0,'Road safety'!$D$22*$B31)))</f>
        <v>0</v>
      </c>
      <c r="P31" s="97">
        <f>IF(Option1="No",0,IF($A31&lt;ImplementationYear,0,IF($A31&gt;(ImplementationYear+(Appraisal_Period-1)),0,'Reduction in car usage'!$D$46*$B31)))</f>
        <v>0</v>
      </c>
      <c r="Q31" s="97">
        <f>IF(Option1="No",0,IF($A31&lt;ImplementationYear,0,IF($A31&gt;(ImplementationYear+(Appraisal_Period-1)),0,'Reduction in car usage'!$D$47*$B31)))</f>
        <v>0</v>
      </c>
      <c r="R31" s="97">
        <f>IF(Option1="No",0,IF($A31&lt;ImplementationYear,0,IF($A31&gt;(ImplementationYear+(Appraisal_Period-1)),0,'Reduction in car usage'!$D$48*$B31)))</f>
        <v>0</v>
      </c>
      <c r="S31" s="92"/>
      <c r="T31" s="94">
        <f>IF(Option2="No",0,IF($A31=ImplementationYear,('Project details'!$L$10-'Project details'!$D$10)*VLOOKUP(Year_cost_estimate,'Time-series parameters'!$B$11:$C$89,2,FALSE)*$B31*(1+Contingency),0))</f>
        <v>0</v>
      </c>
      <c r="U31" s="94">
        <f>IF(Option2="No",0,IF($A31&lt;ImplementationYear,0,IF($A31&gt;(ImplementationYear+(Appraisal_Period-1)),0,('Project details'!$L$11-'Project details'!$D$11)*VLOOKUP(Year_cost_estimate,'Time-series parameters'!$B$11:$C$89,2,0))*$B31))</f>
        <v>0</v>
      </c>
      <c r="V31" s="94">
        <f>IF(Option2="No",0,IF($A31=ImplementationYear,('Project details'!$L$12-'Project details'!$D$12)*VLOOKUP(Year_cost_estimate,'Time-series parameters'!$B$11:$C$89,2,FALSE)*$B31,0))</f>
        <v>0</v>
      </c>
      <c r="W31" s="97">
        <f>IF(Option2="No",0,IF($A31&lt;ImplementationYear,0,IF($A31&gt;(ImplementationYear+(Appraisal_Period-1)),0,Health!$E$21*$B31)))</f>
        <v>0</v>
      </c>
      <c r="X31" s="97">
        <f>IF(Option2="No",0,IF($A31&lt;ImplementationYear,0,IF($A31&gt;(ImplementationYear+(Appraisal_Period-1)),0,Health!$E$22*$B31)))</f>
        <v>0</v>
      </c>
      <c r="Y31" s="97">
        <f>IF(Option2="No",0,IF($A31&lt;ImplementationYear,0,IF($A31&gt;(ImplementationYear+(Appraisal_Period-1)),0,SUM('Travel time'!$E$22:$E$23)*$B31)))</f>
        <v>0</v>
      </c>
      <c r="Z31" s="97">
        <f>IF(Option2="No",0,IF($A31&lt;ImplementationYear,0,IF($A31&gt;(ImplementationYear+(Appraisal_Period-1)),0,SUM('Travel time'!$E$20:$E$21)*$B31)))</f>
        <v>0</v>
      </c>
      <c r="AA31" s="97">
        <f>IF(Option2="No",0,IF($A31&lt;ImplementationYear,0,IF($A31&gt;(ImplementationYear+(Appraisal_Period-1)),0,SUM(Quality!$E$22:$E$23)*$B31)))</f>
        <v>0</v>
      </c>
      <c r="AB31" s="97">
        <f>IF(Option2="No",0,IF($A31&lt;ImplementationYear,0,IF($A31&gt;(ImplementationYear+(Appraisal_Period-1)),0,SUM(Quality!$E$20:$E$21)*$B31)))</f>
        <v>0</v>
      </c>
      <c r="AC31" s="97">
        <f>IF(Option2="No",0,IF($A31&lt;ImplementationYear,0,IF($A31&gt;(ImplementationYear+(Appraisal_Period-1)),0,'Mode change'!$E$36*$B31)))</f>
        <v>0</v>
      </c>
      <c r="AD31" s="97">
        <f>IF(Option2="No",0,IF($A31&lt;ImplementationYear,0,IF($A31&gt;(ImplementationYear+(Appraisal_Period-1)),0,'Mode change'!$E$37*$B31)))</f>
        <v>0</v>
      </c>
      <c r="AE31" s="97">
        <f>IF(Option2="No",0,IF($A31&lt;ImplementationYear,0,IF($A31&gt;(ImplementationYear+(Appraisal_Period-1)),0,'Road safety'!$E$22*$B31)))</f>
        <v>0</v>
      </c>
      <c r="AF31" s="97">
        <f>IF(Option2="No",0,IF($A31&lt;ImplementationYear,0,IF($A31&gt;(ImplementationYear+(Appraisal_Period-1)),0,'Reduction in car usage'!$E$46*$B31)))</f>
        <v>0</v>
      </c>
      <c r="AG31" s="97">
        <f>IF(Option2="No",0,IF($A31&lt;ImplementationYear,0,IF($A31&gt;(ImplementationYear+(Appraisal_Period-1)),0,'Reduction in car usage'!$E$47*$B31)))</f>
        <v>0</v>
      </c>
      <c r="AH31" s="97">
        <f>IF(Option2="No",0,IF($A31&lt;ImplementationYear,0,IF($A31&gt;(ImplementationYear+(Appraisal_Period-1)),0,'Reduction in car usage'!$E$48*$B31)))</f>
        <v>0</v>
      </c>
      <c r="AJ31" s="94">
        <f>IF(Option3="No",0,IF($A31=ImplementationYear,('Project details'!$P$10-'Project details'!$D$10)*VLOOKUP(Year_cost_estimate,'Time-series parameters'!$B$11:$C$89,2,FALSE)*$B31*(1+Contingency),0))</f>
        <v>0</v>
      </c>
      <c r="AK31" s="94">
        <f>IF(Option3="No",0,IF($A31&lt;ImplementationYear,0,IF($A31&gt;(ImplementationYear+(Appraisal_Period-1)),0,('Project details'!$P$11-'Project details'!$D$11)*VLOOKUP(Year_cost_estimate,'Time-series parameters'!$B$11:$C$89,2,0))*$B31))</f>
        <v>0</v>
      </c>
      <c r="AL31" s="94">
        <f>IF(Option3="No",0,IF($A31=ImplementationYear,('Project details'!$P$12-'Project details'!$D$12)*VLOOKUP(Year_cost_estimate,'Time-series parameters'!$B$11:$C$89,2,FALSE)*$B31,0))</f>
        <v>0</v>
      </c>
      <c r="AM31" s="97">
        <f>IF(Option3="No",0,IF($A31&lt;ImplementationYear,0,IF($A31&gt;(ImplementationYear+(Appraisal_Period-1)),0,Health!$F$21*$B31)))</f>
        <v>0</v>
      </c>
      <c r="AN31" s="97">
        <f>IF(Option3="No",0,IF($A31&lt;ImplementationYear,0,IF($A31&gt;(ImplementationYear+(Appraisal_Period-1)),0,Health!$F$22*$B31)))</f>
        <v>0</v>
      </c>
      <c r="AO31" s="97">
        <f>IF(Option3="No",0,IF($A31&lt;ImplementationYear,0,IF($A31&gt;(ImplementationYear+(Appraisal_Period-1)),0,SUM('Travel time'!$F$22:$F$23)*$B31)))</f>
        <v>0</v>
      </c>
      <c r="AP31" s="97">
        <f>IF(Option3="No",0,IF($A31&lt;ImplementationYear,0,IF($A31&gt;(ImplementationYear+(Appraisal_Period-1)),0,SUM('Travel time'!$F$20:$F$21)*$B31)))</f>
        <v>0</v>
      </c>
      <c r="AQ31" s="97">
        <f>IF(Option3="No",0,IF($A31&lt;ImplementationYear,0,IF($A31&gt;(ImplementationYear+(Appraisal_Period-1)),0,SUM(Quality!$F$22:$F$23)*$B31)))</f>
        <v>0</v>
      </c>
      <c r="AR31" s="97">
        <f>IF(Option3="No",0,IF($A31&lt;ImplementationYear,0,IF($A31&gt;(ImplementationYear+(Appraisal_Period-1)),0,SUM(Quality!$F$20:$F$21)*$B31)))</f>
        <v>0</v>
      </c>
      <c r="AS31" s="97">
        <f>IF(Option3="No",0,IF($A31&lt;ImplementationYear,0,IF($A31&gt;(ImplementationYear+(Appraisal_Period-1)),0,'Mode change'!$F$36*$B31)))</f>
        <v>0</v>
      </c>
      <c r="AT31" s="97">
        <f>IF(Option3="No",0,IF($A31&lt;ImplementationYear,0,IF($A31&gt;(ImplementationYear+(Appraisal_Period-1)),0,'Mode change'!$F$37*$B31)))</f>
        <v>0</v>
      </c>
      <c r="AU31" s="97">
        <f>IF(Option3="No",0,IF($A31&lt;ImplementationYear,0,IF($A31&gt;(ImplementationYear+(Appraisal_Period-1)),0,'Road safety'!$F$22*$B31)))</f>
        <v>0</v>
      </c>
      <c r="AV31" s="97">
        <f>IF(Option3="No",0,IF($A31&lt;ImplementationYear,0,IF($A31&gt;(ImplementationYear+(Appraisal_Period-1)),0,'Reduction in car usage'!$F$46*$B31)))</f>
        <v>0</v>
      </c>
      <c r="AW31" s="97">
        <f>IF(Option3="No",0,IF($A31&lt;ImplementationYear,0,IF($A31&gt;(ImplementationYear+(Appraisal_Period-1)),0,'Reduction in car usage'!$F$47*$B31)))</f>
        <v>0</v>
      </c>
      <c r="AX31" s="97">
        <f>IF(Option3="No",0,IF($A31&lt;ImplementationYear,0,IF($A31&gt;(ImplementationYear+(Appraisal_Period-1)),0,'Reduction in car usage'!$F$48*$B31)))</f>
        <v>0</v>
      </c>
    </row>
    <row r="32" spans="1:50">
      <c r="A32" s="335">
        <v>2027</v>
      </c>
      <c r="B32" s="62">
        <f>VLOOKUP($A32,'Time-series parameters'!$E$11:$H$89,4,FALSE)</f>
        <v>0.52040292466647275</v>
      </c>
      <c r="C32" s="89"/>
      <c r="D32" s="94">
        <f>IF(Option1="No",0,IF($A32=ImplementationYear,('Project details'!$H$10-'Project details'!$D$10)*VLOOKUP(Year_cost_estimate,'Time-series parameters'!$B$11:$C$89,2,FALSE)*$B32*(1+Contingency),0))</f>
        <v>0</v>
      </c>
      <c r="E32" s="94">
        <f>IF(Option1="No",0,IF($A32&lt;ImplementationYear,0,IF($A32&gt;(ImplementationYear+(Appraisal_Period-1)),0,('Project details'!$H$11-'Project details'!$D$11)*VLOOKUP(Year_cost_estimate,'Time-series parameters'!$B$11:$C$89,2,0))*$B32))</f>
        <v>0</v>
      </c>
      <c r="F32" s="94">
        <f>IF(Option1="No",0,IF($A32=ImplementationYear,('Project details'!$H$12-'Project details'!$D$12)*VLOOKUP(Year_cost_estimate,'Time-series parameters'!$B$11:$C$89,2,FALSE)*$B32,0))</f>
        <v>0</v>
      </c>
      <c r="G32" s="97">
        <f>IF(Option1="No",0,IF($A32&lt;ImplementationYear,0,IF($A32&gt;(ImplementationYear+(Appraisal_Period-1)),0,Health!$D$21*$B32)))</f>
        <v>0</v>
      </c>
      <c r="H32" s="97">
        <f>IF(Option1="No",0,IF($A32&lt;ImplementationYear,0,IF($A32&gt;(ImplementationYear+(Appraisal_Period-1)),0,Health!$D$22*$B32)))</f>
        <v>0</v>
      </c>
      <c r="I32" s="97">
        <f>IF(Option1="No",0,IF($A32&lt;ImplementationYear,0,IF($A32&gt;(ImplementationYear+(Appraisal_Period-1)),0,SUM('Travel time'!$D$22:$D$23)*$B32)))</f>
        <v>0</v>
      </c>
      <c r="J32" s="97">
        <f>IF(Option1="No",0,IF($A32&lt;ImplementationYear,0,IF($A32&gt;(ImplementationYear+(Appraisal_Period-1)),0,SUM('Travel time'!$D$20:$D$21)*$B32)))</f>
        <v>0</v>
      </c>
      <c r="K32" s="97">
        <f>IF(Option1="No",0,IF($A32&lt;ImplementationYear,0,IF($A32&gt;(ImplementationYear+(Appraisal_Period-1)),0,SUM(Quality!$D$22:$D$23)*$B32)))</f>
        <v>0</v>
      </c>
      <c r="L32" s="97">
        <f>IF(Option1="No",0,IF($A32&lt;ImplementationYear,0,IF($A32&gt;(ImplementationYear+(Appraisal_Period-1)),0,SUM(Quality!$D$20:$D$21)*$B32)))</f>
        <v>0</v>
      </c>
      <c r="M32" s="97">
        <f>IF(Option1="No",0,IF($A32&lt;ImplementationYear,0,IF($A32&gt;(ImplementationYear+(Appraisal_Period-1)),0,'Mode change'!$D$36*$B32)))</f>
        <v>0</v>
      </c>
      <c r="N32" s="97">
        <f>IF(Option1="No",0,IF($A32&lt;ImplementationYear,0,IF($A32&gt;(ImplementationYear+(Appraisal_Period-1)),0,'Mode change'!$D$37*$B32)))</f>
        <v>0</v>
      </c>
      <c r="O32" s="97">
        <f>IF(Option1="No",0,IF($A32&lt;ImplementationYear,0,IF($A32&gt;(ImplementationYear+(Appraisal_Period-1)),0,'Road safety'!$D$22*$B32)))</f>
        <v>0</v>
      </c>
      <c r="P32" s="97">
        <f>IF(Option1="No",0,IF($A32&lt;ImplementationYear,0,IF($A32&gt;(ImplementationYear+(Appraisal_Period-1)),0,'Reduction in car usage'!$D$46*$B32)))</f>
        <v>0</v>
      </c>
      <c r="Q32" s="97">
        <f>IF(Option1="No",0,IF($A32&lt;ImplementationYear,0,IF($A32&gt;(ImplementationYear+(Appraisal_Period-1)),0,'Reduction in car usage'!$D$47*$B32)))</f>
        <v>0</v>
      </c>
      <c r="R32" s="97">
        <f>IF(Option1="No",0,IF($A32&lt;ImplementationYear,0,IF($A32&gt;(ImplementationYear+(Appraisal_Period-1)),0,'Reduction in car usage'!$D$48*$B32)))</f>
        <v>0</v>
      </c>
      <c r="S32" s="92"/>
      <c r="T32" s="94">
        <f>IF(Option2="No",0,IF($A32=ImplementationYear,('Project details'!$L$10-'Project details'!$D$10)*VLOOKUP(Year_cost_estimate,'Time-series parameters'!$B$11:$C$89,2,FALSE)*$B32*(1+Contingency),0))</f>
        <v>0</v>
      </c>
      <c r="U32" s="94">
        <f>IF(Option2="No",0,IF($A32&lt;ImplementationYear,0,IF($A32&gt;(ImplementationYear+(Appraisal_Period-1)),0,('Project details'!$L$11-'Project details'!$D$11)*VLOOKUP(Year_cost_estimate,'Time-series parameters'!$B$11:$C$89,2,0))*$B32))</f>
        <v>0</v>
      </c>
      <c r="V32" s="94">
        <f>IF(Option2="No",0,IF($A32=ImplementationYear,('Project details'!$L$12-'Project details'!$D$12)*VLOOKUP(Year_cost_estimate,'Time-series parameters'!$B$11:$C$89,2,FALSE)*$B32,0))</f>
        <v>0</v>
      </c>
      <c r="W32" s="97">
        <f>IF(Option2="No",0,IF($A32&lt;ImplementationYear,0,IF($A32&gt;(ImplementationYear+(Appraisal_Period-1)),0,Health!$E$21*$B32)))</f>
        <v>0</v>
      </c>
      <c r="X32" s="97">
        <f>IF(Option2="No",0,IF($A32&lt;ImplementationYear,0,IF($A32&gt;(ImplementationYear+(Appraisal_Period-1)),0,Health!$E$22*$B32)))</f>
        <v>0</v>
      </c>
      <c r="Y32" s="97">
        <f>IF(Option2="No",0,IF($A32&lt;ImplementationYear,0,IF($A32&gt;(ImplementationYear+(Appraisal_Period-1)),0,SUM('Travel time'!$E$22:$E$23)*$B32)))</f>
        <v>0</v>
      </c>
      <c r="Z32" s="97">
        <f>IF(Option2="No",0,IF($A32&lt;ImplementationYear,0,IF($A32&gt;(ImplementationYear+(Appraisal_Period-1)),0,SUM('Travel time'!$E$20:$E$21)*$B32)))</f>
        <v>0</v>
      </c>
      <c r="AA32" s="97">
        <f>IF(Option2="No",0,IF($A32&lt;ImplementationYear,0,IF($A32&gt;(ImplementationYear+(Appraisal_Period-1)),0,SUM(Quality!$E$22:$E$23)*$B32)))</f>
        <v>0</v>
      </c>
      <c r="AB32" s="97">
        <f>IF(Option2="No",0,IF($A32&lt;ImplementationYear,0,IF($A32&gt;(ImplementationYear+(Appraisal_Period-1)),0,SUM(Quality!$E$20:$E$21)*$B32)))</f>
        <v>0</v>
      </c>
      <c r="AC32" s="97">
        <f>IF(Option2="No",0,IF($A32&lt;ImplementationYear,0,IF($A32&gt;(ImplementationYear+(Appraisal_Period-1)),0,'Mode change'!$E$36*$B32)))</f>
        <v>0</v>
      </c>
      <c r="AD32" s="97">
        <f>IF(Option2="No",0,IF($A32&lt;ImplementationYear,0,IF($A32&gt;(ImplementationYear+(Appraisal_Period-1)),0,'Mode change'!$E$37*$B32)))</f>
        <v>0</v>
      </c>
      <c r="AE32" s="97">
        <f>IF(Option2="No",0,IF($A32&lt;ImplementationYear,0,IF($A32&gt;(ImplementationYear+(Appraisal_Period-1)),0,'Road safety'!$E$22*$B32)))</f>
        <v>0</v>
      </c>
      <c r="AF32" s="97">
        <f>IF(Option2="No",0,IF($A32&lt;ImplementationYear,0,IF($A32&gt;(ImplementationYear+(Appraisal_Period-1)),0,'Reduction in car usage'!$E$46*$B32)))</f>
        <v>0</v>
      </c>
      <c r="AG32" s="97">
        <f>IF(Option2="No",0,IF($A32&lt;ImplementationYear,0,IF($A32&gt;(ImplementationYear+(Appraisal_Period-1)),0,'Reduction in car usage'!$E$47*$B32)))</f>
        <v>0</v>
      </c>
      <c r="AH32" s="97">
        <f>IF(Option2="No",0,IF($A32&lt;ImplementationYear,0,IF($A32&gt;(ImplementationYear+(Appraisal_Period-1)),0,'Reduction in car usage'!$E$48*$B32)))</f>
        <v>0</v>
      </c>
      <c r="AJ32" s="94">
        <f>IF(Option3="No",0,IF($A32=ImplementationYear,('Project details'!$P$10-'Project details'!$D$10)*VLOOKUP(Year_cost_estimate,'Time-series parameters'!$B$11:$C$89,2,FALSE)*$B32*(1+Contingency),0))</f>
        <v>0</v>
      </c>
      <c r="AK32" s="94">
        <f>IF(Option3="No",0,IF($A32&lt;ImplementationYear,0,IF($A32&gt;(ImplementationYear+(Appraisal_Period-1)),0,('Project details'!$P$11-'Project details'!$D$11)*VLOOKUP(Year_cost_estimate,'Time-series parameters'!$B$11:$C$89,2,0))*$B32))</f>
        <v>0</v>
      </c>
      <c r="AL32" s="94">
        <f>IF(Option3="No",0,IF($A32=ImplementationYear,('Project details'!$P$12-'Project details'!$D$12)*VLOOKUP(Year_cost_estimate,'Time-series parameters'!$B$11:$C$89,2,FALSE)*$B32,0))</f>
        <v>0</v>
      </c>
      <c r="AM32" s="97">
        <f>IF(Option3="No",0,IF($A32&lt;ImplementationYear,0,IF($A32&gt;(ImplementationYear+(Appraisal_Period-1)),0,Health!$F$21*$B32)))</f>
        <v>0</v>
      </c>
      <c r="AN32" s="97">
        <f>IF(Option3="No",0,IF($A32&lt;ImplementationYear,0,IF($A32&gt;(ImplementationYear+(Appraisal_Period-1)),0,Health!$F$22*$B32)))</f>
        <v>0</v>
      </c>
      <c r="AO32" s="97">
        <f>IF(Option3="No",0,IF($A32&lt;ImplementationYear,0,IF($A32&gt;(ImplementationYear+(Appraisal_Period-1)),0,SUM('Travel time'!$F$22:$F$23)*$B32)))</f>
        <v>0</v>
      </c>
      <c r="AP32" s="97">
        <f>IF(Option3="No",0,IF($A32&lt;ImplementationYear,0,IF($A32&gt;(ImplementationYear+(Appraisal_Period-1)),0,SUM('Travel time'!$F$20:$F$21)*$B32)))</f>
        <v>0</v>
      </c>
      <c r="AQ32" s="97">
        <f>IF(Option3="No",0,IF($A32&lt;ImplementationYear,0,IF($A32&gt;(ImplementationYear+(Appraisal_Period-1)),0,SUM(Quality!$F$22:$F$23)*$B32)))</f>
        <v>0</v>
      </c>
      <c r="AR32" s="97">
        <f>IF(Option3="No",0,IF($A32&lt;ImplementationYear,0,IF($A32&gt;(ImplementationYear+(Appraisal_Period-1)),0,SUM(Quality!$F$20:$F$21)*$B32)))</f>
        <v>0</v>
      </c>
      <c r="AS32" s="97">
        <f>IF(Option3="No",0,IF($A32&lt;ImplementationYear,0,IF($A32&gt;(ImplementationYear+(Appraisal_Period-1)),0,'Mode change'!$F$36*$B32)))</f>
        <v>0</v>
      </c>
      <c r="AT32" s="97">
        <f>IF(Option3="No",0,IF($A32&lt;ImplementationYear,0,IF($A32&gt;(ImplementationYear+(Appraisal_Period-1)),0,'Mode change'!$F$37*$B32)))</f>
        <v>0</v>
      </c>
      <c r="AU32" s="97">
        <f>IF(Option3="No",0,IF($A32&lt;ImplementationYear,0,IF($A32&gt;(ImplementationYear+(Appraisal_Period-1)),0,'Road safety'!$F$22*$B32)))</f>
        <v>0</v>
      </c>
      <c r="AV32" s="97">
        <f>IF(Option3="No",0,IF($A32&lt;ImplementationYear,0,IF($A32&gt;(ImplementationYear+(Appraisal_Period-1)),0,'Reduction in car usage'!$F$46*$B32)))</f>
        <v>0</v>
      </c>
      <c r="AW32" s="97">
        <f>IF(Option3="No",0,IF($A32&lt;ImplementationYear,0,IF($A32&gt;(ImplementationYear+(Appraisal_Period-1)),0,'Reduction in car usage'!$F$47*$B32)))</f>
        <v>0</v>
      </c>
      <c r="AX32" s="97">
        <f>IF(Option3="No",0,IF($A32&lt;ImplementationYear,0,IF($A32&gt;(ImplementationYear+(Appraisal_Period-1)),0,'Reduction in car usage'!$F$48*$B32)))</f>
        <v>0</v>
      </c>
    </row>
    <row r="33" spans="1:50">
      <c r="A33" s="335">
        <v>2028</v>
      </c>
      <c r="B33" s="62">
        <f>VLOOKUP($A33,'Time-series parameters'!$E$11:$H$89,4,FALSE)</f>
        <v>0.49958680767981384</v>
      </c>
      <c r="C33" s="89"/>
      <c r="D33" s="94">
        <f>IF(Option1="No",0,IF($A33=ImplementationYear,('Project details'!$H$10-'Project details'!$D$10)*VLOOKUP(Year_cost_estimate,'Time-series parameters'!$B$11:$C$89,2,FALSE)*$B33*(1+Contingency),0))</f>
        <v>0</v>
      </c>
      <c r="E33" s="94">
        <f>IF(Option1="No",0,IF($A33&lt;ImplementationYear,0,IF($A33&gt;(ImplementationYear+(Appraisal_Period-1)),0,('Project details'!$H$11-'Project details'!$D$11)*VLOOKUP(Year_cost_estimate,'Time-series parameters'!$B$11:$C$89,2,0))*$B33))</f>
        <v>0</v>
      </c>
      <c r="F33" s="94">
        <f>IF(Option1="No",0,IF($A33=ImplementationYear,('Project details'!$H$12-'Project details'!$D$12)*VLOOKUP(Year_cost_estimate,'Time-series parameters'!$B$11:$C$89,2,FALSE)*$B33,0))</f>
        <v>0</v>
      </c>
      <c r="G33" s="97">
        <f>IF(Option1="No",0,IF($A33&lt;ImplementationYear,0,IF($A33&gt;(ImplementationYear+(Appraisal_Period-1)),0,Health!$D$21*$B33)))</f>
        <v>0</v>
      </c>
      <c r="H33" s="97">
        <f>IF(Option1="No",0,IF($A33&lt;ImplementationYear,0,IF($A33&gt;(ImplementationYear+(Appraisal_Period-1)),0,Health!$D$22*$B33)))</f>
        <v>0</v>
      </c>
      <c r="I33" s="97">
        <f>IF(Option1="No",0,IF($A33&lt;ImplementationYear,0,IF($A33&gt;(ImplementationYear+(Appraisal_Period-1)),0,SUM('Travel time'!$D$22:$D$23)*$B33)))</f>
        <v>0</v>
      </c>
      <c r="J33" s="97">
        <f>IF(Option1="No",0,IF($A33&lt;ImplementationYear,0,IF($A33&gt;(ImplementationYear+(Appraisal_Period-1)),0,SUM('Travel time'!$D$20:$D$21)*$B33)))</f>
        <v>0</v>
      </c>
      <c r="K33" s="97">
        <f>IF(Option1="No",0,IF($A33&lt;ImplementationYear,0,IF($A33&gt;(ImplementationYear+(Appraisal_Period-1)),0,SUM(Quality!$D$22:$D$23)*$B33)))</f>
        <v>0</v>
      </c>
      <c r="L33" s="97">
        <f>IF(Option1="No",0,IF($A33&lt;ImplementationYear,0,IF($A33&gt;(ImplementationYear+(Appraisal_Period-1)),0,SUM(Quality!$D$20:$D$21)*$B33)))</f>
        <v>0</v>
      </c>
      <c r="M33" s="97">
        <f>IF(Option1="No",0,IF($A33&lt;ImplementationYear,0,IF($A33&gt;(ImplementationYear+(Appraisal_Period-1)),0,'Mode change'!$D$36*$B33)))</f>
        <v>0</v>
      </c>
      <c r="N33" s="97">
        <f>IF(Option1="No",0,IF($A33&lt;ImplementationYear,0,IF($A33&gt;(ImplementationYear+(Appraisal_Period-1)),0,'Mode change'!$D$37*$B33)))</f>
        <v>0</v>
      </c>
      <c r="O33" s="97">
        <f>IF(Option1="No",0,IF($A33&lt;ImplementationYear,0,IF($A33&gt;(ImplementationYear+(Appraisal_Period-1)),0,'Road safety'!$D$22*$B33)))</f>
        <v>0</v>
      </c>
      <c r="P33" s="97">
        <f>IF(Option1="No",0,IF($A33&lt;ImplementationYear,0,IF($A33&gt;(ImplementationYear+(Appraisal_Period-1)),0,'Reduction in car usage'!$D$46*$B33)))</f>
        <v>0</v>
      </c>
      <c r="Q33" s="97">
        <f>IF(Option1="No",0,IF($A33&lt;ImplementationYear,0,IF($A33&gt;(ImplementationYear+(Appraisal_Period-1)),0,'Reduction in car usage'!$D$47*$B33)))</f>
        <v>0</v>
      </c>
      <c r="R33" s="97">
        <f>IF(Option1="No",0,IF($A33&lt;ImplementationYear,0,IF($A33&gt;(ImplementationYear+(Appraisal_Period-1)),0,'Reduction in car usage'!$D$48*$B33)))</f>
        <v>0</v>
      </c>
      <c r="S33" s="92"/>
      <c r="T33" s="94">
        <f>IF(Option2="No",0,IF($A33=ImplementationYear,('Project details'!$L$10-'Project details'!$D$10)*VLOOKUP(Year_cost_estimate,'Time-series parameters'!$B$11:$C$89,2,FALSE)*$B33*(1+Contingency),0))</f>
        <v>0</v>
      </c>
      <c r="U33" s="94">
        <f>IF(Option2="No",0,IF($A33&lt;ImplementationYear,0,IF($A33&gt;(ImplementationYear+(Appraisal_Period-1)),0,('Project details'!$L$11-'Project details'!$D$11)*VLOOKUP(Year_cost_estimate,'Time-series parameters'!$B$11:$C$89,2,0))*$B33))</f>
        <v>0</v>
      </c>
      <c r="V33" s="94">
        <f>IF(Option2="No",0,IF($A33=ImplementationYear,('Project details'!$L$12-'Project details'!$D$12)*VLOOKUP(Year_cost_estimate,'Time-series parameters'!$B$11:$C$89,2,FALSE)*$B33,0))</f>
        <v>0</v>
      </c>
      <c r="W33" s="97">
        <f>IF(Option2="No",0,IF($A33&lt;ImplementationYear,0,IF($A33&gt;(ImplementationYear+(Appraisal_Period-1)),0,Health!$E$21*$B33)))</f>
        <v>0</v>
      </c>
      <c r="X33" s="97">
        <f>IF(Option2="No",0,IF($A33&lt;ImplementationYear,0,IF($A33&gt;(ImplementationYear+(Appraisal_Period-1)),0,Health!$E$22*$B33)))</f>
        <v>0</v>
      </c>
      <c r="Y33" s="97">
        <f>IF(Option2="No",0,IF($A33&lt;ImplementationYear,0,IF($A33&gt;(ImplementationYear+(Appraisal_Period-1)),0,SUM('Travel time'!$E$22:$E$23)*$B33)))</f>
        <v>0</v>
      </c>
      <c r="Z33" s="97">
        <f>IF(Option2="No",0,IF($A33&lt;ImplementationYear,0,IF($A33&gt;(ImplementationYear+(Appraisal_Period-1)),0,SUM('Travel time'!$E$20:$E$21)*$B33)))</f>
        <v>0</v>
      </c>
      <c r="AA33" s="97">
        <f>IF(Option2="No",0,IF($A33&lt;ImplementationYear,0,IF($A33&gt;(ImplementationYear+(Appraisal_Period-1)),0,SUM(Quality!$E$22:$E$23)*$B33)))</f>
        <v>0</v>
      </c>
      <c r="AB33" s="97">
        <f>IF(Option2="No",0,IF($A33&lt;ImplementationYear,0,IF($A33&gt;(ImplementationYear+(Appraisal_Period-1)),0,SUM(Quality!$E$20:$E$21)*$B33)))</f>
        <v>0</v>
      </c>
      <c r="AC33" s="97">
        <f>IF(Option2="No",0,IF($A33&lt;ImplementationYear,0,IF($A33&gt;(ImplementationYear+(Appraisal_Period-1)),0,'Mode change'!$E$36*$B33)))</f>
        <v>0</v>
      </c>
      <c r="AD33" s="97">
        <f>IF(Option2="No",0,IF($A33&lt;ImplementationYear,0,IF($A33&gt;(ImplementationYear+(Appraisal_Period-1)),0,'Mode change'!$E$37*$B33)))</f>
        <v>0</v>
      </c>
      <c r="AE33" s="97">
        <f>IF(Option2="No",0,IF($A33&lt;ImplementationYear,0,IF($A33&gt;(ImplementationYear+(Appraisal_Period-1)),0,'Road safety'!$E$22*$B33)))</f>
        <v>0</v>
      </c>
      <c r="AF33" s="97">
        <f>IF(Option2="No",0,IF($A33&lt;ImplementationYear,0,IF($A33&gt;(ImplementationYear+(Appraisal_Period-1)),0,'Reduction in car usage'!$E$46*$B33)))</f>
        <v>0</v>
      </c>
      <c r="AG33" s="97">
        <f>IF(Option2="No",0,IF($A33&lt;ImplementationYear,0,IF($A33&gt;(ImplementationYear+(Appraisal_Period-1)),0,'Reduction in car usage'!$E$47*$B33)))</f>
        <v>0</v>
      </c>
      <c r="AH33" s="97">
        <f>IF(Option2="No",0,IF($A33&lt;ImplementationYear,0,IF($A33&gt;(ImplementationYear+(Appraisal_Period-1)),0,'Reduction in car usage'!$E$48*$B33)))</f>
        <v>0</v>
      </c>
      <c r="AJ33" s="94">
        <f>IF(Option3="No",0,IF($A33=ImplementationYear,('Project details'!$P$10-'Project details'!$D$10)*VLOOKUP(Year_cost_estimate,'Time-series parameters'!$B$11:$C$89,2,FALSE)*$B33*(1+Contingency),0))</f>
        <v>0</v>
      </c>
      <c r="AK33" s="94">
        <f>IF(Option3="No",0,IF($A33&lt;ImplementationYear,0,IF($A33&gt;(ImplementationYear+(Appraisal_Period-1)),0,('Project details'!$P$11-'Project details'!$D$11)*VLOOKUP(Year_cost_estimate,'Time-series parameters'!$B$11:$C$89,2,0))*$B33))</f>
        <v>0</v>
      </c>
      <c r="AL33" s="94">
        <f>IF(Option3="No",0,IF($A33=ImplementationYear,('Project details'!$P$12-'Project details'!$D$12)*VLOOKUP(Year_cost_estimate,'Time-series parameters'!$B$11:$C$89,2,FALSE)*$B33,0))</f>
        <v>0</v>
      </c>
      <c r="AM33" s="97">
        <f>IF(Option3="No",0,IF($A33&lt;ImplementationYear,0,IF($A33&gt;(ImplementationYear+(Appraisal_Period-1)),0,Health!$F$21*$B33)))</f>
        <v>0</v>
      </c>
      <c r="AN33" s="97">
        <f>IF(Option3="No",0,IF($A33&lt;ImplementationYear,0,IF($A33&gt;(ImplementationYear+(Appraisal_Period-1)),0,Health!$F$22*$B33)))</f>
        <v>0</v>
      </c>
      <c r="AO33" s="97">
        <f>IF(Option3="No",0,IF($A33&lt;ImplementationYear,0,IF($A33&gt;(ImplementationYear+(Appraisal_Period-1)),0,SUM('Travel time'!$F$22:$F$23)*$B33)))</f>
        <v>0</v>
      </c>
      <c r="AP33" s="97">
        <f>IF(Option3="No",0,IF($A33&lt;ImplementationYear,0,IF($A33&gt;(ImplementationYear+(Appraisal_Period-1)),0,SUM('Travel time'!$F$20:$F$21)*$B33)))</f>
        <v>0</v>
      </c>
      <c r="AQ33" s="97">
        <f>IF(Option3="No",0,IF($A33&lt;ImplementationYear,0,IF($A33&gt;(ImplementationYear+(Appraisal_Period-1)),0,SUM(Quality!$F$22:$F$23)*$B33)))</f>
        <v>0</v>
      </c>
      <c r="AR33" s="97">
        <f>IF(Option3="No",0,IF($A33&lt;ImplementationYear,0,IF($A33&gt;(ImplementationYear+(Appraisal_Period-1)),0,SUM(Quality!$F$20:$F$21)*$B33)))</f>
        <v>0</v>
      </c>
      <c r="AS33" s="97">
        <f>IF(Option3="No",0,IF($A33&lt;ImplementationYear,0,IF($A33&gt;(ImplementationYear+(Appraisal_Period-1)),0,'Mode change'!$F$36*$B33)))</f>
        <v>0</v>
      </c>
      <c r="AT33" s="97">
        <f>IF(Option3="No",0,IF($A33&lt;ImplementationYear,0,IF($A33&gt;(ImplementationYear+(Appraisal_Period-1)),0,'Mode change'!$F$37*$B33)))</f>
        <v>0</v>
      </c>
      <c r="AU33" s="97">
        <f>IF(Option3="No",0,IF($A33&lt;ImplementationYear,0,IF($A33&gt;(ImplementationYear+(Appraisal_Period-1)),0,'Road safety'!$F$22*$B33)))</f>
        <v>0</v>
      </c>
      <c r="AV33" s="97">
        <f>IF(Option3="No",0,IF($A33&lt;ImplementationYear,0,IF($A33&gt;(ImplementationYear+(Appraisal_Period-1)),0,'Reduction in car usage'!$F$46*$B33)))</f>
        <v>0</v>
      </c>
      <c r="AW33" s="97">
        <f>IF(Option3="No",0,IF($A33&lt;ImplementationYear,0,IF($A33&gt;(ImplementationYear+(Appraisal_Period-1)),0,'Reduction in car usage'!$F$47*$B33)))</f>
        <v>0</v>
      </c>
      <c r="AX33" s="97">
        <f>IF(Option3="No",0,IF($A33&lt;ImplementationYear,0,IF($A33&gt;(ImplementationYear+(Appraisal_Period-1)),0,'Reduction in car usage'!$F$48*$B33)))</f>
        <v>0</v>
      </c>
    </row>
    <row r="34" spans="1:50">
      <c r="A34" s="335">
        <v>2029</v>
      </c>
      <c r="B34" s="62">
        <f>VLOOKUP($A34,'Time-series parameters'!$E$11:$H$89,4,FALSE)</f>
        <v>0.47960333537262129</v>
      </c>
      <c r="C34" s="89"/>
      <c r="D34" s="94">
        <f>IF(Option1="No",0,IF($A34=ImplementationYear,('Project details'!$H$10-'Project details'!$D$10)*VLOOKUP(Year_cost_estimate,'Time-series parameters'!$B$11:$C$89,2,FALSE)*$B34*(1+Contingency),0))</f>
        <v>0</v>
      </c>
      <c r="E34" s="94">
        <f>IF(Option1="No",0,IF($A34&lt;ImplementationYear,0,IF($A34&gt;(ImplementationYear+(Appraisal_Period-1)),0,('Project details'!$H$11-'Project details'!$D$11)*VLOOKUP(Year_cost_estimate,'Time-series parameters'!$B$11:$C$89,2,0))*$B34))</f>
        <v>0</v>
      </c>
      <c r="F34" s="94">
        <f>IF(Option1="No",0,IF($A34=ImplementationYear,('Project details'!$H$12-'Project details'!$D$12)*VLOOKUP(Year_cost_estimate,'Time-series parameters'!$B$11:$C$89,2,FALSE)*$B34,0))</f>
        <v>0</v>
      </c>
      <c r="G34" s="97">
        <f>IF(Option1="No",0,IF($A34&lt;ImplementationYear,0,IF($A34&gt;(ImplementationYear+(Appraisal_Period-1)),0,Health!$D$21*$B34)))</f>
        <v>0</v>
      </c>
      <c r="H34" s="97">
        <f>IF(Option1="No",0,IF($A34&lt;ImplementationYear,0,IF($A34&gt;(ImplementationYear+(Appraisal_Period-1)),0,Health!$D$22*$B34)))</f>
        <v>0</v>
      </c>
      <c r="I34" s="97">
        <f>IF(Option1="No",0,IF($A34&lt;ImplementationYear,0,IF($A34&gt;(ImplementationYear+(Appraisal_Period-1)),0,SUM('Travel time'!$D$22:$D$23)*$B34)))</f>
        <v>0</v>
      </c>
      <c r="J34" s="97">
        <f>IF(Option1="No",0,IF($A34&lt;ImplementationYear,0,IF($A34&gt;(ImplementationYear+(Appraisal_Period-1)),0,SUM('Travel time'!$D$20:$D$21)*$B34)))</f>
        <v>0</v>
      </c>
      <c r="K34" s="97">
        <f>IF(Option1="No",0,IF($A34&lt;ImplementationYear,0,IF($A34&gt;(ImplementationYear+(Appraisal_Period-1)),0,SUM(Quality!$D$22:$D$23)*$B34)))</f>
        <v>0</v>
      </c>
      <c r="L34" s="97">
        <f>IF(Option1="No",0,IF($A34&lt;ImplementationYear,0,IF($A34&gt;(ImplementationYear+(Appraisal_Period-1)),0,SUM(Quality!$D$20:$D$21)*$B34)))</f>
        <v>0</v>
      </c>
      <c r="M34" s="97">
        <f>IF(Option1="No",0,IF($A34&lt;ImplementationYear,0,IF($A34&gt;(ImplementationYear+(Appraisal_Period-1)),0,'Mode change'!$D$36*$B34)))</f>
        <v>0</v>
      </c>
      <c r="N34" s="97">
        <f>IF(Option1="No",0,IF($A34&lt;ImplementationYear,0,IF($A34&gt;(ImplementationYear+(Appraisal_Period-1)),0,'Mode change'!$D$37*$B34)))</f>
        <v>0</v>
      </c>
      <c r="O34" s="97">
        <f>IF(Option1="No",0,IF($A34&lt;ImplementationYear,0,IF($A34&gt;(ImplementationYear+(Appraisal_Period-1)),0,'Road safety'!$D$22*$B34)))</f>
        <v>0</v>
      </c>
      <c r="P34" s="97">
        <f>IF(Option1="No",0,IF($A34&lt;ImplementationYear,0,IF($A34&gt;(ImplementationYear+(Appraisal_Period-1)),0,'Reduction in car usage'!$D$46*$B34)))</f>
        <v>0</v>
      </c>
      <c r="Q34" s="97">
        <f>IF(Option1="No",0,IF($A34&lt;ImplementationYear,0,IF($A34&gt;(ImplementationYear+(Appraisal_Period-1)),0,'Reduction in car usage'!$D$47*$B34)))</f>
        <v>0</v>
      </c>
      <c r="R34" s="97">
        <f>IF(Option1="No",0,IF($A34&lt;ImplementationYear,0,IF($A34&gt;(ImplementationYear+(Appraisal_Period-1)),0,'Reduction in car usage'!$D$48*$B34)))</f>
        <v>0</v>
      </c>
      <c r="S34" s="92"/>
      <c r="T34" s="94">
        <f>IF(Option2="No",0,IF($A34=ImplementationYear,('Project details'!$L$10-'Project details'!$D$10)*VLOOKUP(Year_cost_estimate,'Time-series parameters'!$B$11:$C$89,2,FALSE)*$B34*(1+Contingency),0))</f>
        <v>0</v>
      </c>
      <c r="U34" s="94">
        <f>IF(Option2="No",0,IF($A34&lt;ImplementationYear,0,IF($A34&gt;(ImplementationYear+(Appraisal_Period-1)),0,('Project details'!$L$11-'Project details'!$D$11)*VLOOKUP(Year_cost_estimate,'Time-series parameters'!$B$11:$C$89,2,0))*$B34))</f>
        <v>0</v>
      </c>
      <c r="V34" s="94">
        <f>IF(Option2="No",0,IF($A34=ImplementationYear,('Project details'!$L$12-'Project details'!$D$12)*VLOOKUP(Year_cost_estimate,'Time-series parameters'!$B$11:$C$89,2,FALSE)*$B34,0))</f>
        <v>0</v>
      </c>
      <c r="W34" s="97">
        <f>IF(Option2="No",0,IF($A34&lt;ImplementationYear,0,IF($A34&gt;(ImplementationYear+(Appraisal_Period-1)),0,Health!$E$21*$B34)))</f>
        <v>0</v>
      </c>
      <c r="X34" s="97">
        <f>IF(Option2="No",0,IF($A34&lt;ImplementationYear,0,IF($A34&gt;(ImplementationYear+(Appraisal_Period-1)),0,Health!$E$22*$B34)))</f>
        <v>0</v>
      </c>
      <c r="Y34" s="97">
        <f>IF(Option2="No",0,IF($A34&lt;ImplementationYear,0,IF($A34&gt;(ImplementationYear+(Appraisal_Period-1)),0,SUM('Travel time'!$E$22:$E$23)*$B34)))</f>
        <v>0</v>
      </c>
      <c r="Z34" s="97">
        <f>IF(Option2="No",0,IF($A34&lt;ImplementationYear,0,IF($A34&gt;(ImplementationYear+(Appraisal_Period-1)),0,SUM('Travel time'!$E$20:$E$21)*$B34)))</f>
        <v>0</v>
      </c>
      <c r="AA34" s="97">
        <f>IF(Option2="No",0,IF($A34&lt;ImplementationYear,0,IF($A34&gt;(ImplementationYear+(Appraisal_Period-1)),0,SUM(Quality!$E$22:$E$23)*$B34)))</f>
        <v>0</v>
      </c>
      <c r="AB34" s="97">
        <f>IF(Option2="No",0,IF($A34&lt;ImplementationYear,0,IF($A34&gt;(ImplementationYear+(Appraisal_Period-1)),0,SUM(Quality!$E$20:$E$21)*$B34)))</f>
        <v>0</v>
      </c>
      <c r="AC34" s="97">
        <f>IF(Option2="No",0,IF($A34&lt;ImplementationYear,0,IF($A34&gt;(ImplementationYear+(Appraisal_Period-1)),0,'Mode change'!$E$36*$B34)))</f>
        <v>0</v>
      </c>
      <c r="AD34" s="97">
        <f>IF(Option2="No",0,IF($A34&lt;ImplementationYear,0,IF($A34&gt;(ImplementationYear+(Appraisal_Period-1)),0,'Mode change'!$E$37*$B34)))</f>
        <v>0</v>
      </c>
      <c r="AE34" s="97">
        <f>IF(Option2="No",0,IF($A34&lt;ImplementationYear,0,IF($A34&gt;(ImplementationYear+(Appraisal_Period-1)),0,'Road safety'!$E$22*$B34)))</f>
        <v>0</v>
      </c>
      <c r="AF34" s="97">
        <f>IF(Option2="No",0,IF($A34&lt;ImplementationYear,0,IF($A34&gt;(ImplementationYear+(Appraisal_Period-1)),0,'Reduction in car usage'!$E$46*$B34)))</f>
        <v>0</v>
      </c>
      <c r="AG34" s="97">
        <f>IF(Option2="No",0,IF($A34&lt;ImplementationYear,0,IF($A34&gt;(ImplementationYear+(Appraisal_Period-1)),0,'Reduction in car usage'!$E$47*$B34)))</f>
        <v>0</v>
      </c>
      <c r="AH34" s="97">
        <f>IF(Option2="No",0,IF($A34&lt;ImplementationYear,0,IF($A34&gt;(ImplementationYear+(Appraisal_Period-1)),0,'Reduction in car usage'!$E$48*$B34)))</f>
        <v>0</v>
      </c>
      <c r="AJ34" s="94">
        <f>IF(Option3="No",0,IF($A34=ImplementationYear,('Project details'!$P$10-'Project details'!$D$10)*VLOOKUP(Year_cost_estimate,'Time-series parameters'!$B$11:$C$89,2,FALSE)*$B34*(1+Contingency),0))</f>
        <v>0</v>
      </c>
      <c r="AK34" s="94">
        <f>IF(Option3="No",0,IF($A34&lt;ImplementationYear,0,IF($A34&gt;(ImplementationYear+(Appraisal_Period-1)),0,('Project details'!$P$11-'Project details'!$D$11)*VLOOKUP(Year_cost_estimate,'Time-series parameters'!$B$11:$C$89,2,0))*$B34))</f>
        <v>0</v>
      </c>
      <c r="AL34" s="94">
        <f>IF(Option3="No",0,IF($A34=ImplementationYear,('Project details'!$P$12-'Project details'!$D$12)*VLOOKUP(Year_cost_estimate,'Time-series parameters'!$B$11:$C$89,2,FALSE)*$B34,0))</f>
        <v>0</v>
      </c>
      <c r="AM34" s="97">
        <f>IF(Option3="No",0,IF($A34&lt;ImplementationYear,0,IF($A34&gt;(ImplementationYear+(Appraisal_Period-1)),0,Health!$F$21*$B34)))</f>
        <v>0</v>
      </c>
      <c r="AN34" s="97">
        <f>IF(Option3="No",0,IF($A34&lt;ImplementationYear,0,IF($A34&gt;(ImplementationYear+(Appraisal_Period-1)),0,Health!$F$22*$B34)))</f>
        <v>0</v>
      </c>
      <c r="AO34" s="97">
        <f>IF(Option3="No",0,IF($A34&lt;ImplementationYear,0,IF($A34&gt;(ImplementationYear+(Appraisal_Period-1)),0,SUM('Travel time'!$F$22:$F$23)*$B34)))</f>
        <v>0</v>
      </c>
      <c r="AP34" s="97">
        <f>IF(Option3="No",0,IF($A34&lt;ImplementationYear,0,IF($A34&gt;(ImplementationYear+(Appraisal_Period-1)),0,SUM('Travel time'!$F$20:$F$21)*$B34)))</f>
        <v>0</v>
      </c>
      <c r="AQ34" s="97">
        <f>IF(Option3="No",0,IF($A34&lt;ImplementationYear,0,IF($A34&gt;(ImplementationYear+(Appraisal_Period-1)),0,SUM(Quality!$F$22:$F$23)*$B34)))</f>
        <v>0</v>
      </c>
      <c r="AR34" s="97">
        <f>IF(Option3="No",0,IF($A34&lt;ImplementationYear,0,IF($A34&gt;(ImplementationYear+(Appraisal_Period-1)),0,SUM(Quality!$F$20:$F$21)*$B34)))</f>
        <v>0</v>
      </c>
      <c r="AS34" s="97">
        <f>IF(Option3="No",0,IF($A34&lt;ImplementationYear,0,IF($A34&gt;(ImplementationYear+(Appraisal_Period-1)),0,'Mode change'!$F$36*$B34)))</f>
        <v>0</v>
      </c>
      <c r="AT34" s="97">
        <f>IF(Option3="No",0,IF($A34&lt;ImplementationYear,0,IF($A34&gt;(ImplementationYear+(Appraisal_Period-1)),0,'Mode change'!$F$37*$B34)))</f>
        <v>0</v>
      </c>
      <c r="AU34" s="97">
        <f>IF(Option3="No",0,IF($A34&lt;ImplementationYear,0,IF($A34&gt;(ImplementationYear+(Appraisal_Period-1)),0,'Road safety'!$F$22*$B34)))</f>
        <v>0</v>
      </c>
      <c r="AV34" s="97">
        <f>IF(Option3="No",0,IF($A34&lt;ImplementationYear,0,IF($A34&gt;(ImplementationYear+(Appraisal_Period-1)),0,'Reduction in car usage'!$F$46*$B34)))</f>
        <v>0</v>
      </c>
      <c r="AW34" s="97">
        <f>IF(Option3="No",0,IF($A34&lt;ImplementationYear,0,IF($A34&gt;(ImplementationYear+(Appraisal_Period-1)),0,'Reduction in car usage'!$F$47*$B34)))</f>
        <v>0</v>
      </c>
      <c r="AX34" s="97">
        <f>IF(Option3="No",0,IF($A34&lt;ImplementationYear,0,IF($A34&gt;(ImplementationYear+(Appraisal_Period-1)),0,'Reduction in car usage'!$F$48*$B34)))</f>
        <v>0</v>
      </c>
    </row>
    <row r="35" spans="1:50">
      <c r="A35" s="335">
        <v>2030</v>
      </c>
      <c r="B35" s="62">
        <f>VLOOKUP($A35,'Time-series parameters'!$E$11:$H$89,4,FALSE)</f>
        <v>0.46041920195771646</v>
      </c>
      <c r="C35" s="89"/>
      <c r="D35" s="94">
        <f>IF(Option1="No",0,IF($A35=ImplementationYear,('Project details'!$H$10-'Project details'!$D$10)*VLOOKUP(Year_cost_estimate,'Time-series parameters'!$B$11:$C$89,2,FALSE)*$B35*(1+Contingency),0))</f>
        <v>0</v>
      </c>
      <c r="E35" s="94">
        <f>IF(Option1="No",0,IF($A35&lt;ImplementationYear,0,IF($A35&gt;(ImplementationYear+(Appraisal_Period-1)),0,('Project details'!$H$11-'Project details'!$D$11)*VLOOKUP(Year_cost_estimate,'Time-series parameters'!$B$11:$C$89,2,0))*$B35))</f>
        <v>0</v>
      </c>
      <c r="F35" s="94">
        <f>IF(Option1="No",0,IF($A35=ImplementationYear,('Project details'!$H$12-'Project details'!$D$12)*VLOOKUP(Year_cost_estimate,'Time-series parameters'!$B$11:$C$89,2,FALSE)*$B35,0))</f>
        <v>0</v>
      </c>
      <c r="G35" s="97">
        <f>IF(Option1="No",0,IF($A35&lt;ImplementationYear,0,IF($A35&gt;(ImplementationYear+(Appraisal_Period-1)),0,Health!$D$21*$B35)))</f>
        <v>0</v>
      </c>
      <c r="H35" s="97">
        <f>IF(Option1="No",0,IF($A35&lt;ImplementationYear,0,IF($A35&gt;(ImplementationYear+(Appraisal_Period-1)),0,Health!$D$22*$B35)))</f>
        <v>0</v>
      </c>
      <c r="I35" s="97">
        <f>IF(Option1="No",0,IF($A35&lt;ImplementationYear,0,IF($A35&gt;(ImplementationYear+(Appraisal_Period-1)),0,SUM('Travel time'!$D$22:$D$23)*$B35)))</f>
        <v>0</v>
      </c>
      <c r="J35" s="97">
        <f>IF(Option1="No",0,IF($A35&lt;ImplementationYear,0,IF($A35&gt;(ImplementationYear+(Appraisal_Period-1)),0,SUM('Travel time'!$D$20:$D$21)*$B35)))</f>
        <v>0</v>
      </c>
      <c r="K35" s="97">
        <f>IF(Option1="No",0,IF($A35&lt;ImplementationYear,0,IF($A35&gt;(ImplementationYear+(Appraisal_Period-1)),0,SUM(Quality!$D$22:$D$23)*$B35)))</f>
        <v>0</v>
      </c>
      <c r="L35" s="97">
        <f>IF(Option1="No",0,IF($A35&lt;ImplementationYear,0,IF($A35&gt;(ImplementationYear+(Appraisal_Period-1)),0,SUM(Quality!$D$20:$D$21)*$B35)))</f>
        <v>0</v>
      </c>
      <c r="M35" s="97">
        <f>IF(Option1="No",0,IF($A35&lt;ImplementationYear,0,IF($A35&gt;(ImplementationYear+(Appraisal_Period-1)),0,'Mode change'!$D$36*$B35)))</f>
        <v>0</v>
      </c>
      <c r="N35" s="97">
        <f>IF(Option1="No",0,IF($A35&lt;ImplementationYear,0,IF($A35&gt;(ImplementationYear+(Appraisal_Period-1)),0,'Mode change'!$D$37*$B35)))</f>
        <v>0</v>
      </c>
      <c r="O35" s="97">
        <f>IF(Option1="No",0,IF($A35&lt;ImplementationYear,0,IF($A35&gt;(ImplementationYear+(Appraisal_Period-1)),0,'Road safety'!$D$22*$B35)))</f>
        <v>0</v>
      </c>
      <c r="P35" s="97">
        <f>IF(Option1="No",0,IF($A35&lt;ImplementationYear,0,IF($A35&gt;(ImplementationYear+(Appraisal_Period-1)),0,'Reduction in car usage'!$D$46*$B35)))</f>
        <v>0</v>
      </c>
      <c r="Q35" s="97">
        <f>IF(Option1="No",0,IF($A35&lt;ImplementationYear,0,IF($A35&gt;(ImplementationYear+(Appraisal_Period-1)),0,'Reduction in car usage'!$D$47*$B35)))</f>
        <v>0</v>
      </c>
      <c r="R35" s="97">
        <f>IF(Option1="No",0,IF($A35&lt;ImplementationYear,0,IF($A35&gt;(ImplementationYear+(Appraisal_Period-1)),0,'Reduction in car usage'!$D$48*$B35)))</f>
        <v>0</v>
      </c>
      <c r="S35" s="92"/>
      <c r="T35" s="94">
        <f>IF(Option2="No",0,IF($A35=ImplementationYear,('Project details'!$L$10-'Project details'!$D$10)*VLOOKUP(Year_cost_estimate,'Time-series parameters'!$B$11:$C$89,2,FALSE)*$B35*(1+Contingency),0))</f>
        <v>0</v>
      </c>
      <c r="U35" s="94">
        <f>IF(Option2="No",0,IF($A35&lt;ImplementationYear,0,IF($A35&gt;(ImplementationYear+(Appraisal_Period-1)),0,('Project details'!$L$11-'Project details'!$D$11)*VLOOKUP(Year_cost_estimate,'Time-series parameters'!$B$11:$C$89,2,0))*$B35))</f>
        <v>0</v>
      </c>
      <c r="V35" s="94">
        <f>IF(Option2="No",0,IF($A35=ImplementationYear,('Project details'!$L$12-'Project details'!$D$12)*VLOOKUP(Year_cost_estimate,'Time-series parameters'!$B$11:$C$89,2,FALSE)*$B35,0))</f>
        <v>0</v>
      </c>
      <c r="W35" s="97">
        <f>IF(Option2="No",0,IF($A35&lt;ImplementationYear,0,IF($A35&gt;(ImplementationYear+(Appraisal_Period-1)),0,Health!$E$21*$B35)))</f>
        <v>0</v>
      </c>
      <c r="X35" s="97">
        <f>IF(Option2="No",0,IF($A35&lt;ImplementationYear,0,IF($A35&gt;(ImplementationYear+(Appraisal_Period-1)),0,Health!$E$22*$B35)))</f>
        <v>0</v>
      </c>
      <c r="Y35" s="97">
        <f>IF(Option2="No",0,IF($A35&lt;ImplementationYear,0,IF($A35&gt;(ImplementationYear+(Appraisal_Period-1)),0,SUM('Travel time'!$E$22:$E$23)*$B35)))</f>
        <v>0</v>
      </c>
      <c r="Z35" s="97">
        <f>IF(Option2="No",0,IF($A35&lt;ImplementationYear,0,IF($A35&gt;(ImplementationYear+(Appraisal_Period-1)),0,SUM('Travel time'!$E$20:$E$21)*$B35)))</f>
        <v>0</v>
      </c>
      <c r="AA35" s="97">
        <f>IF(Option2="No",0,IF($A35&lt;ImplementationYear,0,IF($A35&gt;(ImplementationYear+(Appraisal_Period-1)),0,SUM(Quality!$E$22:$E$23)*$B35)))</f>
        <v>0</v>
      </c>
      <c r="AB35" s="97">
        <f>IF(Option2="No",0,IF($A35&lt;ImplementationYear,0,IF($A35&gt;(ImplementationYear+(Appraisal_Period-1)),0,SUM(Quality!$E$20:$E$21)*$B35)))</f>
        <v>0</v>
      </c>
      <c r="AC35" s="97">
        <f>IF(Option2="No",0,IF($A35&lt;ImplementationYear,0,IF($A35&gt;(ImplementationYear+(Appraisal_Period-1)),0,'Mode change'!$E$36*$B35)))</f>
        <v>0</v>
      </c>
      <c r="AD35" s="97">
        <f>IF(Option2="No",0,IF($A35&lt;ImplementationYear,0,IF($A35&gt;(ImplementationYear+(Appraisal_Period-1)),0,'Mode change'!$E$37*$B35)))</f>
        <v>0</v>
      </c>
      <c r="AE35" s="97">
        <f>IF(Option2="No",0,IF($A35&lt;ImplementationYear,0,IF($A35&gt;(ImplementationYear+(Appraisal_Period-1)),0,'Road safety'!$E$22*$B35)))</f>
        <v>0</v>
      </c>
      <c r="AF35" s="97">
        <f>IF(Option2="No",0,IF($A35&lt;ImplementationYear,0,IF($A35&gt;(ImplementationYear+(Appraisal_Period-1)),0,'Reduction in car usage'!$E$46*$B35)))</f>
        <v>0</v>
      </c>
      <c r="AG35" s="97">
        <f>IF(Option2="No",0,IF($A35&lt;ImplementationYear,0,IF($A35&gt;(ImplementationYear+(Appraisal_Period-1)),0,'Reduction in car usage'!$E$47*$B35)))</f>
        <v>0</v>
      </c>
      <c r="AH35" s="97">
        <f>IF(Option2="No",0,IF($A35&lt;ImplementationYear,0,IF($A35&gt;(ImplementationYear+(Appraisal_Period-1)),0,'Reduction in car usage'!$E$48*$B35)))</f>
        <v>0</v>
      </c>
      <c r="AJ35" s="94">
        <f>IF(Option3="No",0,IF($A35=ImplementationYear,('Project details'!$P$10-'Project details'!$D$10)*VLOOKUP(Year_cost_estimate,'Time-series parameters'!$B$11:$C$89,2,FALSE)*$B35*(1+Contingency),0))</f>
        <v>0</v>
      </c>
      <c r="AK35" s="94">
        <f>IF(Option3="No",0,IF($A35&lt;ImplementationYear,0,IF($A35&gt;(ImplementationYear+(Appraisal_Period-1)),0,('Project details'!$P$11-'Project details'!$D$11)*VLOOKUP(Year_cost_estimate,'Time-series parameters'!$B$11:$C$89,2,0))*$B35))</f>
        <v>0</v>
      </c>
      <c r="AL35" s="94">
        <f>IF(Option3="No",0,IF($A35=ImplementationYear,('Project details'!$P$12-'Project details'!$D$12)*VLOOKUP(Year_cost_estimate,'Time-series parameters'!$B$11:$C$89,2,FALSE)*$B35,0))</f>
        <v>0</v>
      </c>
      <c r="AM35" s="97">
        <f>IF(Option3="No",0,IF($A35&lt;ImplementationYear,0,IF($A35&gt;(ImplementationYear+(Appraisal_Period-1)),0,Health!$F$21*$B35)))</f>
        <v>0</v>
      </c>
      <c r="AN35" s="97">
        <f>IF(Option3="No",0,IF($A35&lt;ImplementationYear,0,IF($A35&gt;(ImplementationYear+(Appraisal_Period-1)),0,Health!$F$22*$B35)))</f>
        <v>0</v>
      </c>
      <c r="AO35" s="97">
        <f>IF(Option3="No",0,IF($A35&lt;ImplementationYear,0,IF($A35&gt;(ImplementationYear+(Appraisal_Period-1)),0,SUM('Travel time'!$F$22:$F$23)*$B35)))</f>
        <v>0</v>
      </c>
      <c r="AP35" s="97">
        <f>IF(Option3="No",0,IF($A35&lt;ImplementationYear,0,IF($A35&gt;(ImplementationYear+(Appraisal_Period-1)),0,SUM('Travel time'!$F$20:$F$21)*$B35)))</f>
        <v>0</v>
      </c>
      <c r="AQ35" s="97">
        <f>IF(Option3="No",0,IF($A35&lt;ImplementationYear,0,IF($A35&gt;(ImplementationYear+(Appraisal_Period-1)),0,SUM(Quality!$F$22:$F$23)*$B35)))</f>
        <v>0</v>
      </c>
      <c r="AR35" s="97">
        <f>IF(Option3="No",0,IF($A35&lt;ImplementationYear,0,IF($A35&gt;(ImplementationYear+(Appraisal_Period-1)),0,SUM(Quality!$F$20:$F$21)*$B35)))</f>
        <v>0</v>
      </c>
      <c r="AS35" s="97">
        <f>IF(Option3="No",0,IF($A35&lt;ImplementationYear,0,IF($A35&gt;(ImplementationYear+(Appraisal_Period-1)),0,'Mode change'!$F$36*$B35)))</f>
        <v>0</v>
      </c>
      <c r="AT35" s="97">
        <f>IF(Option3="No",0,IF($A35&lt;ImplementationYear,0,IF($A35&gt;(ImplementationYear+(Appraisal_Period-1)),0,'Mode change'!$F$37*$B35)))</f>
        <v>0</v>
      </c>
      <c r="AU35" s="97">
        <f>IF(Option3="No",0,IF($A35&lt;ImplementationYear,0,IF($A35&gt;(ImplementationYear+(Appraisal_Period-1)),0,'Road safety'!$F$22*$B35)))</f>
        <v>0</v>
      </c>
      <c r="AV35" s="97">
        <f>IF(Option3="No",0,IF($A35&lt;ImplementationYear,0,IF($A35&gt;(ImplementationYear+(Appraisal_Period-1)),0,'Reduction in car usage'!$F$46*$B35)))</f>
        <v>0</v>
      </c>
      <c r="AW35" s="97">
        <f>IF(Option3="No",0,IF($A35&lt;ImplementationYear,0,IF($A35&gt;(ImplementationYear+(Appraisal_Period-1)),0,'Reduction in car usage'!$F$47*$B35)))</f>
        <v>0</v>
      </c>
      <c r="AX35" s="97">
        <f>IF(Option3="No",0,IF($A35&lt;ImplementationYear,0,IF($A35&gt;(ImplementationYear+(Appraisal_Period-1)),0,'Reduction in car usage'!$F$48*$B35)))</f>
        <v>0</v>
      </c>
    </row>
    <row r="36" spans="1:50">
      <c r="A36" s="335">
        <v>2031</v>
      </c>
      <c r="B36" s="62">
        <f>VLOOKUP($A36,'Time-series parameters'!$E$11:$H$89,4,FALSE)</f>
        <v>0.4420024338794078</v>
      </c>
      <c r="C36" s="89"/>
      <c r="D36" s="94">
        <f>IF(Option1="No",0,IF($A36=ImplementationYear,('Project details'!$H$10-'Project details'!$D$10)*VLOOKUP(Year_cost_estimate,'Time-series parameters'!$B$11:$C$89,2,FALSE)*$B36*(1+Contingency),0))</f>
        <v>0</v>
      </c>
      <c r="E36" s="94">
        <f>IF(Option1="No",0,IF($A36&lt;ImplementationYear,0,IF($A36&gt;(ImplementationYear+(Appraisal_Period-1)),0,('Project details'!$H$11-'Project details'!$D$11)*VLOOKUP(Year_cost_estimate,'Time-series parameters'!$B$11:$C$89,2,0))*$B36))</f>
        <v>0</v>
      </c>
      <c r="F36" s="94">
        <f>IF(Option1="No",0,IF($A36=ImplementationYear,('Project details'!$H$12-'Project details'!$D$12)*VLOOKUP(Year_cost_estimate,'Time-series parameters'!$B$11:$C$89,2,FALSE)*$B36,0))</f>
        <v>0</v>
      </c>
      <c r="G36" s="97">
        <f>IF(Option1="No",0,IF($A36&lt;ImplementationYear,0,IF($A36&gt;(ImplementationYear+(Appraisal_Period-1)),0,Health!$D$21*$B36)))</f>
        <v>0</v>
      </c>
      <c r="H36" s="97">
        <f>IF(Option1="No",0,IF($A36&lt;ImplementationYear,0,IF($A36&gt;(ImplementationYear+(Appraisal_Period-1)),0,Health!$D$22*$B36)))</f>
        <v>0</v>
      </c>
      <c r="I36" s="97">
        <f>IF(Option1="No",0,IF($A36&lt;ImplementationYear,0,IF($A36&gt;(ImplementationYear+(Appraisal_Period-1)),0,SUM('Travel time'!$D$22:$D$23)*$B36)))</f>
        <v>0</v>
      </c>
      <c r="J36" s="97">
        <f>IF(Option1="No",0,IF($A36&lt;ImplementationYear,0,IF($A36&gt;(ImplementationYear+(Appraisal_Period-1)),0,SUM('Travel time'!$D$20:$D$21)*$B36)))</f>
        <v>0</v>
      </c>
      <c r="K36" s="97">
        <f>IF(Option1="No",0,IF($A36&lt;ImplementationYear,0,IF($A36&gt;(ImplementationYear+(Appraisal_Period-1)),0,SUM(Quality!$D$22:$D$23)*$B36)))</f>
        <v>0</v>
      </c>
      <c r="L36" s="97">
        <f>IF(Option1="No",0,IF($A36&lt;ImplementationYear,0,IF($A36&gt;(ImplementationYear+(Appraisal_Period-1)),0,SUM(Quality!$D$20:$D$21)*$B36)))</f>
        <v>0</v>
      </c>
      <c r="M36" s="97">
        <f>IF(Option1="No",0,IF($A36&lt;ImplementationYear,0,IF($A36&gt;(ImplementationYear+(Appraisal_Period-1)),0,'Mode change'!$D$36*$B36)))</f>
        <v>0</v>
      </c>
      <c r="N36" s="97">
        <f>IF(Option1="No",0,IF($A36&lt;ImplementationYear,0,IF($A36&gt;(ImplementationYear+(Appraisal_Period-1)),0,'Mode change'!$D$37*$B36)))</f>
        <v>0</v>
      </c>
      <c r="O36" s="97">
        <f>IF(Option1="No",0,IF($A36&lt;ImplementationYear,0,IF($A36&gt;(ImplementationYear+(Appraisal_Period-1)),0,'Road safety'!$D$22*$B36)))</f>
        <v>0</v>
      </c>
      <c r="P36" s="97">
        <f>IF(Option1="No",0,IF($A36&lt;ImplementationYear,0,IF($A36&gt;(ImplementationYear+(Appraisal_Period-1)),0,'Reduction in car usage'!$D$46*$B36)))</f>
        <v>0</v>
      </c>
      <c r="Q36" s="97">
        <f>IF(Option1="No",0,IF($A36&lt;ImplementationYear,0,IF($A36&gt;(ImplementationYear+(Appraisal_Period-1)),0,'Reduction in car usage'!$D$47*$B36)))</f>
        <v>0</v>
      </c>
      <c r="R36" s="97">
        <f>IF(Option1="No",0,IF($A36&lt;ImplementationYear,0,IF($A36&gt;(ImplementationYear+(Appraisal_Period-1)),0,'Reduction in car usage'!$D$48*$B36)))</f>
        <v>0</v>
      </c>
      <c r="S36" s="92"/>
      <c r="T36" s="94">
        <f>IF(Option2="No",0,IF($A36=ImplementationYear,('Project details'!$L$10-'Project details'!$D$10)*VLOOKUP(Year_cost_estimate,'Time-series parameters'!$B$11:$C$89,2,FALSE)*$B36*(1+Contingency),0))</f>
        <v>0</v>
      </c>
      <c r="U36" s="94">
        <f>IF(Option2="No",0,IF($A36&lt;ImplementationYear,0,IF($A36&gt;(ImplementationYear+(Appraisal_Period-1)),0,('Project details'!$L$11-'Project details'!$D$11)*VLOOKUP(Year_cost_estimate,'Time-series parameters'!$B$11:$C$89,2,0))*$B36))</f>
        <v>0</v>
      </c>
      <c r="V36" s="94">
        <f>IF(Option2="No",0,IF($A36=ImplementationYear,('Project details'!$L$12-'Project details'!$D$12)*VLOOKUP(Year_cost_estimate,'Time-series parameters'!$B$11:$C$89,2,FALSE)*$B36,0))</f>
        <v>0</v>
      </c>
      <c r="W36" s="97">
        <f>IF(Option2="No",0,IF($A36&lt;ImplementationYear,0,IF($A36&gt;(ImplementationYear+(Appraisal_Period-1)),0,Health!$E$21*$B36)))</f>
        <v>0</v>
      </c>
      <c r="X36" s="97">
        <f>IF(Option2="No",0,IF($A36&lt;ImplementationYear,0,IF($A36&gt;(ImplementationYear+(Appraisal_Period-1)),0,Health!$E$22*$B36)))</f>
        <v>0</v>
      </c>
      <c r="Y36" s="97">
        <f>IF(Option2="No",0,IF($A36&lt;ImplementationYear,0,IF($A36&gt;(ImplementationYear+(Appraisal_Period-1)),0,SUM('Travel time'!$E$22:$E$23)*$B36)))</f>
        <v>0</v>
      </c>
      <c r="Z36" s="97">
        <f>IF(Option2="No",0,IF($A36&lt;ImplementationYear,0,IF($A36&gt;(ImplementationYear+(Appraisal_Period-1)),0,SUM('Travel time'!$E$20:$E$21)*$B36)))</f>
        <v>0</v>
      </c>
      <c r="AA36" s="97">
        <f>IF(Option2="No",0,IF($A36&lt;ImplementationYear,0,IF($A36&gt;(ImplementationYear+(Appraisal_Period-1)),0,SUM(Quality!$E$22:$E$23)*$B36)))</f>
        <v>0</v>
      </c>
      <c r="AB36" s="97">
        <f>IF(Option2="No",0,IF($A36&lt;ImplementationYear,0,IF($A36&gt;(ImplementationYear+(Appraisal_Period-1)),0,SUM(Quality!$E$20:$E$21)*$B36)))</f>
        <v>0</v>
      </c>
      <c r="AC36" s="97">
        <f>IF(Option2="No",0,IF($A36&lt;ImplementationYear,0,IF($A36&gt;(ImplementationYear+(Appraisal_Period-1)),0,'Mode change'!$E$36*$B36)))</f>
        <v>0</v>
      </c>
      <c r="AD36" s="97">
        <f>IF(Option2="No",0,IF($A36&lt;ImplementationYear,0,IF($A36&gt;(ImplementationYear+(Appraisal_Period-1)),0,'Mode change'!$E$37*$B36)))</f>
        <v>0</v>
      </c>
      <c r="AE36" s="97">
        <f>IF(Option2="No",0,IF($A36&lt;ImplementationYear,0,IF($A36&gt;(ImplementationYear+(Appraisal_Period-1)),0,'Road safety'!$E$22*$B36)))</f>
        <v>0</v>
      </c>
      <c r="AF36" s="97">
        <f>IF(Option2="No",0,IF($A36&lt;ImplementationYear,0,IF($A36&gt;(ImplementationYear+(Appraisal_Period-1)),0,'Reduction in car usage'!$E$46*$B36)))</f>
        <v>0</v>
      </c>
      <c r="AG36" s="97">
        <f>IF(Option2="No",0,IF($A36&lt;ImplementationYear,0,IF($A36&gt;(ImplementationYear+(Appraisal_Period-1)),0,'Reduction in car usage'!$E$47*$B36)))</f>
        <v>0</v>
      </c>
      <c r="AH36" s="97">
        <f>IF(Option2="No",0,IF($A36&lt;ImplementationYear,0,IF($A36&gt;(ImplementationYear+(Appraisal_Period-1)),0,'Reduction in car usage'!$E$48*$B36)))</f>
        <v>0</v>
      </c>
      <c r="AJ36" s="94">
        <f>IF(Option3="No",0,IF($A36=ImplementationYear,('Project details'!$P$10-'Project details'!$D$10)*VLOOKUP(Year_cost_estimate,'Time-series parameters'!$B$11:$C$89,2,FALSE)*$B36*(1+Contingency),0))</f>
        <v>0</v>
      </c>
      <c r="AK36" s="94">
        <f>IF(Option3="No",0,IF($A36&lt;ImplementationYear,0,IF($A36&gt;(ImplementationYear+(Appraisal_Period-1)),0,('Project details'!$P$11-'Project details'!$D$11)*VLOOKUP(Year_cost_estimate,'Time-series parameters'!$B$11:$C$89,2,0))*$B36))</f>
        <v>0</v>
      </c>
      <c r="AL36" s="94">
        <f>IF(Option3="No",0,IF($A36=ImplementationYear,('Project details'!$P$12-'Project details'!$D$12)*VLOOKUP(Year_cost_estimate,'Time-series parameters'!$B$11:$C$89,2,FALSE)*$B36,0))</f>
        <v>0</v>
      </c>
      <c r="AM36" s="97">
        <f>IF(Option3="No",0,IF($A36&lt;ImplementationYear,0,IF($A36&gt;(ImplementationYear+(Appraisal_Period-1)),0,Health!$F$21*$B36)))</f>
        <v>0</v>
      </c>
      <c r="AN36" s="97">
        <f>IF(Option3="No",0,IF($A36&lt;ImplementationYear,0,IF($A36&gt;(ImplementationYear+(Appraisal_Period-1)),0,Health!$F$22*$B36)))</f>
        <v>0</v>
      </c>
      <c r="AO36" s="97">
        <f>IF(Option3="No",0,IF($A36&lt;ImplementationYear,0,IF($A36&gt;(ImplementationYear+(Appraisal_Period-1)),0,SUM('Travel time'!$F$22:$F$23)*$B36)))</f>
        <v>0</v>
      </c>
      <c r="AP36" s="97">
        <f>IF(Option3="No",0,IF($A36&lt;ImplementationYear,0,IF($A36&gt;(ImplementationYear+(Appraisal_Period-1)),0,SUM('Travel time'!$F$20:$F$21)*$B36)))</f>
        <v>0</v>
      </c>
      <c r="AQ36" s="97">
        <f>IF(Option3="No",0,IF($A36&lt;ImplementationYear,0,IF($A36&gt;(ImplementationYear+(Appraisal_Period-1)),0,SUM(Quality!$F$22:$F$23)*$B36)))</f>
        <v>0</v>
      </c>
      <c r="AR36" s="97">
        <f>IF(Option3="No",0,IF($A36&lt;ImplementationYear,0,IF($A36&gt;(ImplementationYear+(Appraisal_Period-1)),0,SUM(Quality!$F$20:$F$21)*$B36)))</f>
        <v>0</v>
      </c>
      <c r="AS36" s="97">
        <f>IF(Option3="No",0,IF($A36&lt;ImplementationYear,0,IF($A36&gt;(ImplementationYear+(Appraisal_Period-1)),0,'Mode change'!$F$36*$B36)))</f>
        <v>0</v>
      </c>
      <c r="AT36" s="97">
        <f>IF(Option3="No",0,IF($A36&lt;ImplementationYear,0,IF($A36&gt;(ImplementationYear+(Appraisal_Period-1)),0,'Mode change'!$F$37*$B36)))</f>
        <v>0</v>
      </c>
      <c r="AU36" s="97">
        <f>IF(Option3="No",0,IF($A36&lt;ImplementationYear,0,IF($A36&gt;(ImplementationYear+(Appraisal_Period-1)),0,'Road safety'!$F$22*$B36)))</f>
        <v>0</v>
      </c>
      <c r="AV36" s="97">
        <f>IF(Option3="No",0,IF($A36&lt;ImplementationYear,0,IF($A36&gt;(ImplementationYear+(Appraisal_Period-1)),0,'Reduction in car usage'!$F$46*$B36)))</f>
        <v>0</v>
      </c>
      <c r="AW36" s="97">
        <f>IF(Option3="No",0,IF($A36&lt;ImplementationYear,0,IF($A36&gt;(ImplementationYear+(Appraisal_Period-1)),0,'Reduction in car usage'!$F$47*$B36)))</f>
        <v>0</v>
      </c>
      <c r="AX36" s="97">
        <f>IF(Option3="No",0,IF($A36&lt;ImplementationYear,0,IF($A36&gt;(ImplementationYear+(Appraisal_Period-1)),0,'Reduction in car usage'!$F$48*$B36)))</f>
        <v>0</v>
      </c>
    </row>
    <row r="37" spans="1:50">
      <c r="A37" s="335">
        <v>2032</v>
      </c>
      <c r="B37" s="62">
        <f>VLOOKUP($A37,'Time-series parameters'!$E$11:$H$89,4,FALSE)</f>
        <v>0.42432233652423146</v>
      </c>
      <c r="C37" s="89"/>
      <c r="D37" s="94">
        <f>IF(Option1="No",0,IF($A37=ImplementationYear,('Project details'!$H$10-'Project details'!$D$10)*VLOOKUP(Year_cost_estimate,'Time-series parameters'!$B$11:$C$89,2,FALSE)*$B37*(1+Contingency),0))</f>
        <v>0</v>
      </c>
      <c r="E37" s="94">
        <f>IF(Option1="No",0,IF($A37&lt;ImplementationYear,0,IF($A37&gt;(ImplementationYear+(Appraisal_Period-1)),0,('Project details'!$H$11-'Project details'!$D$11)*VLOOKUP(Year_cost_estimate,'Time-series parameters'!$B$11:$C$89,2,0))*$B37))</f>
        <v>0</v>
      </c>
      <c r="F37" s="94">
        <f>IF(Option1="No",0,IF($A37=ImplementationYear,('Project details'!$H$12-'Project details'!$D$12)*VLOOKUP(Year_cost_estimate,'Time-series parameters'!$B$11:$C$89,2,FALSE)*$B37,0))</f>
        <v>0</v>
      </c>
      <c r="G37" s="97">
        <f>IF(Option1="No",0,IF($A37&lt;ImplementationYear,0,IF($A37&gt;(ImplementationYear+(Appraisal_Period-1)),0,Health!$D$21*$B37)))</f>
        <v>0</v>
      </c>
      <c r="H37" s="97">
        <f>IF(Option1="No",0,IF($A37&lt;ImplementationYear,0,IF($A37&gt;(ImplementationYear+(Appraisal_Period-1)),0,Health!$D$22*$B37)))</f>
        <v>0</v>
      </c>
      <c r="I37" s="97">
        <f>IF(Option1="No",0,IF($A37&lt;ImplementationYear,0,IF($A37&gt;(ImplementationYear+(Appraisal_Period-1)),0,SUM('Travel time'!$D$22:$D$23)*$B37)))</f>
        <v>0</v>
      </c>
      <c r="J37" s="97">
        <f>IF(Option1="No",0,IF($A37&lt;ImplementationYear,0,IF($A37&gt;(ImplementationYear+(Appraisal_Period-1)),0,SUM('Travel time'!$D$20:$D$21)*$B37)))</f>
        <v>0</v>
      </c>
      <c r="K37" s="97">
        <f>IF(Option1="No",0,IF($A37&lt;ImplementationYear,0,IF($A37&gt;(ImplementationYear+(Appraisal_Period-1)),0,SUM(Quality!$D$22:$D$23)*$B37)))</f>
        <v>0</v>
      </c>
      <c r="L37" s="97">
        <f>IF(Option1="No",0,IF($A37&lt;ImplementationYear,0,IF($A37&gt;(ImplementationYear+(Appraisal_Period-1)),0,SUM(Quality!$D$20:$D$21)*$B37)))</f>
        <v>0</v>
      </c>
      <c r="M37" s="97">
        <f>IF(Option1="No",0,IF($A37&lt;ImplementationYear,0,IF($A37&gt;(ImplementationYear+(Appraisal_Period-1)),0,'Mode change'!$D$36*$B37)))</f>
        <v>0</v>
      </c>
      <c r="N37" s="97">
        <f>IF(Option1="No",0,IF($A37&lt;ImplementationYear,0,IF($A37&gt;(ImplementationYear+(Appraisal_Period-1)),0,'Mode change'!$D$37*$B37)))</f>
        <v>0</v>
      </c>
      <c r="O37" s="97">
        <f>IF(Option1="No",0,IF($A37&lt;ImplementationYear,0,IF($A37&gt;(ImplementationYear+(Appraisal_Period-1)),0,'Road safety'!$D$22*$B37)))</f>
        <v>0</v>
      </c>
      <c r="P37" s="97">
        <f>IF(Option1="No",0,IF($A37&lt;ImplementationYear,0,IF($A37&gt;(ImplementationYear+(Appraisal_Period-1)),0,'Reduction in car usage'!$D$46*$B37)))</f>
        <v>0</v>
      </c>
      <c r="Q37" s="97">
        <f>IF(Option1="No",0,IF($A37&lt;ImplementationYear,0,IF($A37&gt;(ImplementationYear+(Appraisal_Period-1)),0,'Reduction in car usage'!$D$47*$B37)))</f>
        <v>0</v>
      </c>
      <c r="R37" s="97">
        <f>IF(Option1="No",0,IF($A37&lt;ImplementationYear,0,IF($A37&gt;(ImplementationYear+(Appraisal_Period-1)),0,'Reduction in car usage'!$D$48*$B37)))</f>
        <v>0</v>
      </c>
      <c r="S37" s="92"/>
      <c r="T37" s="94">
        <f>IF(Option2="No",0,IF($A37=ImplementationYear,('Project details'!$L$10-'Project details'!$D$10)*VLOOKUP(Year_cost_estimate,'Time-series parameters'!$B$11:$C$89,2,FALSE)*$B37*(1+Contingency),0))</f>
        <v>0</v>
      </c>
      <c r="U37" s="94">
        <f>IF(Option2="No",0,IF($A37&lt;ImplementationYear,0,IF($A37&gt;(ImplementationYear+(Appraisal_Period-1)),0,('Project details'!$L$11-'Project details'!$D$11)*VLOOKUP(Year_cost_estimate,'Time-series parameters'!$B$11:$C$89,2,0))*$B37))</f>
        <v>0</v>
      </c>
      <c r="V37" s="94">
        <f>IF(Option2="No",0,IF($A37=ImplementationYear,('Project details'!$L$12-'Project details'!$D$12)*VLOOKUP(Year_cost_estimate,'Time-series parameters'!$B$11:$C$89,2,FALSE)*$B37,0))</f>
        <v>0</v>
      </c>
      <c r="W37" s="97">
        <f>IF(Option2="No",0,IF($A37&lt;ImplementationYear,0,IF($A37&gt;(ImplementationYear+(Appraisal_Period-1)),0,Health!$E$21*$B37)))</f>
        <v>0</v>
      </c>
      <c r="X37" s="97">
        <f>IF(Option2="No",0,IF($A37&lt;ImplementationYear,0,IF($A37&gt;(ImplementationYear+(Appraisal_Period-1)),0,Health!$E$22*$B37)))</f>
        <v>0</v>
      </c>
      <c r="Y37" s="97">
        <f>IF(Option2="No",0,IF($A37&lt;ImplementationYear,0,IF($A37&gt;(ImplementationYear+(Appraisal_Period-1)),0,SUM('Travel time'!$E$22:$E$23)*$B37)))</f>
        <v>0</v>
      </c>
      <c r="Z37" s="97">
        <f>IF(Option2="No",0,IF($A37&lt;ImplementationYear,0,IF($A37&gt;(ImplementationYear+(Appraisal_Period-1)),0,SUM('Travel time'!$E$20:$E$21)*$B37)))</f>
        <v>0</v>
      </c>
      <c r="AA37" s="97">
        <f>IF(Option2="No",0,IF($A37&lt;ImplementationYear,0,IF($A37&gt;(ImplementationYear+(Appraisal_Period-1)),0,SUM(Quality!$E$22:$E$23)*$B37)))</f>
        <v>0</v>
      </c>
      <c r="AB37" s="97">
        <f>IF(Option2="No",0,IF($A37&lt;ImplementationYear,0,IF($A37&gt;(ImplementationYear+(Appraisal_Period-1)),0,SUM(Quality!$E$20:$E$21)*$B37)))</f>
        <v>0</v>
      </c>
      <c r="AC37" s="97">
        <f>IF(Option2="No",0,IF($A37&lt;ImplementationYear,0,IF($A37&gt;(ImplementationYear+(Appraisal_Period-1)),0,'Mode change'!$E$36*$B37)))</f>
        <v>0</v>
      </c>
      <c r="AD37" s="97">
        <f>IF(Option2="No",0,IF($A37&lt;ImplementationYear,0,IF($A37&gt;(ImplementationYear+(Appraisal_Period-1)),0,'Mode change'!$E$37*$B37)))</f>
        <v>0</v>
      </c>
      <c r="AE37" s="97">
        <f>IF(Option2="No",0,IF($A37&lt;ImplementationYear,0,IF($A37&gt;(ImplementationYear+(Appraisal_Period-1)),0,'Road safety'!$E$22*$B37)))</f>
        <v>0</v>
      </c>
      <c r="AF37" s="97">
        <f>IF(Option2="No",0,IF($A37&lt;ImplementationYear,0,IF($A37&gt;(ImplementationYear+(Appraisal_Period-1)),0,'Reduction in car usage'!$E$46*$B37)))</f>
        <v>0</v>
      </c>
      <c r="AG37" s="97">
        <f>IF(Option2="No",0,IF($A37&lt;ImplementationYear,0,IF($A37&gt;(ImplementationYear+(Appraisal_Period-1)),0,'Reduction in car usage'!$E$47*$B37)))</f>
        <v>0</v>
      </c>
      <c r="AH37" s="97">
        <f>IF(Option2="No",0,IF($A37&lt;ImplementationYear,0,IF($A37&gt;(ImplementationYear+(Appraisal_Period-1)),0,'Reduction in car usage'!$E$48*$B37)))</f>
        <v>0</v>
      </c>
      <c r="AJ37" s="94">
        <f>IF(Option3="No",0,IF($A37=ImplementationYear,('Project details'!$P$10-'Project details'!$D$10)*VLOOKUP(Year_cost_estimate,'Time-series parameters'!$B$11:$C$89,2,FALSE)*$B37*(1+Contingency),0))</f>
        <v>0</v>
      </c>
      <c r="AK37" s="94">
        <f>IF(Option3="No",0,IF($A37&lt;ImplementationYear,0,IF($A37&gt;(ImplementationYear+(Appraisal_Period-1)),0,('Project details'!$P$11-'Project details'!$D$11)*VLOOKUP(Year_cost_estimate,'Time-series parameters'!$B$11:$C$89,2,0))*$B37))</f>
        <v>0</v>
      </c>
      <c r="AL37" s="94">
        <f>IF(Option3="No",0,IF($A37=ImplementationYear,('Project details'!$P$12-'Project details'!$D$12)*VLOOKUP(Year_cost_estimate,'Time-series parameters'!$B$11:$C$89,2,FALSE)*$B37,0))</f>
        <v>0</v>
      </c>
      <c r="AM37" s="97">
        <f>IF(Option3="No",0,IF($A37&lt;ImplementationYear,0,IF($A37&gt;(ImplementationYear+(Appraisal_Period-1)),0,Health!$F$21*$B37)))</f>
        <v>0</v>
      </c>
      <c r="AN37" s="97">
        <f>IF(Option3="No",0,IF($A37&lt;ImplementationYear,0,IF($A37&gt;(ImplementationYear+(Appraisal_Period-1)),0,Health!$F$22*$B37)))</f>
        <v>0</v>
      </c>
      <c r="AO37" s="97">
        <f>IF(Option3="No",0,IF($A37&lt;ImplementationYear,0,IF($A37&gt;(ImplementationYear+(Appraisal_Period-1)),0,SUM('Travel time'!$F$22:$F$23)*$B37)))</f>
        <v>0</v>
      </c>
      <c r="AP37" s="97">
        <f>IF(Option3="No",0,IF($A37&lt;ImplementationYear,0,IF($A37&gt;(ImplementationYear+(Appraisal_Period-1)),0,SUM('Travel time'!$F$20:$F$21)*$B37)))</f>
        <v>0</v>
      </c>
      <c r="AQ37" s="97">
        <f>IF(Option3="No",0,IF($A37&lt;ImplementationYear,0,IF($A37&gt;(ImplementationYear+(Appraisal_Period-1)),0,SUM(Quality!$F$22:$F$23)*$B37)))</f>
        <v>0</v>
      </c>
      <c r="AR37" s="97">
        <f>IF(Option3="No",0,IF($A37&lt;ImplementationYear,0,IF($A37&gt;(ImplementationYear+(Appraisal_Period-1)),0,SUM(Quality!$F$20:$F$21)*$B37)))</f>
        <v>0</v>
      </c>
      <c r="AS37" s="97">
        <f>IF(Option3="No",0,IF($A37&lt;ImplementationYear,0,IF($A37&gt;(ImplementationYear+(Appraisal_Period-1)),0,'Mode change'!$F$36*$B37)))</f>
        <v>0</v>
      </c>
      <c r="AT37" s="97">
        <f>IF(Option3="No",0,IF($A37&lt;ImplementationYear,0,IF($A37&gt;(ImplementationYear+(Appraisal_Period-1)),0,'Mode change'!$F$37*$B37)))</f>
        <v>0</v>
      </c>
      <c r="AU37" s="97">
        <f>IF(Option3="No",0,IF($A37&lt;ImplementationYear,0,IF($A37&gt;(ImplementationYear+(Appraisal_Period-1)),0,'Road safety'!$F$22*$B37)))</f>
        <v>0</v>
      </c>
      <c r="AV37" s="97">
        <f>IF(Option3="No",0,IF($A37&lt;ImplementationYear,0,IF($A37&gt;(ImplementationYear+(Appraisal_Period-1)),0,'Reduction in car usage'!$F$46*$B37)))</f>
        <v>0</v>
      </c>
      <c r="AW37" s="97">
        <f>IF(Option3="No",0,IF($A37&lt;ImplementationYear,0,IF($A37&gt;(ImplementationYear+(Appraisal_Period-1)),0,'Reduction in car usage'!$F$47*$B37)))</f>
        <v>0</v>
      </c>
      <c r="AX37" s="97">
        <f>IF(Option3="No",0,IF($A37&lt;ImplementationYear,0,IF($A37&gt;(ImplementationYear+(Appraisal_Period-1)),0,'Reduction in car usage'!$F$48*$B37)))</f>
        <v>0</v>
      </c>
    </row>
    <row r="38" spans="1:50">
      <c r="A38" s="335">
        <v>2033</v>
      </c>
      <c r="B38" s="62">
        <f>VLOOKUP($A38,'Time-series parameters'!$E$11:$H$89,4,FALSE)</f>
        <v>0.40734944306326221</v>
      </c>
      <c r="C38" s="89"/>
      <c r="D38" s="94">
        <f>IF(Option1="No",0,IF($A38=ImplementationYear,('Project details'!$H$10-'Project details'!$D$10)*VLOOKUP(Year_cost_estimate,'Time-series parameters'!$B$11:$C$89,2,FALSE)*$B38*(1+Contingency),0))</f>
        <v>0</v>
      </c>
      <c r="E38" s="94">
        <f>IF(Option1="No",0,IF($A38&lt;ImplementationYear,0,IF($A38&gt;(ImplementationYear+(Appraisal_Period-1)),0,('Project details'!$H$11-'Project details'!$D$11)*VLOOKUP(Year_cost_estimate,'Time-series parameters'!$B$11:$C$89,2,0))*$B38))</f>
        <v>0</v>
      </c>
      <c r="F38" s="94">
        <f>IF(Option1="No",0,IF($A38=ImplementationYear,('Project details'!$H$12-'Project details'!$D$12)*VLOOKUP(Year_cost_estimate,'Time-series parameters'!$B$11:$C$89,2,FALSE)*$B38,0))</f>
        <v>0</v>
      </c>
      <c r="G38" s="97">
        <f>IF(Option1="No",0,IF($A38&lt;ImplementationYear,0,IF($A38&gt;(ImplementationYear+(Appraisal_Period-1)),0,Health!$D$21*$B38)))</f>
        <v>0</v>
      </c>
      <c r="H38" s="97">
        <f>IF(Option1="No",0,IF($A38&lt;ImplementationYear,0,IF($A38&gt;(ImplementationYear+(Appraisal_Period-1)),0,Health!$D$22*$B38)))</f>
        <v>0</v>
      </c>
      <c r="I38" s="97">
        <f>IF(Option1="No",0,IF($A38&lt;ImplementationYear,0,IF($A38&gt;(ImplementationYear+(Appraisal_Period-1)),0,SUM('Travel time'!$D$22:$D$23)*$B38)))</f>
        <v>0</v>
      </c>
      <c r="J38" s="97">
        <f>IF(Option1="No",0,IF($A38&lt;ImplementationYear,0,IF($A38&gt;(ImplementationYear+(Appraisal_Period-1)),0,SUM('Travel time'!$D$20:$D$21)*$B38)))</f>
        <v>0</v>
      </c>
      <c r="K38" s="97">
        <f>IF(Option1="No",0,IF($A38&lt;ImplementationYear,0,IF($A38&gt;(ImplementationYear+(Appraisal_Period-1)),0,SUM(Quality!$D$22:$D$23)*$B38)))</f>
        <v>0</v>
      </c>
      <c r="L38" s="97">
        <f>IF(Option1="No",0,IF($A38&lt;ImplementationYear,0,IF($A38&gt;(ImplementationYear+(Appraisal_Period-1)),0,SUM(Quality!$D$20:$D$21)*$B38)))</f>
        <v>0</v>
      </c>
      <c r="M38" s="97">
        <f>IF(Option1="No",0,IF($A38&lt;ImplementationYear,0,IF($A38&gt;(ImplementationYear+(Appraisal_Period-1)),0,'Mode change'!$D$36*$B38)))</f>
        <v>0</v>
      </c>
      <c r="N38" s="97">
        <f>IF(Option1="No",0,IF($A38&lt;ImplementationYear,0,IF($A38&gt;(ImplementationYear+(Appraisal_Period-1)),0,'Mode change'!$D$37*$B38)))</f>
        <v>0</v>
      </c>
      <c r="O38" s="97">
        <f>IF(Option1="No",0,IF($A38&lt;ImplementationYear,0,IF($A38&gt;(ImplementationYear+(Appraisal_Period-1)),0,'Road safety'!$D$22*$B38)))</f>
        <v>0</v>
      </c>
      <c r="P38" s="97">
        <f>IF(Option1="No",0,IF($A38&lt;ImplementationYear,0,IF($A38&gt;(ImplementationYear+(Appraisal_Period-1)),0,'Reduction in car usage'!$D$46*$B38)))</f>
        <v>0</v>
      </c>
      <c r="Q38" s="97">
        <f>IF(Option1="No",0,IF($A38&lt;ImplementationYear,0,IF($A38&gt;(ImplementationYear+(Appraisal_Period-1)),0,'Reduction in car usage'!$D$47*$B38)))</f>
        <v>0</v>
      </c>
      <c r="R38" s="97">
        <f>IF(Option1="No",0,IF($A38&lt;ImplementationYear,0,IF($A38&gt;(ImplementationYear+(Appraisal_Period-1)),0,'Reduction in car usage'!$D$48*$B38)))</f>
        <v>0</v>
      </c>
      <c r="S38" s="92"/>
      <c r="T38" s="94">
        <f>IF(Option2="No",0,IF($A38=ImplementationYear,('Project details'!$L$10-'Project details'!$D$10)*VLOOKUP(Year_cost_estimate,'Time-series parameters'!$B$11:$C$89,2,FALSE)*$B38*(1+Contingency),0))</f>
        <v>0</v>
      </c>
      <c r="U38" s="94">
        <f>IF(Option2="No",0,IF($A38&lt;ImplementationYear,0,IF($A38&gt;(ImplementationYear+(Appraisal_Period-1)),0,('Project details'!$L$11-'Project details'!$D$11)*VLOOKUP(Year_cost_estimate,'Time-series parameters'!$B$11:$C$89,2,0))*$B38))</f>
        <v>0</v>
      </c>
      <c r="V38" s="94">
        <f>IF(Option2="No",0,IF($A38=ImplementationYear,('Project details'!$L$12-'Project details'!$D$12)*VLOOKUP(Year_cost_estimate,'Time-series parameters'!$B$11:$C$89,2,FALSE)*$B38,0))</f>
        <v>0</v>
      </c>
      <c r="W38" s="97">
        <f>IF(Option2="No",0,IF($A38&lt;ImplementationYear,0,IF($A38&gt;(ImplementationYear+(Appraisal_Period-1)),0,Health!$E$21*$B38)))</f>
        <v>0</v>
      </c>
      <c r="X38" s="97">
        <f>IF(Option2="No",0,IF($A38&lt;ImplementationYear,0,IF($A38&gt;(ImplementationYear+(Appraisal_Period-1)),0,Health!$E$22*$B38)))</f>
        <v>0</v>
      </c>
      <c r="Y38" s="97">
        <f>IF(Option2="No",0,IF($A38&lt;ImplementationYear,0,IF($A38&gt;(ImplementationYear+(Appraisal_Period-1)),0,SUM('Travel time'!$E$22:$E$23)*$B38)))</f>
        <v>0</v>
      </c>
      <c r="Z38" s="97">
        <f>IF(Option2="No",0,IF($A38&lt;ImplementationYear,0,IF($A38&gt;(ImplementationYear+(Appraisal_Period-1)),0,SUM('Travel time'!$E$20:$E$21)*$B38)))</f>
        <v>0</v>
      </c>
      <c r="AA38" s="97">
        <f>IF(Option2="No",0,IF($A38&lt;ImplementationYear,0,IF($A38&gt;(ImplementationYear+(Appraisal_Period-1)),0,SUM(Quality!$E$22:$E$23)*$B38)))</f>
        <v>0</v>
      </c>
      <c r="AB38" s="97">
        <f>IF(Option2="No",0,IF($A38&lt;ImplementationYear,0,IF($A38&gt;(ImplementationYear+(Appraisal_Period-1)),0,SUM(Quality!$E$20:$E$21)*$B38)))</f>
        <v>0</v>
      </c>
      <c r="AC38" s="97">
        <f>IF(Option2="No",0,IF($A38&lt;ImplementationYear,0,IF($A38&gt;(ImplementationYear+(Appraisal_Period-1)),0,'Mode change'!$E$36*$B38)))</f>
        <v>0</v>
      </c>
      <c r="AD38" s="97">
        <f>IF(Option2="No",0,IF($A38&lt;ImplementationYear,0,IF($A38&gt;(ImplementationYear+(Appraisal_Period-1)),0,'Mode change'!$E$37*$B38)))</f>
        <v>0</v>
      </c>
      <c r="AE38" s="97">
        <f>IF(Option2="No",0,IF($A38&lt;ImplementationYear,0,IF($A38&gt;(ImplementationYear+(Appraisal_Period-1)),0,'Road safety'!$E$22*$B38)))</f>
        <v>0</v>
      </c>
      <c r="AF38" s="97">
        <f>IF(Option2="No",0,IF($A38&lt;ImplementationYear,0,IF($A38&gt;(ImplementationYear+(Appraisal_Period-1)),0,'Reduction in car usage'!$E$46*$B38)))</f>
        <v>0</v>
      </c>
      <c r="AG38" s="97">
        <f>IF(Option2="No",0,IF($A38&lt;ImplementationYear,0,IF($A38&gt;(ImplementationYear+(Appraisal_Period-1)),0,'Reduction in car usage'!$E$47*$B38)))</f>
        <v>0</v>
      </c>
      <c r="AH38" s="97">
        <f>IF(Option2="No",0,IF($A38&lt;ImplementationYear,0,IF($A38&gt;(ImplementationYear+(Appraisal_Period-1)),0,'Reduction in car usage'!$E$48*$B38)))</f>
        <v>0</v>
      </c>
      <c r="AJ38" s="94">
        <f>IF(Option3="No",0,IF($A38=ImplementationYear,('Project details'!$P$10-'Project details'!$D$10)*VLOOKUP(Year_cost_estimate,'Time-series parameters'!$B$11:$C$89,2,FALSE)*$B38*(1+Contingency),0))</f>
        <v>0</v>
      </c>
      <c r="AK38" s="94">
        <f>IF(Option3="No",0,IF($A38&lt;ImplementationYear,0,IF($A38&gt;(ImplementationYear+(Appraisal_Period-1)),0,('Project details'!$P$11-'Project details'!$D$11)*VLOOKUP(Year_cost_estimate,'Time-series parameters'!$B$11:$C$89,2,0))*$B38))</f>
        <v>0</v>
      </c>
      <c r="AL38" s="94">
        <f>IF(Option3="No",0,IF($A38=ImplementationYear,('Project details'!$P$12-'Project details'!$D$12)*VLOOKUP(Year_cost_estimate,'Time-series parameters'!$B$11:$C$89,2,FALSE)*$B38,0))</f>
        <v>0</v>
      </c>
      <c r="AM38" s="97">
        <f>IF(Option3="No",0,IF($A38&lt;ImplementationYear,0,IF($A38&gt;(ImplementationYear+(Appraisal_Period-1)),0,Health!$F$21*$B38)))</f>
        <v>0</v>
      </c>
      <c r="AN38" s="97">
        <f>IF(Option3="No",0,IF($A38&lt;ImplementationYear,0,IF($A38&gt;(ImplementationYear+(Appraisal_Period-1)),0,Health!$F$22*$B38)))</f>
        <v>0</v>
      </c>
      <c r="AO38" s="97">
        <f>IF(Option3="No",0,IF($A38&lt;ImplementationYear,0,IF($A38&gt;(ImplementationYear+(Appraisal_Period-1)),0,SUM('Travel time'!$F$22:$F$23)*$B38)))</f>
        <v>0</v>
      </c>
      <c r="AP38" s="97">
        <f>IF(Option3="No",0,IF($A38&lt;ImplementationYear,0,IF($A38&gt;(ImplementationYear+(Appraisal_Period-1)),0,SUM('Travel time'!$F$20:$F$21)*$B38)))</f>
        <v>0</v>
      </c>
      <c r="AQ38" s="97">
        <f>IF(Option3="No",0,IF($A38&lt;ImplementationYear,0,IF($A38&gt;(ImplementationYear+(Appraisal_Period-1)),0,SUM(Quality!$F$22:$F$23)*$B38)))</f>
        <v>0</v>
      </c>
      <c r="AR38" s="97">
        <f>IF(Option3="No",0,IF($A38&lt;ImplementationYear,0,IF($A38&gt;(ImplementationYear+(Appraisal_Period-1)),0,SUM(Quality!$F$20:$F$21)*$B38)))</f>
        <v>0</v>
      </c>
      <c r="AS38" s="97">
        <f>IF(Option3="No",0,IF($A38&lt;ImplementationYear,0,IF($A38&gt;(ImplementationYear+(Appraisal_Period-1)),0,'Mode change'!$F$36*$B38)))</f>
        <v>0</v>
      </c>
      <c r="AT38" s="97">
        <f>IF(Option3="No",0,IF($A38&lt;ImplementationYear,0,IF($A38&gt;(ImplementationYear+(Appraisal_Period-1)),0,'Mode change'!$F$37*$B38)))</f>
        <v>0</v>
      </c>
      <c r="AU38" s="97">
        <f>IF(Option3="No",0,IF($A38&lt;ImplementationYear,0,IF($A38&gt;(ImplementationYear+(Appraisal_Period-1)),0,'Road safety'!$F$22*$B38)))</f>
        <v>0</v>
      </c>
      <c r="AV38" s="97">
        <f>IF(Option3="No",0,IF($A38&lt;ImplementationYear,0,IF($A38&gt;(ImplementationYear+(Appraisal_Period-1)),0,'Reduction in car usage'!$F$46*$B38)))</f>
        <v>0</v>
      </c>
      <c r="AW38" s="97">
        <f>IF(Option3="No",0,IF($A38&lt;ImplementationYear,0,IF($A38&gt;(ImplementationYear+(Appraisal_Period-1)),0,'Reduction in car usage'!$F$47*$B38)))</f>
        <v>0</v>
      </c>
      <c r="AX38" s="97">
        <f>IF(Option3="No",0,IF($A38&lt;ImplementationYear,0,IF($A38&gt;(ImplementationYear+(Appraisal_Period-1)),0,'Reduction in car usage'!$F$48*$B38)))</f>
        <v>0</v>
      </c>
    </row>
    <row r="39" spans="1:50">
      <c r="A39" s="335">
        <v>2034</v>
      </c>
      <c r="B39" s="62">
        <f>VLOOKUP($A39,'Time-series parameters'!$E$11:$H$89,4,FALSE)</f>
        <v>0.39105546534073171</v>
      </c>
      <c r="C39" s="89"/>
      <c r="D39" s="94">
        <f>IF(Option1="No",0,IF($A39=ImplementationYear,('Project details'!$H$10-'Project details'!$D$10)*VLOOKUP(Year_cost_estimate,'Time-series parameters'!$B$11:$C$89,2,FALSE)*$B39*(1+Contingency),0))</f>
        <v>0</v>
      </c>
      <c r="E39" s="94">
        <f>IF(Option1="No",0,IF($A39&lt;ImplementationYear,0,IF($A39&gt;(ImplementationYear+(Appraisal_Period-1)),0,('Project details'!$H$11-'Project details'!$D$11)*VLOOKUP(Year_cost_estimate,'Time-series parameters'!$B$11:$C$89,2,0))*$B39))</f>
        <v>0</v>
      </c>
      <c r="F39" s="94">
        <f>IF(Option1="No",0,IF($A39=ImplementationYear,('Project details'!$H$12-'Project details'!$D$12)*VLOOKUP(Year_cost_estimate,'Time-series parameters'!$B$11:$C$89,2,FALSE)*$B39,0))</f>
        <v>0</v>
      </c>
      <c r="G39" s="97">
        <f>IF(Option1="No",0,IF($A39&lt;ImplementationYear,0,IF($A39&gt;(ImplementationYear+(Appraisal_Period-1)),0,Health!$D$21*$B39)))</f>
        <v>0</v>
      </c>
      <c r="H39" s="97">
        <f>IF(Option1="No",0,IF($A39&lt;ImplementationYear,0,IF($A39&gt;(ImplementationYear+(Appraisal_Period-1)),0,Health!$D$22*$B39)))</f>
        <v>0</v>
      </c>
      <c r="I39" s="97">
        <f>IF(Option1="No",0,IF($A39&lt;ImplementationYear,0,IF($A39&gt;(ImplementationYear+(Appraisal_Period-1)),0,SUM('Travel time'!$D$22:$D$23)*$B39)))</f>
        <v>0</v>
      </c>
      <c r="J39" s="97">
        <f>IF(Option1="No",0,IF($A39&lt;ImplementationYear,0,IF($A39&gt;(ImplementationYear+(Appraisal_Period-1)),0,SUM('Travel time'!$D$20:$D$21)*$B39)))</f>
        <v>0</v>
      </c>
      <c r="K39" s="97">
        <f>IF(Option1="No",0,IF($A39&lt;ImplementationYear,0,IF($A39&gt;(ImplementationYear+(Appraisal_Period-1)),0,SUM(Quality!$D$22:$D$23)*$B39)))</f>
        <v>0</v>
      </c>
      <c r="L39" s="97">
        <f>IF(Option1="No",0,IF($A39&lt;ImplementationYear,0,IF($A39&gt;(ImplementationYear+(Appraisal_Period-1)),0,SUM(Quality!$D$20:$D$21)*$B39)))</f>
        <v>0</v>
      </c>
      <c r="M39" s="97">
        <f>IF(Option1="No",0,IF($A39&lt;ImplementationYear,0,IF($A39&gt;(ImplementationYear+(Appraisal_Period-1)),0,'Mode change'!$D$36*$B39)))</f>
        <v>0</v>
      </c>
      <c r="N39" s="97">
        <f>IF(Option1="No",0,IF($A39&lt;ImplementationYear,0,IF($A39&gt;(ImplementationYear+(Appraisal_Period-1)),0,'Mode change'!$D$37*$B39)))</f>
        <v>0</v>
      </c>
      <c r="O39" s="97">
        <f>IF(Option1="No",0,IF($A39&lt;ImplementationYear,0,IF($A39&gt;(ImplementationYear+(Appraisal_Period-1)),0,'Road safety'!$D$22*$B39)))</f>
        <v>0</v>
      </c>
      <c r="P39" s="97">
        <f>IF(Option1="No",0,IF($A39&lt;ImplementationYear,0,IF($A39&gt;(ImplementationYear+(Appraisal_Period-1)),0,'Reduction in car usage'!$D$46*$B39)))</f>
        <v>0</v>
      </c>
      <c r="Q39" s="97">
        <f>IF(Option1="No",0,IF($A39&lt;ImplementationYear,0,IF($A39&gt;(ImplementationYear+(Appraisal_Period-1)),0,'Reduction in car usage'!$D$47*$B39)))</f>
        <v>0</v>
      </c>
      <c r="R39" s="97">
        <f>IF(Option1="No",0,IF($A39&lt;ImplementationYear,0,IF($A39&gt;(ImplementationYear+(Appraisal_Period-1)),0,'Reduction in car usage'!$D$48*$B39)))</f>
        <v>0</v>
      </c>
      <c r="S39" s="92"/>
      <c r="T39" s="94">
        <f>IF(Option2="No",0,IF($A39=ImplementationYear,('Project details'!$L$10-'Project details'!$D$10)*VLOOKUP(Year_cost_estimate,'Time-series parameters'!$B$11:$C$89,2,FALSE)*$B39*(1+Contingency),0))</f>
        <v>0</v>
      </c>
      <c r="U39" s="94">
        <f>IF(Option2="No",0,IF($A39&lt;ImplementationYear,0,IF($A39&gt;(ImplementationYear+(Appraisal_Period-1)),0,('Project details'!$L$11-'Project details'!$D$11)*VLOOKUP(Year_cost_estimate,'Time-series parameters'!$B$11:$C$89,2,0))*$B39))</f>
        <v>0</v>
      </c>
      <c r="V39" s="94">
        <f>IF(Option2="No",0,IF($A39=ImplementationYear,('Project details'!$L$12-'Project details'!$D$12)*VLOOKUP(Year_cost_estimate,'Time-series parameters'!$B$11:$C$89,2,FALSE)*$B39,0))</f>
        <v>0</v>
      </c>
      <c r="W39" s="97">
        <f>IF(Option2="No",0,IF($A39&lt;ImplementationYear,0,IF($A39&gt;(ImplementationYear+(Appraisal_Period-1)),0,Health!$E$21*$B39)))</f>
        <v>0</v>
      </c>
      <c r="X39" s="97">
        <f>IF(Option2="No",0,IF($A39&lt;ImplementationYear,0,IF($A39&gt;(ImplementationYear+(Appraisal_Period-1)),0,Health!$E$22*$B39)))</f>
        <v>0</v>
      </c>
      <c r="Y39" s="97">
        <f>IF(Option2="No",0,IF($A39&lt;ImplementationYear,0,IF($A39&gt;(ImplementationYear+(Appraisal_Period-1)),0,SUM('Travel time'!$E$22:$E$23)*$B39)))</f>
        <v>0</v>
      </c>
      <c r="Z39" s="97">
        <f>IF(Option2="No",0,IF($A39&lt;ImplementationYear,0,IF($A39&gt;(ImplementationYear+(Appraisal_Period-1)),0,SUM('Travel time'!$E$20:$E$21)*$B39)))</f>
        <v>0</v>
      </c>
      <c r="AA39" s="97">
        <f>IF(Option2="No",0,IF($A39&lt;ImplementationYear,0,IF($A39&gt;(ImplementationYear+(Appraisal_Period-1)),0,SUM(Quality!$E$22:$E$23)*$B39)))</f>
        <v>0</v>
      </c>
      <c r="AB39" s="97">
        <f>IF(Option2="No",0,IF($A39&lt;ImplementationYear,0,IF($A39&gt;(ImplementationYear+(Appraisal_Period-1)),0,SUM(Quality!$E$20:$E$21)*$B39)))</f>
        <v>0</v>
      </c>
      <c r="AC39" s="97">
        <f>IF(Option2="No",0,IF($A39&lt;ImplementationYear,0,IF($A39&gt;(ImplementationYear+(Appraisal_Period-1)),0,'Mode change'!$E$36*$B39)))</f>
        <v>0</v>
      </c>
      <c r="AD39" s="97">
        <f>IF(Option2="No",0,IF($A39&lt;ImplementationYear,0,IF($A39&gt;(ImplementationYear+(Appraisal_Period-1)),0,'Mode change'!$E$37*$B39)))</f>
        <v>0</v>
      </c>
      <c r="AE39" s="97">
        <f>IF(Option2="No",0,IF($A39&lt;ImplementationYear,0,IF($A39&gt;(ImplementationYear+(Appraisal_Period-1)),0,'Road safety'!$E$22*$B39)))</f>
        <v>0</v>
      </c>
      <c r="AF39" s="97">
        <f>IF(Option2="No",0,IF($A39&lt;ImplementationYear,0,IF($A39&gt;(ImplementationYear+(Appraisal_Period-1)),0,'Reduction in car usage'!$E$46*$B39)))</f>
        <v>0</v>
      </c>
      <c r="AG39" s="97">
        <f>IF(Option2="No",0,IF($A39&lt;ImplementationYear,0,IF($A39&gt;(ImplementationYear+(Appraisal_Period-1)),0,'Reduction in car usage'!$E$47*$B39)))</f>
        <v>0</v>
      </c>
      <c r="AH39" s="97">
        <f>IF(Option2="No",0,IF($A39&lt;ImplementationYear,0,IF($A39&gt;(ImplementationYear+(Appraisal_Period-1)),0,'Reduction in car usage'!$E$48*$B39)))</f>
        <v>0</v>
      </c>
      <c r="AJ39" s="94">
        <f>IF(Option3="No",0,IF($A39=ImplementationYear,('Project details'!$P$10-'Project details'!$D$10)*VLOOKUP(Year_cost_estimate,'Time-series parameters'!$B$11:$C$89,2,FALSE)*$B39*(1+Contingency),0))</f>
        <v>0</v>
      </c>
      <c r="AK39" s="94">
        <f>IF(Option3="No",0,IF($A39&lt;ImplementationYear,0,IF($A39&gt;(ImplementationYear+(Appraisal_Period-1)),0,('Project details'!$P$11-'Project details'!$D$11)*VLOOKUP(Year_cost_estimate,'Time-series parameters'!$B$11:$C$89,2,0))*$B39))</f>
        <v>0</v>
      </c>
      <c r="AL39" s="94">
        <f>IF(Option3="No",0,IF($A39=ImplementationYear,('Project details'!$P$12-'Project details'!$D$12)*VLOOKUP(Year_cost_estimate,'Time-series parameters'!$B$11:$C$89,2,FALSE)*$B39,0))</f>
        <v>0</v>
      </c>
      <c r="AM39" s="97">
        <f>IF(Option3="No",0,IF($A39&lt;ImplementationYear,0,IF($A39&gt;(ImplementationYear+(Appraisal_Period-1)),0,Health!$F$21*$B39)))</f>
        <v>0</v>
      </c>
      <c r="AN39" s="97">
        <f>IF(Option3="No",0,IF($A39&lt;ImplementationYear,0,IF($A39&gt;(ImplementationYear+(Appraisal_Period-1)),0,Health!$F$22*$B39)))</f>
        <v>0</v>
      </c>
      <c r="AO39" s="97">
        <f>IF(Option3="No",0,IF($A39&lt;ImplementationYear,0,IF($A39&gt;(ImplementationYear+(Appraisal_Period-1)),0,SUM('Travel time'!$F$22:$F$23)*$B39)))</f>
        <v>0</v>
      </c>
      <c r="AP39" s="97">
        <f>IF(Option3="No",0,IF($A39&lt;ImplementationYear,0,IF($A39&gt;(ImplementationYear+(Appraisal_Period-1)),0,SUM('Travel time'!$F$20:$F$21)*$B39)))</f>
        <v>0</v>
      </c>
      <c r="AQ39" s="97">
        <f>IF(Option3="No",0,IF($A39&lt;ImplementationYear,0,IF($A39&gt;(ImplementationYear+(Appraisal_Period-1)),0,SUM(Quality!$F$22:$F$23)*$B39)))</f>
        <v>0</v>
      </c>
      <c r="AR39" s="97">
        <f>IF(Option3="No",0,IF($A39&lt;ImplementationYear,0,IF($A39&gt;(ImplementationYear+(Appraisal_Period-1)),0,SUM(Quality!$F$20:$F$21)*$B39)))</f>
        <v>0</v>
      </c>
      <c r="AS39" s="97">
        <f>IF(Option3="No",0,IF($A39&lt;ImplementationYear,0,IF($A39&gt;(ImplementationYear+(Appraisal_Period-1)),0,'Mode change'!$F$36*$B39)))</f>
        <v>0</v>
      </c>
      <c r="AT39" s="97">
        <f>IF(Option3="No",0,IF($A39&lt;ImplementationYear,0,IF($A39&gt;(ImplementationYear+(Appraisal_Period-1)),0,'Mode change'!$F$37*$B39)))</f>
        <v>0</v>
      </c>
      <c r="AU39" s="97">
        <f>IF(Option3="No",0,IF($A39&lt;ImplementationYear,0,IF($A39&gt;(ImplementationYear+(Appraisal_Period-1)),0,'Road safety'!$F$22*$B39)))</f>
        <v>0</v>
      </c>
      <c r="AV39" s="97">
        <f>IF(Option3="No",0,IF($A39&lt;ImplementationYear,0,IF($A39&gt;(ImplementationYear+(Appraisal_Period-1)),0,'Reduction in car usage'!$F$46*$B39)))</f>
        <v>0</v>
      </c>
      <c r="AW39" s="97">
        <f>IF(Option3="No",0,IF($A39&lt;ImplementationYear,0,IF($A39&gt;(ImplementationYear+(Appraisal_Period-1)),0,'Reduction in car usage'!$F$47*$B39)))</f>
        <v>0</v>
      </c>
      <c r="AX39" s="97">
        <f>IF(Option3="No",0,IF($A39&lt;ImplementationYear,0,IF($A39&gt;(ImplementationYear+(Appraisal_Period-1)),0,'Reduction in car usage'!$F$48*$B39)))</f>
        <v>0</v>
      </c>
    </row>
    <row r="40" spans="1:50">
      <c r="A40" s="335">
        <v>2035</v>
      </c>
      <c r="B40" s="62">
        <f>VLOOKUP($A40,'Time-series parameters'!$E$11:$H$89,4,FALSE)</f>
        <v>0.37541324672710247</v>
      </c>
      <c r="C40" s="89"/>
      <c r="D40" s="94">
        <f>IF(Option1="No",0,IF($A40=ImplementationYear,('Project details'!$H$10-'Project details'!$D$10)*VLOOKUP(Year_cost_estimate,'Time-series parameters'!$B$11:$C$89,2,FALSE)*$B40*(1+Contingency),0))</f>
        <v>0</v>
      </c>
      <c r="E40" s="94">
        <f>IF(Option1="No",0,IF($A40&lt;ImplementationYear,0,IF($A40&gt;(ImplementationYear+(Appraisal_Period-1)),0,('Project details'!$H$11-'Project details'!$D$11)*VLOOKUP(Year_cost_estimate,'Time-series parameters'!$B$11:$C$89,2,0))*$B40))</f>
        <v>0</v>
      </c>
      <c r="F40" s="94">
        <f>IF(Option1="No",0,IF($A40=ImplementationYear,('Project details'!$H$12-'Project details'!$D$12)*VLOOKUP(Year_cost_estimate,'Time-series parameters'!$B$11:$C$89,2,FALSE)*$B40,0))</f>
        <v>0</v>
      </c>
      <c r="G40" s="97">
        <f>IF(Option1="No",0,IF($A40&lt;ImplementationYear,0,IF($A40&gt;(ImplementationYear+(Appraisal_Period-1)),0,Health!$D$21*$B40)))</f>
        <v>0</v>
      </c>
      <c r="H40" s="97">
        <f>IF(Option1="No",0,IF($A40&lt;ImplementationYear,0,IF($A40&gt;(ImplementationYear+(Appraisal_Period-1)),0,Health!$D$22*$B40)))</f>
        <v>0</v>
      </c>
      <c r="I40" s="97">
        <f>IF(Option1="No",0,IF($A40&lt;ImplementationYear,0,IF($A40&gt;(ImplementationYear+(Appraisal_Period-1)),0,SUM('Travel time'!$D$22:$D$23)*$B40)))</f>
        <v>0</v>
      </c>
      <c r="J40" s="97">
        <f>IF(Option1="No",0,IF($A40&lt;ImplementationYear,0,IF($A40&gt;(ImplementationYear+(Appraisal_Period-1)),0,SUM('Travel time'!$D$20:$D$21)*$B40)))</f>
        <v>0</v>
      </c>
      <c r="K40" s="97">
        <f>IF(Option1="No",0,IF($A40&lt;ImplementationYear,0,IF($A40&gt;(ImplementationYear+(Appraisal_Period-1)),0,SUM(Quality!$D$22:$D$23)*$B40)))</f>
        <v>0</v>
      </c>
      <c r="L40" s="97">
        <f>IF(Option1="No",0,IF($A40&lt;ImplementationYear,0,IF($A40&gt;(ImplementationYear+(Appraisal_Period-1)),0,SUM(Quality!$D$20:$D$21)*$B40)))</f>
        <v>0</v>
      </c>
      <c r="M40" s="97">
        <f>IF(Option1="No",0,IF($A40&lt;ImplementationYear,0,IF($A40&gt;(ImplementationYear+(Appraisal_Period-1)),0,'Mode change'!$D$36*$B40)))</f>
        <v>0</v>
      </c>
      <c r="N40" s="97">
        <f>IF(Option1="No",0,IF($A40&lt;ImplementationYear,0,IF($A40&gt;(ImplementationYear+(Appraisal_Period-1)),0,'Mode change'!$D$37*$B40)))</f>
        <v>0</v>
      </c>
      <c r="O40" s="97">
        <f>IF(Option1="No",0,IF($A40&lt;ImplementationYear,0,IF($A40&gt;(ImplementationYear+(Appraisal_Period-1)),0,'Road safety'!$D$22*$B40)))</f>
        <v>0</v>
      </c>
      <c r="P40" s="97">
        <f>IF(Option1="No",0,IF($A40&lt;ImplementationYear,0,IF($A40&gt;(ImplementationYear+(Appraisal_Period-1)),0,'Reduction in car usage'!$D$46*$B40)))</f>
        <v>0</v>
      </c>
      <c r="Q40" s="97">
        <f>IF(Option1="No",0,IF($A40&lt;ImplementationYear,0,IF($A40&gt;(ImplementationYear+(Appraisal_Period-1)),0,'Reduction in car usage'!$D$47*$B40)))</f>
        <v>0</v>
      </c>
      <c r="R40" s="97">
        <f>IF(Option1="No",0,IF($A40&lt;ImplementationYear,0,IF($A40&gt;(ImplementationYear+(Appraisal_Period-1)),0,'Reduction in car usage'!$D$48*$B40)))</f>
        <v>0</v>
      </c>
      <c r="S40" s="92"/>
      <c r="T40" s="94">
        <f>IF(Option2="No",0,IF($A40=ImplementationYear,('Project details'!$L$10-'Project details'!$D$10)*VLOOKUP(Year_cost_estimate,'Time-series parameters'!$B$11:$C$89,2,FALSE)*$B40*(1+Contingency),0))</f>
        <v>0</v>
      </c>
      <c r="U40" s="94">
        <f>IF(Option2="No",0,IF($A40&lt;ImplementationYear,0,IF($A40&gt;(ImplementationYear+(Appraisal_Period-1)),0,('Project details'!$L$11-'Project details'!$D$11)*VLOOKUP(Year_cost_estimate,'Time-series parameters'!$B$11:$C$89,2,0))*$B40))</f>
        <v>0</v>
      </c>
      <c r="V40" s="94">
        <f>IF(Option2="No",0,IF($A40=ImplementationYear,('Project details'!$L$12-'Project details'!$D$12)*VLOOKUP(Year_cost_estimate,'Time-series parameters'!$B$11:$C$89,2,FALSE)*$B40,0))</f>
        <v>0</v>
      </c>
      <c r="W40" s="97">
        <f>IF(Option2="No",0,IF($A40&lt;ImplementationYear,0,IF($A40&gt;(ImplementationYear+(Appraisal_Period-1)),0,Health!$E$21*$B40)))</f>
        <v>0</v>
      </c>
      <c r="X40" s="97">
        <f>IF(Option2="No",0,IF($A40&lt;ImplementationYear,0,IF($A40&gt;(ImplementationYear+(Appraisal_Period-1)),0,Health!$E$22*$B40)))</f>
        <v>0</v>
      </c>
      <c r="Y40" s="97">
        <f>IF(Option2="No",0,IF($A40&lt;ImplementationYear,0,IF($A40&gt;(ImplementationYear+(Appraisal_Period-1)),0,SUM('Travel time'!$E$22:$E$23)*$B40)))</f>
        <v>0</v>
      </c>
      <c r="Z40" s="97">
        <f>IF(Option2="No",0,IF($A40&lt;ImplementationYear,0,IF($A40&gt;(ImplementationYear+(Appraisal_Period-1)),0,SUM('Travel time'!$E$20:$E$21)*$B40)))</f>
        <v>0</v>
      </c>
      <c r="AA40" s="97">
        <f>IF(Option2="No",0,IF($A40&lt;ImplementationYear,0,IF($A40&gt;(ImplementationYear+(Appraisal_Period-1)),0,SUM(Quality!$E$22:$E$23)*$B40)))</f>
        <v>0</v>
      </c>
      <c r="AB40" s="97">
        <f>IF(Option2="No",0,IF($A40&lt;ImplementationYear,0,IF($A40&gt;(ImplementationYear+(Appraisal_Period-1)),0,SUM(Quality!$E$20:$E$21)*$B40)))</f>
        <v>0</v>
      </c>
      <c r="AC40" s="97">
        <f>IF(Option2="No",0,IF($A40&lt;ImplementationYear,0,IF($A40&gt;(ImplementationYear+(Appraisal_Period-1)),0,'Mode change'!$E$36*$B40)))</f>
        <v>0</v>
      </c>
      <c r="AD40" s="97">
        <f>IF(Option2="No",0,IF($A40&lt;ImplementationYear,0,IF($A40&gt;(ImplementationYear+(Appraisal_Period-1)),0,'Mode change'!$E$37*$B40)))</f>
        <v>0</v>
      </c>
      <c r="AE40" s="97">
        <f>IF(Option2="No",0,IF($A40&lt;ImplementationYear,0,IF($A40&gt;(ImplementationYear+(Appraisal_Period-1)),0,'Road safety'!$E$22*$B40)))</f>
        <v>0</v>
      </c>
      <c r="AF40" s="97">
        <f>IF(Option2="No",0,IF($A40&lt;ImplementationYear,0,IF($A40&gt;(ImplementationYear+(Appraisal_Period-1)),0,'Reduction in car usage'!$E$46*$B40)))</f>
        <v>0</v>
      </c>
      <c r="AG40" s="97">
        <f>IF(Option2="No",0,IF($A40&lt;ImplementationYear,0,IF($A40&gt;(ImplementationYear+(Appraisal_Period-1)),0,'Reduction in car usage'!$E$47*$B40)))</f>
        <v>0</v>
      </c>
      <c r="AH40" s="97">
        <f>IF(Option2="No",0,IF($A40&lt;ImplementationYear,0,IF($A40&gt;(ImplementationYear+(Appraisal_Period-1)),0,'Reduction in car usage'!$E$48*$B40)))</f>
        <v>0</v>
      </c>
      <c r="AJ40" s="94">
        <f>IF(Option3="No",0,IF($A40=ImplementationYear,('Project details'!$P$10-'Project details'!$D$10)*VLOOKUP(Year_cost_estimate,'Time-series parameters'!$B$11:$C$89,2,FALSE)*$B40*(1+Contingency),0))</f>
        <v>0</v>
      </c>
      <c r="AK40" s="94">
        <f>IF(Option3="No",0,IF($A40&lt;ImplementationYear,0,IF($A40&gt;(ImplementationYear+(Appraisal_Period-1)),0,('Project details'!$P$11-'Project details'!$D$11)*VLOOKUP(Year_cost_estimate,'Time-series parameters'!$B$11:$C$89,2,0))*$B40))</f>
        <v>0</v>
      </c>
      <c r="AL40" s="94">
        <f>IF(Option3="No",0,IF($A40=ImplementationYear,('Project details'!$P$12-'Project details'!$D$12)*VLOOKUP(Year_cost_estimate,'Time-series parameters'!$B$11:$C$89,2,FALSE)*$B40,0))</f>
        <v>0</v>
      </c>
      <c r="AM40" s="97">
        <f>IF(Option3="No",0,IF($A40&lt;ImplementationYear,0,IF($A40&gt;(ImplementationYear+(Appraisal_Period-1)),0,Health!$F$21*$B40)))</f>
        <v>0</v>
      </c>
      <c r="AN40" s="97">
        <f>IF(Option3="No",0,IF($A40&lt;ImplementationYear,0,IF($A40&gt;(ImplementationYear+(Appraisal_Period-1)),0,Health!$F$22*$B40)))</f>
        <v>0</v>
      </c>
      <c r="AO40" s="97">
        <f>IF(Option3="No",0,IF($A40&lt;ImplementationYear,0,IF($A40&gt;(ImplementationYear+(Appraisal_Period-1)),0,SUM('Travel time'!$F$22:$F$23)*$B40)))</f>
        <v>0</v>
      </c>
      <c r="AP40" s="97">
        <f>IF(Option3="No",0,IF($A40&lt;ImplementationYear,0,IF($A40&gt;(ImplementationYear+(Appraisal_Period-1)),0,SUM('Travel time'!$F$20:$F$21)*$B40)))</f>
        <v>0</v>
      </c>
      <c r="AQ40" s="97">
        <f>IF(Option3="No",0,IF($A40&lt;ImplementationYear,0,IF($A40&gt;(ImplementationYear+(Appraisal_Period-1)),0,SUM(Quality!$F$22:$F$23)*$B40)))</f>
        <v>0</v>
      </c>
      <c r="AR40" s="97">
        <f>IF(Option3="No",0,IF($A40&lt;ImplementationYear,0,IF($A40&gt;(ImplementationYear+(Appraisal_Period-1)),0,SUM(Quality!$F$20:$F$21)*$B40)))</f>
        <v>0</v>
      </c>
      <c r="AS40" s="97">
        <f>IF(Option3="No",0,IF($A40&lt;ImplementationYear,0,IF($A40&gt;(ImplementationYear+(Appraisal_Period-1)),0,'Mode change'!$F$36*$B40)))</f>
        <v>0</v>
      </c>
      <c r="AT40" s="97">
        <f>IF(Option3="No",0,IF($A40&lt;ImplementationYear,0,IF($A40&gt;(ImplementationYear+(Appraisal_Period-1)),0,'Mode change'!$F$37*$B40)))</f>
        <v>0</v>
      </c>
      <c r="AU40" s="97">
        <f>IF(Option3="No",0,IF($A40&lt;ImplementationYear,0,IF($A40&gt;(ImplementationYear+(Appraisal_Period-1)),0,'Road safety'!$F$22*$B40)))</f>
        <v>0</v>
      </c>
      <c r="AV40" s="97">
        <f>IF(Option3="No",0,IF($A40&lt;ImplementationYear,0,IF($A40&gt;(ImplementationYear+(Appraisal_Period-1)),0,'Reduction in car usage'!$F$46*$B40)))</f>
        <v>0</v>
      </c>
      <c r="AW40" s="97">
        <f>IF(Option3="No",0,IF($A40&lt;ImplementationYear,0,IF($A40&gt;(ImplementationYear+(Appraisal_Period-1)),0,'Reduction in car usage'!$F$47*$B40)))</f>
        <v>0</v>
      </c>
      <c r="AX40" s="97">
        <f>IF(Option3="No",0,IF($A40&lt;ImplementationYear,0,IF($A40&gt;(ImplementationYear+(Appraisal_Period-1)),0,'Reduction in car usage'!$F$48*$B40)))</f>
        <v>0</v>
      </c>
    </row>
    <row r="41" spans="1:50">
      <c r="A41" s="335">
        <v>2036</v>
      </c>
      <c r="B41" s="62">
        <f>VLOOKUP($A41,'Time-series parameters'!$E$11:$H$89,4,FALSE)</f>
        <v>0.36039671685801838</v>
      </c>
      <c r="C41" s="89"/>
      <c r="D41" s="94">
        <f>IF(Option1="No",0,IF($A41=ImplementationYear,('Project details'!$H$10-'Project details'!$D$10)*VLOOKUP(Year_cost_estimate,'Time-series parameters'!$B$11:$C$89,2,FALSE)*$B41*(1+Contingency),0))</f>
        <v>0</v>
      </c>
      <c r="E41" s="94">
        <f>IF(Option1="No",0,IF($A41&lt;ImplementationYear,0,IF($A41&gt;(ImplementationYear+(Appraisal_Period-1)),0,('Project details'!$H$11-'Project details'!$D$11)*VLOOKUP(Year_cost_estimate,'Time-series parameters'!$B$11:$C$89,2,0))*$B41))</f>
        <v>0</v>
      </c>
      <c r="F41" s="94">
        <f>IF(Option1="No",0,IF($A41=ImplementationYear,('Project details'!$H$12-'Project details'!$D$12)*VLOOKUP(Year_cost_estimate,'Time-series parameters'!$B$11:$C$89,2,FALSE)*$B41,0))</f>
        <v>0</v>
      </c>
      <c r="G41" s="97">
        <f>IF(Option1="No",0,IF($A41&lt;ImplementationYear,0,IF($A41&gt;(ImplementationYear+(Appraisal_Period-1)),0,Health!$D$21*$B41)))</f>
        <v>0</v>
      </c>
      <c r="H41" s="97">
        <f>IF(Option1="No",0,IF($A41&lt;ImplementationYear,0,IF($A41&gt;(ImplementationYear+(Appraisal_Period-1)),0,Health!$D$22*$B41)))</f>
        <v>0</v>
      </c>
      <c r="I41" s="97">
        <f>IF(Option1="No",0,IF($A41&lt;ImplementationYear,0,IF($A41&gt;(ImplementationYear+(Appraisal_Period-1)),0,SUM('Travel time'!$D$22:$D$23)*$B41)))</f>
        <v>0</v>
      </c>
      <c r="J41" s="97">
        <f>IF(Option1="No",0,IF($A41&lt;ImplementationYear,0,IF($A41&gt;(ImplementationYear+(Appraisal_Period-1)),0,SUM('Travel time'!$D$20:$D$21)*$B41)))</f>
        <v>0</v>
      </c>
      <c r="K41" s="97">
        <f>IF(Option1="No",0,IF($A41&lt;ImplementationYear,0,IF($A41&gt;(ImplementationYear+(Appraisal_Period-1)),0,SUM(Quality!$D$22:$D$23)*$B41)))</f>
        <v>0</v>
      </c>
      <c r="L41" s="97">
        <f>IF(Option1="No",0,IF($A41&lt;ImplementationYear,0,IF($A41&gt;(ImplementationYear+(Appraisal_Period-1)),0,SUM(Quality!$D$20:$D$21)*$B41)))</f>
        <v>0</v>
      </c>
      <c r="M41" s="97">
        <f>IF(Option1="No",0,IF($A41&lt;ImplementationYear,0,IF($A41&gt;(ImplementationYear+(Appraisal_Period-1)),0,'Mode change'!$D$36*$B41)))</f>
        <v>0</v>
      </c>
      <c r="N41" s="97">
        <f>IF(Option1="No",0,IF($A41&lt;ImplementationYear,0,IF($A41&gt;(ImplementationYear+(Appraisal_Period-1)),0,'Mode change'!$D$37*$B41)))</f>
        <v>0</v>
      </c>
      <c r="O41" s="97">
        <f>IF(Option1="No",0,IF($A41&lt;ImplementationYear,0,IF($A41&gt;(ImplementationYear+(Appraisal_Period-1)),0,'Road safety'!$D$22*$B41)))</f>
        <v>0</v>
      </c>
      <c r="P41" s="97">
        <f>IF(Option1="No",0,IF($A41&lt;ImplementationYear,0,IF($A41&gt;(ImplementationYear+(Appraisal_Period-1)),0,'Reduction in car usage'!$D$46*$B41)))</f>
        <v>0</v>
      </c>
      <c r="Q41" s="97">
        <f>IF(Option1="No",0,IF($A41&lt;ImplementationYear,0,IF($A41&gt;(ImplementationYear+(Appraisal_Period-1)),0,'Reduction in car usage'!$D$47*$B41)))</f>
        <v>0</v>
      </c>
      <c r="R41" s="97">
        <f>IF(Option1="No",0,IF($A41&lt;ImplementationYear,0,IF($A41&gt;(ImplementationYear+(Appraisal_Period-1)),0,'Reduction in car usage'!$D$48*$B41)))</f>
        <v>0</v>
      </c>
      <c r="S41" s="92"/>
      <c r="T41" s="94">
        <f>IF(Option2="No",0,IF($A41=ImplementationYear,('Project details'!$L$10-'Project details'!$D$10)*VLOOKUP(Year_cost_estimate,'Time-series parameters'!$B$11:$C$89,2,FALSE)*$B41*(1+Contingency),0))</f>
        <v>0</v>
      </c>
      <c r="U41" s="94">
        <f>IF(Option2="No",0,IF($A41&lt;ImplementationYear,0,IF($A41&gt;(ImplementationYear+(Appraisal_Period-1)),0,('Project details'!$L$11-'Project details'!$D$11)*VLOOKUP(Year_cost_estimate,'Time-series parameters'!$B$11:$C$89,2,0))*$B41))</f>
        <v>0</v>
      </c>
      <c r="V41" s="94">
        <f>IF(Option2="No",0,IF($A41=ImplementationYear,('Project details'!$L$12-'Project details'!$D$12)*VLOOKUP(Year_cost_estimate,'Time-series parameters'!$B$11:$C$89,2,FALSE)*$B41,0))</f>
        <v>0</v>
      </c>
      <c r="W41" s="97">
        <f>IF(Option2="No",0,IF($A41&lt;ImplementationYear,0,IF($A41&gt;(ImplementationYear+(Appraisal_Period-1)),0,Health!$E$21*$B41)))</f>
        <v>0</v>
      </c>
      <c r="X41" s="97">
        <f>IF(Option2="No",0,IF($A41&lt;ImplementationYear,0,IF($A41&gt;(ImplementationYear+(Appraisal_Period-1)),0,Health!$E$22*$B41)))</f>
        <v>0</v>
      </c>
      <c r="Y41" s="97">
        <f>IF(Option2="No",0,IF($A41&lt;ImplementationYear,0,IF($A41&gt;(ImplementationYear+(Appraisal_Period-1)),0,SUM('Travel time'!$E$22:$E$23)*$B41)))</f>
        <v>0</v>
      </c>
      <c r="Z41" s="97">
        <f>IF(Option2="No",0,IF($A41&lt;ImplementationYear,0,IF($A41&gt;(ImplementationYear+(Appraisal_Period-1)),0,SUM('Travel time'!$E$20:$E$21)*$B41)))</f>
        <v>0</v>
      </c>
      <c r="AA41" s="97">
        <f>IF(Option2="No",0,IF($A41&lt;ImplementationYear,0,IF($A41&gt;(ImplementationYear+(Appraisal_Period-1)),0,SUM(Quality!$E$22:$E$23)*$B41)))</f>
        <v>0</v>
      </c>
      <c r="AB41" s="97">
        <f>IF(Option2="No",0,IF($A41&lt;ImplementationYear,0,IF($A41&gt;(ImplementationYear+(Appraisal_Period-1)),0,SUM(Quality!$E$20:$E$21)*$B41)))</f>
        <v>0</v>
      </c>
      <c r="AC41" s="97">
        <f>IF(Option2="No",0,IF($A41&lt;ImplementationYear,0,IF($A41&gt;(ImplementationYear+(Appraisal_Period-1)),0,'Mode change'!$E$36*$B41)))</f>
        <v>0</v>
      </c>
      <c r="AD41" s="97">
        <f>IF(Option2="No",0,IF($A41&lt;ImplementationYear,0,IF($A41&gt;(ImplementationYear+(Appraisal_Period-1)),0,'Mode change'!$E$37*$B41)))</f>
        <v>0</v>
      </c>
      <c r="AE41" s="97">
        <f>IF(Option2="No",0,IF($A41&lt;ImplementationYear,0,IF($A41&gt;(ImplementationYear+(Appraisal_Period-1)),0,'Road safety'!$E$22*$B41)))</f>
        <v>0</v>
      </c>
      <c r="AF41" s="97">
        <f>IF(Option2="No",0,IF($A41&lt;ImplementationYear,0,IF($A41&gt;(ImplementationYear+(Appraisal_Period-1)),0,'Reduction in car usage'!$E$46*$B41)))</f>
        <v>0</v>
      </c>
      <c r="AG41" s="97">
        <f>IF(Option2="No",0,IF($A41&lt;ImplementationYear,0,IF($A41&gt;(ImplementationYear+(Appraisal_Period-1)),0,'Reduction in car usage'!$E$47*$B41)))</f>
        <v>0</v>
      </c>
      <c r="AH41" s="97">
        <f>IF(Option2="No",0,IF($A41&lt;ImplementationYear,0,IF($A41&gt;(ImplementationYear+(Appraisal_Period-1)),0,'Reduction in car usage'!$E$48*$B41)))</f>
        <v>0</v>
      </c>
      <c r="AJ41" s="94">
        <f>IF(Option3="No",0,IF($A41=ImplementationYear,('Project details'!$P$10-'Project details'!$D$10)*VLOOKUP(Year_cost_estimate,'Time-series parameters'!$B$11:$C$89,2,FALSE)*$B41*(1+Contingency),0))</f>
        <v>0</v>
      </c>
      <c r="AK41" s="94">
        <f>IF(Option3="No",0,IF($A41&lt;ImplementationYear,0,IF($A41&gt;(ImplementationYear+(Appraisal_Period-1)),0,('Project details'!$P$11-'Project details'!$D$11)*VLOOKUP(Year_cost_estimate,'Time-series parameters'!$B$11:$C$89,2,0))*$B41))</f>
        <v>0</v>
      </c>
      <c r="AL41" s="94">
        <f>IF(Option3="No",0,IF($A41=ImplementationYear,('Project details'!$P$12-'Project details'!$D$12)*VLOOKUP(Year_cost_estimate,'Time-series parameters'!$B$11:$C$89,2,FALSE)*$B41,0))</f>
        <v>0</v>
      </c>
      <c r="AM41" s="97">
        <f>IF(Option3="No",0,IF($A41&lt;ImplementationYear,0,IF($A41&gt;(ImplementationYear+(Appraisal_Period-1)),0,Health!$F$21*$B41)))</f>
        <v>0</v>
      </c>
      <c r="AN41" s="97">
        <f>IF(Option3="No",0,IF($A41&lt;ImplementationYear,0,IF($A41&gt;(ImplementationYear+(Appraisal_Period-1)),0,Health!$F$22*$B41)))</f>
        <v>0</v>
      </c>
      <c r="AO41" s="97">
        <f>IF(Option3="No",0,IF($A41&lt;ImplementationYear,0,IF($A41&gt;(ImplementationYear+(Appraisal_Period-1)),0,SUM('Travel time'!$F$22:$F$23)*$B41)))</f>
        <v>0</v>
      </c>
      <c r="AP41" s="97">
        <f>IF(Option3="No",0,IF($A41&lt;ImplementationYear,0,IF($A41&gt;(ImplementationYear+(Appraisal_Period-1)),0,SUM('Travel time'!$F$20:$F$21)*$B41)))</f>
        <v>0</v>
      </c>
      <c r="AQ41" s="97">
        <f>IF(Option3="No",0,IF($A41&lt;ImplementationYear,0,IF($A41&gt;(ImplementationYear+(Appraisal_Period-1)),0,SUM(Quality!$F$22:$F$23)*$B41)))</f>
        <v>0</v>
      </c>
      <c r="AR41" s="97">
        <f>IF(Option3="No",0,IF($A41&lt;ImplementationYear,0,IF($A41&gt;(ImplementationYear+(Appraisal_Period-1)),0,SUM(Quality!$F$20:$F$21)*$B41)))</f>
        <v>0</v>
      </c>
      <c r="AS41" s="97">
        <f>IF(Option3="No",0,IF($A41&lt;ImplementationYear,0,IF($A41&gt;(ImplementationYear+(Appraisal_Period-1)),0,'Mode change'!$F$36*$B41)))</f>
        <v>0</v>
      </c>
      <c r="AT41" s="97">
        <f>IF(Option3="No",0,IF($A41&lt;ImplementationYear,0,IF($A41&gt;(ImplementationYear+(Appraisal_Period-1)),0,'Mode change'!$F$37*$B41)))</f>
        <v>0</v>
      </c>
      <c r="AU41" s="97">
        <f>IF(Option3="No",0,IF($A41&lt;ImplementationYear,0,IF($A41&gt;(ImplementationYear+(Appraisal_Period-1)),0,'Road safety'!$F$22*$B41)))</f>
        <v>0</v>
      </c>
      <c r="AV41" s="97">
        <f>IF(Option3="No",0,IF($A41&lt;ImplementationYear,0,IF($A41&gt;(ImplementationYear+(Appraisal_Period-1)),0,'Reduction in car usage'!$F$46*$B41)))</f>
        <v>0</v>
      </c>
      <c r="AW41" s="97">
        <f>IF(Option3="No",0,IF($A41&lt;ImplementationYear,0,IF($A41&gt;(ImplementationYear+(Appraisal_Period-1)),0,'Reduction in car usage'!$F$47*$B41)))</f>
        <v>0</v>
      </c>
      <c r="AX41" s="97">
        <f>IF(Option3="No",0,IF($A41&lt;ImplementationYear,0,IF($A41&gt;(ImplementationYear+(Appraisal_Period-1)),0,'Reduction in car usage'!$F$48*$B41)))</f>
        <v>0</v>
      </c>
    </row>
    <row r="42" spans="1:50">
      <c r="A42" s="335">
        <v>2037</v>
      </c>
      <c r="B42" s="62">
        <f>VLOOKUP($A42,'Time-series parameters'!$E$11:$H$89,4,FALSE)</f>
        <v>0.34598084818369768</v>
      </c>
      <c r="C42" s="89"/>
      <c r="D42" s="94">
        <f>IF(Option1="No",0,IF($A42=ImplementationYear,('Project details'!$H$10-'Project details'!$D$10)*VLOOKUP(Year_cost_estimate,'Time-series parameters'!$B$11:$C$89,2,FALSE)*$B42*(1+Contingency),0))</f>
        <v>0</v>
      </c>
      <c r="E42" s="94">
        <f>IF(Option1="No",0,IF($A42&lt;ImplementationYear,0,IF($A42&gt;(ImplementationYear+(Appraisal_Period-1)),0,('Project details'!$H$11-'Project details'!$D$11)*VLOOKUP(Year_cost_estimate,'Time-series parameters'!$B$11:$C$89,2,0))*$B42))</f>
        <v>0</v>
      </c>
      <c r="F42" s="94">
        <f>IF(Option1="No",0,IF($A42=ImplementationYear,('Project details'!$H$12-'Project details'!$D$12)*VLOOKUP(Year_cost_estimate,'Time-series parameters'!$B$11:$C$89,2,FALSE)*$B42,0))</f>
        <v>0</v>
      </c>
      <c r="G42" s="97">
        <f>IF(Option1="No",0,IF($A42&lt;ImplementationYear,0,IF($A42&gt;(ImplementationYear+(Appraisal_Period-1)),0,Health!$D$21*$B42)))</f>
        <v>0</v>
      </c>
      <c r="H42" s="97">
        <f>IF(Option1="No",0,IF($A42&lt;ImplementationYear,0,IF($A42&gt;(ImplementationYear+(Appraisal_Period-1)),0,Health!$D$22*$B42)))</f>
        <v>0</v>
      </c>
      <c r="I42" s="97">
        <f>IF(Option1="No",0,IF($A42&lt;ImplementationYear,0,IF($A42&gt;(ImplementationYear+(Appraisal_Period-1)),0,SUM('Travel time'!$D$22:$D$23)*$B42)))</f>
        <v>0</v>
      </c>
      <c r="J42" s="97">
        <f>IF(Option1="No",0,IF($A42&lt;ImplementationYear,0,IF($A42&gt;(ImplementationYear+(Appraisal_Period-1)),0,SUM('Travel time'!$D$20:$D$21)*$B42)))</f>
        <v>0</v>
      </c>
      <c r="K42" s="97">
        <f>IF(Option1="No",0,IF($A42&lt;ImplementationYear,0,IF($A42&gt;(ImplementationYear+(Appraisal_Period-1)),0,SUM(Quality!$D$22:$D$23)*$B42)))</f>
        <v>0</v>
      </c>
      <c r="L42" s="97">
        <f>IF(Option1="No",0,IF($A42&lt;ImplementationYear,0,IF($A42&gt;(ImplementationYear+(Appraisal_Period-1)),0,SUM(Quality!$D$20:$D$21)*$B42)))</f>
        <v>0</v>
      </c>
      <c r="M42" s="97">
        <f>IF(Option1="No",0,IF($A42&lt;ImplementationYear,0,IF($A42&gt;(ImplementationYear+(Appraisal_Period-1)),0,'Mode change'!$D$36*$B42)))</f>
        <v>0</v>
      </c>
      <c r="N42" s="97">
        <f>IF(Option1="No",0,IF($A42&lt;ImplementationYear,0,IF($A42&gt;(ImplementationYear+(Appraisal_Period-1)),0,'Mode change'!$D$37*$B42)))</f>
        <v>0</v>
      </c>
      <c r="O42" s="97">
        <f>IF(Option1="No",0,IF($A42&lt;ImplementationYear,0,IF($A42&gt;(ImplementationYear+(Appraisal_Period-1)),0,'Road safety'!$D$22*$B42)))</f>
        <v>0</v>
      </c>
      <c r="P42" s="97">
        <f>IF(Option1="No",0,IF($A42&lt;ImplementationYear,0,IF($A42&gt;(ImplementationYear+(Appraisal_Period-1)),0,'Reduction in car usage'!$D$46*$B42)))</f>
        <v>0</v>
      </c>
      <c r="Q42" s="97">
        <f>IF(Option1="No",0,IF($A42&lt;ImplementationYear,0,IF($A42&gt;(ImplementationYear+(Appraisal_Period-1)),0,'Reduction in car usage'!$D$47*$B42)))</f>
        <v>0</v>
      </c>
      <c r="R42" s="97">
        <f>IF(Option1="No",0,IF($A42&lt;ImplementationYear,0,IF($A42&gt;(ImplementationYear+(Appraisal_Period-1)),0,'Reduction in car usage'!$D$48*$B42)))</f>
        <v>0</v>
      </c>
      <c r="S42" s="92"/>
      <c r="T42" s="94">
        <f>IF(Option2="No",0,IF($A42=ImplementationYear,('Project details'!$L$10-'Project details'!$D$10)*VLOOKUP(Year_cost_estimate,'Time-series parameters'!$B$11:$C$89,2,FALSE)*$B42*(1+Contingency),0))</f>
        <v>0</v>
      </c>
      <c r="U42" s="94">
        <f>IF(Option2="No",0,IF($A42&lt;ImplementationYear,0,IF($A42&gt;(ImplementationYear+(Appraisal_Period-1)),0,('Project details'!$L$11-'Project details'!$D$11)*VLOOKUP(Year_cost_estimate,'Time-series parameters'!$B$11:$C$89,2,0))*$B42))</f>
        <v>0</v>
      </c>
      <c r="V42" s="94">
        <f>IF(Option2="No",0,IF($A42=ImplementationYear,('Project details'!$L$12-'Project details'!$D$12)*VLOOKUP(Year_cost_estimate,'Time-series parameters'!$B$11:$C$89,2,FALSE)*$B42,0))</f>
        <v>0</v>
      </c>
      <c r="W42" s="97">
        <f>IF(Option2="No",0,IF($A42&lt;ImplementationYear,0,IF($A42&gt;(ImplementationYear+(Appraisal_Period-1)),0,Health!$E$21*$B42)))</f>
        <v>0</v>
      </c>
      <c r="X42" s="97">
        <f>IF(Option2="No",0,IF($A42&lt;ImplementationYear,0,IF($A42&gt;(ImplementationYear+(Appraisal_Period-1)),0,Health!$E$22*$B42)))</f>
        <v>0</v>
      </c>
      <c r="Y42" s="97">
        <f>IF(Option2="No",0,IF($A42&lt;ImplementationYear,0,IF($A42&gt;(ImplementationYear+(Appraisal_Period-1)),0,SUM('Travel time'!$E$22:$E$23)*$B42)))</f>
        <v>0</v>
      </c>
      <c r="Z42" s="97">
        <f>IF(Option2="No",0,IF($A42&lt;ImplementationYear,0,IF($A42&gt;(ImplementationYear+(Appraisal_Period-1)),0,SUM('Travel time'!$E$20:$E$21)*$B42)))</f>
        <v>0</v>
      </c>
      <c r="AA42" s="97">
        <f>IF(Option2="No",0,IF($A42&lt;ImplementationYear,0,IF($A42&gt;(ImplementationYear+(Appraisal_Period-1)),0,SUM(Quality!$E$22:$E$23)*$B42)))</f>
        <v>0</v>
      </c>
      <c r="AB42" s="97">
        <f>IF(Option2="No",0,IF($A42&lt;ImplementationYear,0,IF($A42&gt;(ImplementationYear+(Appraisal_Period-1)),0,SUM(Quality!$E$20:$E$21)*$B42)))</f>
        <v>0</v>
      </c>
      <c r="AC42" s="97">
        <f>IF(Option2="No",0,IF($A42&lt;ImplementationYear,0,IF($A42&gt;(ImplementationYear+(Appraisal_Period-1)),0,'Mode change'!$E$36*$B42)))</f>
        <v>0</v>
      </c>
      <c r="AD42" s="97">
        <f>IF(Option2="No",0,IF($A42&lt;ImplementationYear,0,IF($A42&gt;(ImplementationYear+(Appraisal_Period-1)),0,'Mode change'!$E$37*$B42)))</f>
        <v>0</v>
      </c>
      <c r="AE42" s="97">
        <f>IF(Option2="No",0,IF($A42&lt;ImplementationYear,0,IF($A42&gt;(ImplementationYear+(Appraisal_Period-1)),0,'Road safety'!$E$22*$B42)))</f>
        <v>0</v>
      </c>
      <c r="AF42" s="97">
        <f>IF(Option2="No",0,IF($A42&lt;ImplementationYear,0,IF($A42&gt;(ImplementationYear+(Appraisal_Period-1)),0,'Reduction in car usage'!$E$46*$B42)))</f>
        <v>0</v>
      </c>
      <c r="AG42" s="97">
        <f>IF(Option2="No",0,IF($A42&lt;ImplementationYear,0,IF($A42&gt;(ImplementationYear+(Appraisal_Period-1)),0,'Reduction in car usage'!$E$47*$B42)))</f>
        <v>0</v>
      </c>
      <c r="AH42" s="97">
        <f>IF(Option2="No",0,IF($A42&lt;ImplementationYear,0,IF($A42&gt;(ImplementationYear+(Appraisal_Period-1)),0,'Reduction in car usage'!$E$48*$B42)))</f>
        <v>0</v>
      </c>
      <c r="AJ42" s="94">
        <f>IF(Option3="No",0,IF($A42=ImplementationYear,('Project details'!$P$10-'Project details'!$D$10)*VLOOKUP(Year_cost_estimate,'Time-series parameters'!$B$11:$C$89,2,FALSE)*$B42*(1+Contingency),0))</f>
        <v>0</v>
      </c>
      <c r="AK42" s="94">
        <f>IF(Option3="No",0,IF($A42&lt;ImplementationYear,0,IF($A42&gt;(ImplementationYear+(Appraisal_Period-1)),0,('Project details'!$P$11-'Project details'!$D$11)*VLOOKUP(Year_cost_estimate,'Time-series parameters'!$B$11:$C$89,2,0))*$B42))</f>
        <v>0</v>
      </c>
      <c r="AL42" s="94">
        <f>IF(Option3="No",0,IF($A42=ImplementationYear,('Project details'!$P$12-'Project details'!$D$12)*VLOOKUP(Year_cost_estimate,'Time-series parameters'!$B$11:$C$89,2,FALSE)*$B42,0))</f>
        <v>0</v>
      </c>
      <c r="AM42" s="97">
        <f>IF(Option3="No",0,IF($A42&lt;ImplementationYear,0,IF($A42&gt;(ImplementationYear+(Appraisal_Period-1)),0,Health!$F$21*$B42)))</f>
        <v>0</v>
      </c>
      <c r="AN42" s="97">
        <f>IF(Option3="No",0,IF($A42&lt;ImplementationYear,0,IF($A42&gt;(ImplementationYear+(Appraisal_Period-1)),0,Health!$F$22*$B42)))</f>
        <v>0</v>
      </c>
      <c r="AO42" s="97">
        <f>IF(Option3="No",0,IF($A42&lt;ImplementationYear,0,IF($A42&gt;(ImplementationYear+(Appraisal_Period-1)),0,SUM('Travel time'!$F$22:$F$23)*$B42)))</f>
        <v>0</v>
      </c>
      <c r="AP42" s="97">
        <f>IF(Option3="No",0,IF($A42&lt;ImplementationYear,0,IF($A42&gt;(ImplementationYear+(Appraisal_Period-1)),0,SUM('Travel time'!$F$20:$F$21)*$B42)))</f>
        <v>0</v>
      </c>
      <c r="AQ42" s="97">
        <f>IF(Option3="No",0,IF($A42&lt;ImplementationYear,0,IF($A42&gt;(ImplementationYear+(Appraisal_Period-1)),0,SUM(Quality!$F$22:$F$23)*$B42)))</f>
        <v>0</v>
      </c>
      <c r="AR42" s="97">
        <f>IF(Option3="No",0,IF($A42&lt;ImplementationYear,0,IF($A42&gt;(ImplementationYear+(Appraisal_Period-1)),0,SUM(Quality!$F$20:$F$21)*$B42)))</f>
        <v>0</v>
      </c>
      <c r="AS42" s="97">
        <f>IF(Option3="No",0,IF($A42&lt;ImplementationYear,0,IF($A42&gt;(ImplementationYear+(Appraisal_Period-1)),0,'Mode change'!$F$36*$B42)))</f>
        <v>0</v>
      </c>
      <c r="AT42" s="97">
        <f>IF(Option3="No",0,IF($A42&lt;ImplementationYear,0,IF($A42&gt;(ImplementationYear+(Appraisal_Period-1)),0,'Mode change'!$F$37*$B42)))</f>
        <v>0</v>
      </c>
      <c r="AU42" s="97">
        <f>IF(Option3="No",0,IF($A42&lt;ImplementationYear,0,IF($A42&gt;(ImplementationYear+(Appraisal_Period-1)),0,'Road safety'!$F$22*$B42)))</f>
        <v>0</v>
      </c>
      <c r="AV42" s="97">
        <f>IF(Option3="No",0,IF($A42&lt;ImplementationYear,0,IF($A42&gt;(ImplementationYear+(Appraisal_Period-1)),0,'Reduction in car usage'!$F$46*$B42)))</f>
        <v>0</v>
      </c>
      <c r="AW42" s="97">
        <f>IF(Option3="No",0,IF($A42&lt;ImplementationYear,0,IF($A42&gt;(ImplementationYear+(Appraisal_Period-1)),0,'Reduction in car usage'!$F$47*$B42)))</f>
        <v>0</v>
      </c>
      <c r="AX42" s="97">
        <f>IF(Option3="No",0,IF($A42&lt;ImplementationYear,0,IF($A42&gt;(ImplementationYear+(Appraisal_Period-1)),0,'Reduction in car usage'!$F$48*$B42)))</f>
        <v>0</v>
      </c>
    </row>
    <row r="43" spans="1:50">
      <c r="A43" s="335">
        <v>2038</v>
      </c>
      <c r="B43" s="62">
        <f>VLOOKUP($A43,'Time-series parameters'!$E$11:$H$89,4,FALSE)</f>
        <v>0.33214161425634975</v>
      </c>
      <c r="C43" s="89"/>
      <c r="D43" s="94">
        <f>IF(Option1="No",0,IF($A43=ImplementationYear,('Project details'!$H$10-'Project details'!$D$10)*VLOOKUP(Year_cost_estimate,'Time-series parameters'!$B$11:$C$89,2,FALSE)*$B43*(1+Contingency),0))</f>
        <v>0</v>
      </c>
      <c r="E43" s="94">
        <f>IF(Option1="No",0,IF($A43&lt;ImplementationYear,0,IF($A43&gt;(ImplementationYear+(Appraisal_Period-1)),0,('Project details'!$H$11-'Project details'!$D$11)*VLOOKUP(Year_cost_estimate,'Time-series parameters'!$B$11:$C$89,2,0))*$B43))</f>
        <v>0</v>
      </c>
      <c r="F43" s="94">
        <f>IF(Option1="No",0,IF($A43=ImplementationYear,('Project details'!$H$12-'Project details'!$D$12)*VLOOKUP(Year_cost_estimate,'Time-series parameters'!$B$11:$C$89,2,FALSE)*$B43,0))</f>
        <v>0</v>
      </c>
      <c r="G43" s="97">
        <f>IF(Option1="No",0,IF($A43&lt;ImplementationYear,0,IF($A43&gt;(ImplementationYear+(Appraisal_Period-1)),0,Health!$D$21*$B43)))</f>
        <v>0</v>
      </c>
      <c r="H43" s="97">
        <f>IF(Option1="No",0,IF($A43&lt;ImplementationYear,0,IF($A43&gt;(ImplementationYear+(Appraisal_Period-1)),0,Health!$D$22*$B43)))</f>
        <v>0</v>
      </c>
      <c r="I43" s="97">
        <f>IF(Option1="No",0,IF($A43&lt;ImplementationYear,0,IF($A43&gt;(ImplementationYear+(Appraisal_Period-1)),0,SUM('Travel time'!$D$22:$D$23)*$B43)))</f>
        <v>0</v>
      </c>
      <c r="J43" s="97">
        <f>IF(Option1="No",0,IF($A43&lt;ImplementationYear,0,IF($A43&gt;(ImplementationYear+(Appraisal_Period-1)),0,SUM('Travel time'!$D$20:$D$21)*$B43)))</f>
        <v>0</v>
      </c>
      <c r="K43" s="97">
        <f>IF(Option1="No",0,IF($A43&lt;ImplementationYear,0,IF($A43&gt;(ImplementationYear+(Appraisal_Period-1)),0,SUM(Quality!$D$22:$D$23)*$B43)))</f>
        <v>0</v>
      </c>
      <c r="L43" s="97">
        <f>IF(Option1="No",0,IF($A43&lt;ImplementationYear,0,IF($A43&gt;(ImplementationYear+(Appraisal_Period-1)),0,SUM(Quality!$D$20:$D$21)*$B43)))</f>
        <v>0</v>
      </c>
      <c r="M43" s="97">
        <f>IF(Option1="No",0,IF($A43&lt;ImplementationYear,0,IF($A43&gt;(ImplementationYear+(Appraisal_Period-1)),0,'Mode change'!$D$36*$B43)))</f>
        <v>0</v>
      </c>
      <c r="N43" s="97">
        <f>IF(Option1="No",0,IF($A43&lt;ImplementationYear,0,IF($A43&gt;(ImplementationYear+(Appraisal_Period-1)),0,'Mode change'!$D$37*$B43)))</f>
        <v>0</v>
      </c>
      <c r="O43" s="97">
        <f>IF(Option1="No",0,IF($A43&lt;ImplementationYear,0,IF($A43&gt;(ImplementationYear+(Appraisal_Period-1)),0,'Road safety'!$D$22*$B43)))</f>
        <v>0</v>
      </c>
      <c r="P43" s="97">
        <f>IF(Option1="No",0,IF($A43&lt;ImplementationYear,0,IF($A43&gt;(ImplementationYear+(Appraisal_Period-1)),0,'Reduction in car usage'!$D$46*$B43)))</f>
        <v>0</v>
      </c>
      <c r="Q43" s="97">
        <f>IF(Option1="No",0,IF($A43&lt;ImplementationYear,0,IF($A43&gt;(ImplementationYear+(Appraisal_Period-1)),0,'Reduction in car usage'!$D$47*$B43)))</f>
        <v>0</v>
      </c>
      <c r="R43" s="97">
        <f>IF(Option1="No",0,IF($A43&lt;ImplementationYear,0,IF($A43&gt;(ImplementationYear+(Appraisal_Period-1)),0,'Reduction in car usage'!$D$48*$B43)))</f>
        <v>0</v>
      </c>
      <c r="S43" s="92"/>
      <c r="T43" s="94">
        <f>IF(Option2="No",0,IF($A43=ImplementationYear,('Project details'!$L$10-'Project details'!$D$10)*VLOOKUP(Year_cost_estimate,'Time-series parameters'!$B$11:$C$89,2,FALSE)*$B43*(1+Contingency),0))</f>
        <v>0</v>
      </c>
      <c r="U43" s="94">
        <f>IF(Option2="No",0,IF($A43&lt;ImplementationYear,0,IF($A43&gt;(ImplementationYear+(Appraisal_Period-1)),0,('Project details'!$L$11-'Project details'!$D$11)*VLOOKUP(Year_cost_estimate,'Time-series parameters'!$B$11:$C$89,2,0))*$B43))</f>
        <v>0</v>
      </c>
      <c r="V43" s="94">
        <f>IF(Option2="No",0,IF($A43=ImplementationYear,('Project details'!$L$12-'Project details'!$D$12)*VLOOKUP(Year_cost_estimate,'Time-series parameters'!$B$11:$C$89,2,FALSE)*$B43,0))</f>
        <v>0</v>
      </c>
      <c r="W43" s="97">
        <f>IF(Option2="No",0,IF($A43&lt;ImplementationYear,0,IF($A43&gt;(ImplementationYear+(Appraisal_Period-1)),0,Health!$E$21*$B43)))</f>
        <v>0</v>
      </c>
      <c r="X43" s="97">
        <f>IF(Option2="No",0,IF($A43&lt;ImplementationYear,0,IF($A43&gt;(ImplementationYear+(Appraisal_Period-1)),0,Health!$E$22*$B43)))</f>
        <v>0</v>
      </c>
      <c r="Y43" s="97">
        <f>IF(Option2="No",0,IF($A43&lt;ImplementationYear,0,IF($A43&gt;(ImplementationYear+(Appraisal_Period-1)),0,SUM('Travel time'!$E$22:$E$23)*$B43)))</f>
        <v>0</v>
      </c>
      <c r="Z43" s="97">
        <f>IF(Option2="No",0,IF($A43&lt;ImplementationYear,0,IF($A43&gt;(ImplementationYear+(Appraisal_Period-1)),0,SUM('Travel time'!$E$20:$E$21)*$B43)))</f>
        <v>0</v>
      </c>
      <c r="AA43" s="97">
        <f>IF(Option2="No",0,IF($A43&lt;ImplementationYear,0,IF($A43&gt;(ImplementationYear+(Appraisal_Period-1)),0,SUM(Quality!$E$22:$E$23)*$B43)))</f>
        <v>0</v>
      </c>
      <c r="AB43" s="97">
        <f>IF(Option2="No",0,IF($A43&lt;ImplementationYear,0,IF($A43&gt;(ImplementationYear+(Appraisal_Period-1)),0,SUM(Quality!$E$20:$E$21)*$B43)))</f>
        <v>0</v>
      </c>
      <c r="AC43" s="97">
        <f>IF(Option2="No",0,IF($A43&lt;ImplementationYear,0,IF($A43&gt;(ImplementationYear+(Appraisal_Period-1)),0,'Mode change'!$E$36*$B43)))</f>
        <v>0</v>
      </c>
      <c r="AD43" s="97">
        <f>IF(Option2="No",0,IF($A43&lt;ImplementationYear,0,IF($A43&gt;(ImplementationYear+(Appraisal_Period-1)),0,'Mode change'!$E$37*$B43)))</f>
        <v>0</v>
      </c>
      <c r="AE43" s="97">
        <f>IF(Option2="No",0,IF($A43&lt;ImplementationYear,0,IF($A43&gt;(ImplementationYear+(Appraisal_Period-1)),0,'Road safety'!$E$22*$B43)))</f>
        <v>0</v>
      </c>
      <c r="AF43" s="97">
        <f>IF(Option2="No",0,IF($A43&lt;ImplementationYear,0,IF($A43&gt;(ImplementationYear+(Appraisal_Period-1)),0,'Reduction in car usage'!$E$46*$B43)))</f>
        <v>0</v>
      </c>
      <c r="AG43" s="97">
        <f>IF(Option2="No",0,IF($A43&lt;ImplementationYear,0,IF($A43&gt;(ImplementationYear+(Appraisal_Period-1)),0,'Reduction in car usage'!$E$47*$B43)))</f>
        <v>0</v>
      </c>
      <c r="AH43" s="97">
        <f>IF(Option2="No",0,IF($A43&lt;ImplementationYear,0,IF($A43&gt;(ImplementationYear+(Appraisal_Period-1)),0,'Reduction in car usage'!$E$48*$B43)))</f>
        <v>0</v>
      </c>
      <c r="AJ43" s="94">
        <f>IF(Option3="No",0,IF($A43=ImplementationYear,('Project details'!$P$10-'Project details'!$D$10)*VLOOKUP(Year_cost_estimate,'Time-series parameters'!$B$11:$C$89,2,FALSE)*$B43*(1+Contingency),0))</f>
        <v>0</v>
      </c>
      <c r="AK43" s="94">
        <f>IF(Option3="No",0,IF($A43&lt;ImplementationYear,0,IF($A43&gt;(ImplementationYear+(Appraisal_Period-1)),0,('Project details'!$P$11-'Project details'!$D$11)*VLOOKUP(Year_cost_estimate,'Time-series parameters'!$B$11:$C$89,2,0))*$B43))</f>
        <v>0</v>
      </c>
      <c r="AL43" s="94">
        <f>IF(Option3="No",0,IF($A43=ImplementationYear,('Project details'!$P$12-'Project details'!$D$12)*VLOOKUP(Year_cost_estimate,'Time-series parameters'!$B$11:$C$89,2,FALSE)*$B43,0))</f>
        <v>0</v>
      </c>
      <c r="AM43" s="97">
        <f>IF(Option3="No",0,IF($A43&lt;ImplementationYear,0,IF($A43&gt;(ImplementationYear+(Appraisal_Period-1)),0,Health!$F$21*$B43)))</f>
        <v>0</v>
      </c>
      <c r="AN43" s="97">
        <f>IF(Option3="No",0,IF($A43&lt;ImplementationYear,0,IF($A43&gt;(ImplementationYear+(Appraisal_Period-1)),0,Health!$F$22*$B43)))</f>
        <v>0</v>
      </c>
      <c r="AO43" s="97">
        <f>IF(Option3="No",0,IF($A43&lt;ImplementationYear,0,IF($A43&gt;(ImplementationYear+(Appraisal_Period-1)),0,SUM('Travel time'!$F$22:$F$23)*$B43)))</f>
        <v>0</v>
      </c>
      <c r="AP43" s="97">
        <f>IF(Option3="No",0,IF($A43&lt;ImplementationYear,0,IF($A43&gt;(ImplementationYear+(Appraisal_Period-1)),0,SUM('Travel time'!$F$20:$F$21)*$B43)))</f>
        <v>0</v>
      </c>
      <c r="AQ43" s="97">
        <f>IF(Option3="No",0,IF($A43&lt;ImplementationYear,0,IF($A43&gt;(ImplementationYear+(Appraisal_Period-1)),0,SUM(Quality!$F$22:$F$23)*$B43)))</f>
        <v>0</v>
      </c>
      <c r="AR43" s="97">
        <f>IF(Option3="No",0,IF($A43&lt;ImplementationYear,0,IF($A43&gt;(ImplementationYear+(Appraisal_Period-1)),0,SUM(Quality!$F$20:$F$21)*$B43)))</f>
        <v>0</v>
      </c>
      <c r="AS43" s="97">
        <f>IF(Option3="No",0,IF($A43&lt;ImplementationYear,0,IF($A43&gt;(ImplementationYear+(Appraisal_Period-1)),0,'Mode change'!$F$36*$B43)))</f>
        <v>0</v>
      </c>
      <c r="AT43" s="97">
        <f>IF(Option3="No",0,IF($A43&lt;ImplementationYear,0,IF($A43&gt;(ImplementationYear+(Appraisal_Period-1)),0,'Mode change'!$F$37*$B43)))</f>
        <v>0</v>
      </c>
      <c r="AU43" s="97">
        <f>IF(Option3="No",0,IF($A43&lt;ImplementationYear,0,IF($A43&gt;(ImplementationYear+(Appraisal_Period-1)),0,'Road safety'!$F$22*$B43)))</f>
        <v>0</v>
      </c>
      <c r="AV43" s="97">
        <f>IF(Option3="No",0,IF($A43&lt;ImplementationYear,0,IF($A43&gt;(ImplementationYear+(Appraisal_Period-1)),0,'Reduction in car usage'!$F$46*$B43)))</f>
        <v>0</v>
      </c>
      <c r="AW43" s="97">
        <f>IF(Option3="No",0,IF($A43&lt;ImplementationYear,0,IF($A43&gt;(ImplementationYear+(Appraisal_Period-1)),0,'Reduction in car usage'!$F$47*$B43)))</f>
        <v>0</v>
      </c>
      <c r="AX43" s="97">
        <f>IF(Option3="No",0,IF($A43&lt;ImplementationYear,0,IF($A43&gt;(ImplementationYear+(Appraisal_Period-1)),0,'Reduction in car usage'!$F$48*$B43)))</f>
        <v>0</v>
      </c>
    </row>
    <row r="44" spans="1:50">
      <c r="A44" s="335">
        <v>2039</v>
      </c>
      <c r="B44" s="62">
        <f>VLOOKUP($A44,'Time-series parameters'!$E$11:$H$89,4,FALSE)</f>
        <v>0.31885594968609576</v>
      </c>
      <c r="C44" s="89"/>
      <c r="D44" s="94">
        <f>IF(Option1="No",0,IF($A44=ImplementationYear,('Project details'!$H$10-'Project details'!$D$10)*VLOOKUP(Year_cost_estimate,'Time-series parameters'!$B$11:$C$89,2,FALSE)*$B44*(1+Contingency),0))</f>
        <v>0</v>
      </c>
      <c r="E44" s="94">
        <f>IF(Option1="No",0,IF($A44&lt;ImplementationYear,0,IF($A44&gt;(ImplementationYear+(Appraisal_Period-1)),0,('Project details'!$H$11-'Project details'!$D$11)*VLOOKUP(Year_cost_estimate,'Time-series parameters'!$B$11:$C$89,2,0))*$B44))</f>
        <v>0</v>
      </c>
      <c r="F44" s="94">
        <f>IF(Option1="No",0,IF($A44=ImplementationYear,('Project details'!$H$12-'Project details'!$D$12)*VLOOKUP(Year_cost_estimate,'Time-series parameters'!$B$11:$C$89,2,FALSE)*$B44,0))</f>
        <v>0</v>
      </c>
      <c r="G44" s="97">
        <f>IF(Option1="No",0,IF($A44&lt;ImplementationYear,0,IF($A44&gt;(ImplementationYear+(Appraisal_Period-1)),0,Health!$D$21*$B44)))</f>
        <v>0</v>
      </c>
      <c r="H44" s="97">
        <f>IF(Option1="No",0,IF($A44&lt;ImplementationYear,0,IF($A44&gt;(ImplementationYear+(Appraisal_Period-1)),0,Health!$D$22*$B44)))</f>
        <v>0</v>
      </c>
      <c r="I44" s="97">
        <f>IF(Option1="No",0,IF($A44&lt;ImplementationYear,0,IF($A44&gt;(ImplementationYear+(Appraisal_Period-1)),0,SUM('Travel time'!$D$22:$D$23)*$B44)))</f>
        <v>0</v>
      </c>
      <c r="J44" s="97">
        <f>IF(Option1="No",0,IF($A44&lt;ImplementationYear,0,IF($A44&gt;(ImplementationYear+(Appraisal_Period-1)),0,SUM('Travel time'!$D$20:$D$21)*$B44)))</f>
        <v>0</v>
      </c>
      <c r="K44" s="97">
        <f>IF(Option1="No",0,IF($A44&lt;ImplementationYear,0,IF($A44&gt;(ImplementationYear+(Appraisal_Period-1)),0,SUM(Quality!$D$22:$D$23)*$B44)))</f>
        <v>0</v>
      </c>
      <c r="L44" s="97">
        <f>IF(Option1="No",0,IF($A44&lt;ImplementationYear,0,IF($A44&gt;(ImplementationYear+(Appraisal_Period-1)),0,SUM(Quality!$D$20:$D$21)*$B44)))</f>
        <v>0</v>
      </c>
      <c r="M44" s="97">
        <f>IF(Option1="No",0,IF($A44&lt;ImplementationYear,0,IF($A44&gt;(ImplementationYear+(Appraisal_Period-1)),0,'Mode change'!$D$36*$B44)))</f>
        <v>0</v>
      </c>
      <c r="N44" s="97">
        <f>IF(Option1="No",0,IF($A44&lt;ImplementationYear,0,IF($A44&gt;(ImplementationYear+(Appraisal_Period-1)),0,'Mode change'!$D$37*$B44)))</f>
        <v>0</v>
      </c>
      <c r="O44" s="97">
        <f>IF(Option1="No",0,IF($A44&lt;ImplementationYear,0,IF($A44&gt;(ImplementationYear+(Appraisal_Period-1)),0,'Road safety'!$D$22*$B44)))</f>
        <v>0</v>
      </c>
      <c r="P44" s="97">
        <f>IF(Option1="No",0,IF($A44&lt;ImplementationYear,0,IF($A44&gt;(ImplementationYear+(Appraisal_Period-1)),0,'Reduction in car usage'!$D$46*$B44)))</f>
        <v>0</v>
      </c>
      <c r="Q44" s="97">
        <f>IF(Option1="No",0,IF($A44&lt;ImplementationYear,0,IF($A44&gt;(ImplementationYear+(Appraisal_Period-1)),0,'Reduction in car usage'!$D$47*$B44)))</f>
        <v>0</v>
      </c>
      <c r="R44" s="97">
        <f>IF(Option1="No",0,IF($A44&lt;ImplementationYear,0,IF($A44&gt;(ImplementationYear+(Appraisal_Period-1)),0,'Reduction in car usage'!$D$48*$B44)))</f>
        <v>0</v>
      </c>
      <c r="S44" s="92"/>
      <c r="T44" s="94">
        <f>IF(Option2="No",0,IF($A44=ImplementationYear,('Project details'!$L$10-'Project details'!$D$10)*VLOOKUP(Year_cost_estimate,'Time-series parameters'!$B$11:$C$89,2,FALSE)*$B44*(1+Contingency),0))</f>
        <v>0</v>
      </c>
      <c r="U44" s="94">
        <f>IF(Option2="No",0,IF($A44&lt;ImplementationYear,0,IF($A44&gt;(ImplementationYear+(Appraisal_Period-1)),0,('Project details'!$L$11-'Project details'!$D$11)*VLOOKUP(Year_cost_estimate,'Time-series parameters'!$B$11:$C$89,2,0))*$B44))</f>
        <v>0</v>
      </c>
      <c r="V44" s="94">
        <f>IF(Option2="No",0,IF($A44=ImplementationYear,('Project details'!$L$12-'Project details'!$D$12)*VLOOKUP(Year_cost_estimate,'Time-series parameters'!$B$11:$C$89,2,FALSE)*$B44,0))</f>
        <v>0</v>
      </c>
      <c r="W44" s="97">
        <f>IF(Option2="No",0,IF($A44&lt;ImplementationYear,0,IF($A44&gt;(ImplementationYear+(Appraisal_Period-1)),0,Health!$E$21*$B44)))</f>
        <v>0</v>
      </c>
      <c r="X44" s="97">
        <f>IF(Option2="No",0,IF($A44&lt;ImplementationYear,0,IF($A44&gt;(ImplementationYear+(Appraisal_Period-1)),0,Health!$E$22*$B44)))</f>
        <v>0</v>
      </c>
      <c r="Y44" s="97">
        <f>IF(Option2="No",0,IF($A44&lt;ImplementationYear,0,IF($A44&gt;(ImplementationYear+(Appraisal_Period-1)),0,SUM('Travel time'!$E$22:$E$23)*$B44)))</f>
        <v>0</v>
      </c>
      <c r="Z44" s="97">
        <f>IF(Option2="No",0,IF($A44&lt;ImplementationYear,0,IF($A44&gt;(ImplementationYear+(Appraisal_Period-1)),0,SUM('Travel time'!$E$20:$E$21)*$B44)))</f>
        <v>0</v>
      </c>
      <c r="AA44" s="97">
        <f>IF(Option2="No",0,IF($A44&lt;ImplementationYear,0,IF($A44&gt;(ImplementationYear+(Appraisal_Period-1)),0,SUM(Quality!$E$22:$E$23)*$B44)))</f>
        <v>0</v>
      </c>
      <c r="AB44" s="97">
        <f>IF(Option2="No",0,IF($A44&lt;ImplementationYear,0,IF($A44&gt;(ImplementationYear+(Appraisal_Period-1)),0,SUM(Quality!$E$20:$E$21)*$B44)))</f>
        <v>0</v>
      </c>
      <c r="AC44" s="97">
        <f>IF(Option2="No",0,IF($A44&lt;ImplementationYear,0,IF($A44&gt;(ImplementationYear+(Appraisal_Period-1)),0,'Mode change'!$E$36*$B44)))</f>
        <v>0</v>
      </c>
      <c r="AD44" s="97">
        <f>IF(Option2="No",0,IF($A44&lt;ImplementationYear,0,IF($A44&gt;(ImplementationYear+(Appraisal_Period-1)),0,'Mode change'!$E$37*$B44)))</f>
        <v>0</v>
      </c>
      <c r="AE44" s="97">
        <f>IF(Option2="No",0,IF($A44&lt;ImplementationYear,0,IF($A44&gt;(ImplementationYear+(Appraisal_Period-1)),0,'Road safety'!$E$22*$B44)))</f>
        <v>0</v>
      </c>
      <c r="AF44" s="97">
        <f>IF(Option2="No",0,IF($A44&lt;ImplementationYear,0,IF($A44&gt;(ImplementationYear+(Appraisal_Period-1)),0,'Reduction in car usage'!$E$46*$B44)))</f>
        <v>0</v>
      </c>
      <c r="AG44" s="97">
        <f>IF(Option2="No",0,IF($A44&lt;ImplementationYear,0,IF($A44&gt;(ImplementationYear+(Appraisal_Period-1)),0,'Reduction in car usage'!$E$47*$B44)))</f>
        <v>0</v>
      </c>
      <c r="AH44" s="97">
        <f>IF(Option2="No",0,IF($A44&lt;ImplementationYear,0,IF($A44&gt;(ImplementationYear+(Appraisal_Period-1)),0,'Reduction in car usage'!$E$48*$B44)))</f>
        <v>0</v>
      </c>
      <c r="AJ44" s="94">
        <f>IF(Option3="No",0,IF($A44=ImplementationYear,('Project details'!$P$10-'Project details'!$D$10)*VLOOKUP(Year_cost_estimate,'Time-series parameters'!$B$11:$C$89,2,FALSE)*$B44*(1+Contingency),0))</f>
        <v>0</v>
      </c>
      <c r="AK44" s="94">
        <f>IF(Option3="No",0,IF($A44&lt;ImplementationYear,0,IF($A44&gt;(ImplementationYear+(Appraisal_Period-1)),0,('Project details'!$P$11-'Project details'!$D$11)*VLOOKUP(Year_cost_estimate,'Time-series parameters'!$B$11:$C$89,2,0))*$B44))</f>
        <v>0</v>
      </c>
      <c r="AL44" s="94">
        <f>IF(Option3="No",0,IF($A44=ImplementationYear,('Project details'!$P$12-'Project details'!$D$12)*VLOOKUP(Year_cost_estimate,'Time-series parameters'!$B$11:$C$89,2,FALSE)*$B44,0))</f>
        <v>0</v>
      </c>
      <c r="AM44" s="97">
        <f>IF(Option3="No",0,IF($A44&lt;ImplementationYear,0,IF($A44&gt;(ImplementationYear+(Appraisal_Period-1)),0,Health!$F$21*$B44)))</f>
        <v>0</v>
      </c>
      <c r="AN44" s="97">
        <f>IF(Option3="No",0,IF($A44&lt;ImplementationYear,0,IF($A44&gt;(ImplementationYear+(Appraisal_Period-1)),0,Health!$F$22*$B44)))</f>
        <v>0</v>
      </c>
      <c r="AO44" s="97">
        <f>IF(Option3="No",0,IF($A44&lt;ImplementationYear,0,IF($A44&gt;(ImplementationYear+(Appraisal_Period-1)),0,SUM('Travel time'!$F$22:$F$23)*$B44)))</f>
        <v>0</v>
      </c>
      <c r="AP44" s="97">
        <f>IF(Option3="No",0,IF($A44&lt;ImplementationYear,0,IF($A44&gt;(ImplementationYear+(Appraisal_Period-1)),0,SUM('Travel time'!$F$20:$F$21)*$B44)))</f>
        <v>0</v>
      </c>
      <c r="AQ44" s="97">
        <f>IF(Option3="No",0,IF($A44&lt;ImplementationYear,0,IF($A44&gt;(ImplementationYear+(Appraisal_Period-1)),0,SUM(Quality!$F$22:$F$23)*$B44)))</f>
        <v>0</v>
      </c>
      <c r="AR44" s="97">
        <f>IF(Option3="No",0,IF($A44&lt;ImplementationYear,0,IF($A44&gt;(ImplementationYear+(Appraisal_Period-1)),0,SUM(Quality!$F$20:$F$21)*$B44)))</f>
        <v>0</v>
      </c>
      <c r="AS44" s="97">
        <f>IF(Option3="No",0,IF($A44&lt;ImplementationYear,0,IF($A44&gt;(ImplementationYear+(Appraisal_Period-1)),0,'Mode change'!$F$36*$B44)))</f>
        <v>0</v>
      </c>
      <c r="AT44" s="97">
        <f>IF(Option3="No",0,IF($A44&lt;ImplementationYear,0,IF($A44&gt;(ImplementationYear+(Appraisal_Period-1)),0,'Mode change'!$F$37*$B44)))</f>
        <v>0</v>
      </c>
      <c r="AU44" s="97">
        <f>IF(Option3="No",0,IF($A44&lt;ImplementationYear,0,IF($A44&gt;(ImplementationYear+(Appraisal_Period-1)),0,'Road safety'!$F$22*$B44)))</f>
        <v>0</v>
      </c>
      <c r="AV44" s="97">
        <f>IF(Option3="No",0,IF($A44&lt;ImplementationYear,0,IF($A44&gt;(ImplementationYear+(Appraisal_Period-1)),0,'Reduction in car usage'!$F$46*$B44)))</f>
        <v>0</v>
      </c>
      <c r="AW44" s="97">
        <f>IF(Option3="No",0,IF($A44&lt;ImplementationYear,0,IF($A44&gt;(ImplementationYear+(Appraisal_Period-1)),0,'Reduction in car usage'!$F$47*$B44)))</f>
        <v>0</v>
      </c>
      <c r="AX44" s="97">
        <f>IF(Option3="No",0,IF($A44&lt;ImplementationYear,0,IF($A44&gt;(ImplementationYear+(Appraisal_Period-1)),0,'Reduction in car usage'!$F$48*$B44)))</f>
        <v>0</v>
      </c>
    </row>
    <row r="45" spans="1:50">
      <c r="A45" s="335">
        <v>2040</v>
      </c>
      <c r="B45" s="62">
        <f>VLOOKUP($A45,'Time-series parameters'!$E$11:$H$89,4,FALSE)</f>
        <v>0.30610171169865191</v>
      </c>
      <c r="C45" s="89"/>
      <c r="D45" s="94">
        <f>IF(Option1="No",0,IF($A45=ImplementationYear,('Project details'!$H$10-'Project details'!$D$10)*VLOOKUP(Year_cost_estimate,'Time-series parameters'!$B$11:$C$89,2,FALSE)*$B45*(1+Contingency),0))</f>
        <v>0</v>
      </c>
      <c r="E45" s="94">
        <f>IF(Option1="No",0,IF($A45&lt;ImplementationYear,0,IF($A45&gt;(ImplementationYear+(Appraisal_Period-1)),0,('Project details'!$H$11-'Project details'!$D$11)*VLOOKUP(Year_cost_estimate,'Time-series parameters'!$B$11:$C$89,2,0))*$B45))</f>
        <v>0</v>
      </c>
      <c r="F45" s="94">
        <f>IF(Option1="No",0,IF($A45=ImplementationYear,('Project details'!$H$12-'Project details'!$D$12)*VLOOKUP(Year_cost_estimate,'Time-series parameters'!$B$11:$C$89,2,FALSE)*$B45,0))</f>
        <v>0</v>
      </c>
      <c r="G45" s="97">
        <f>IF(Option1="No",0,IF($A45&lt;ImplementationYear,0,IF($A45&gt;(ImplementationYear+(Appraisal_Period-1)),0,Health!$D$21*$B45)))</f>
        <v>0</v>
      </c>
      <c r="H45" s="97">
        <f>IF(Option1="No",0,IF($A45&lt;ImplementationYear,0,IF($A45&gt;(ImplementationYear+(Appraisal_Period-1)),0,Health!$D$22*$B45)))</f>
        <v>0</v>
      </c>
      <c r="I45" s="97">
        <f>IF(Option1="No",0,IF($A45&lt;ImplementationYear,0,IF($A45&gt;(ImplementationYear+(Appraisal_Period-1)),0,SUM('Travel time'!$D$22:$D$23)*$B45)))</f>
        <v>0</v>
      </c>
      <c r="J45" s="97">
        <f>IF(Option1="No",0,IF($A45&lt;ImplementationYear,0,IF($A45&gt;(ImplementationYear+(Appraisal_Period-1)),0,SUM('Travel time'!$D$20:$D$21)*$B45)))</f>
        <v>0</v>
      </c>
      <c r="K45" s="97">
        <f>IF(Option1="No",0,IF($A45&lt;ImplementationYear,0,IF($A45&gt;(ImplementationYear+(Appraisal_Period-1)),0,SUM(Quality!$D$22:$D$23)*$B45)))</f>
        <v>0</v>
      </c>
      <c r="L45" s="97">
        <f>IF(Option1="No",0,IF($A45&lt;ImplementationYear,0,IF($A45&gt;(ImplementationYear+(Appraisal_Period-1)),0,SUM(Quality!$D$20:$D$21)*$B45)))</f>
        <v>0</v>
      </c>
      <c r="M45" s="97">
        <f>IF(Option1="No",0,IF($A45&lt;ImplementationYear,0,IF($A45&gt;(ImplementationYear+(Appraisal_Period-1)),0,'Mode change'!$D$36*$B45)))</f>
        <v>0</v>
      </c>
      <c r="N45" s="97">
        <f>IF(Option1="No",0,IF($A45&lt;ImplementationYear,0,IF($A45&gt;(ImplementationYear+(Appraisal_Period-1)),0,'Mode change'!$D$37*$B45)))</f>
        <v>0</v>
      </c>
      <c r="O45" s="97">
        <f>IF(Option1="No",0,IF($A45&lt;ImplementationYear,0,IF($A45&gt;(ImplementationYear+(Appraisal_Period-1)),0,'Road safety'!$D$22*$B45)))</f>
        <v>0</v>
      </c>
      <c r="P45" s="97">
        <f>IF(Option1="No",0,IF($A45&lt;ImplementationYear,0,IF($A45&gt;(ImplementationYear+(Appraisal_Period-1)),0,'Reduction in car usage'!$D$46*$B45)))</f>
        <v>0</v>
      </c>
      <c r="Q45" s="97">
        <f>IF(Option1="No",0,IF($A45&lt;ImplementationYear,0,IF($A45&gt;(ImplementationYear+(Appraisal_Period-1)),0,'Reduction in car usage'!$D$47*$B45)))</f>
        <v>0</v>
      </c>
      <c r="R45" s="97">
        <f>IF(Option1="No",0,IF($A45&lt;ImplementationYear,0,IF($A45&gt;(ImplementationYear+(Appraisal_Period-1)),0,'Reduction in car usage'!$D$48*$B45)))</f>
        <v>0</v>
      </c>
      <c r="S45" s="92"/>
      <c r="T45" s="94">
        <f>IF(Option2="No",0,IF($A45=ImplementationYear,('Project details'!$L$10-'Project details'!$D$10)*VLOOKUP(Year_cost_estimate,'Time-series parameters'!$B$11:$C$89,2,FALSE)*$B45*(1+Contingency),0))</f>
        <v>0</v>
      </c>
      <c r="U45" s="94">
        <f>IF(Option2="No",0,IF($A45&lt;ImplementationYear,0,IF($A45&gt;(ImplementationYear+(Appraisal_Period-1)),0,('Project details'!$L$11-'Project details'!$D$11)*VLOOKUP(Year_cost_estimate,'Time-series parameters'!$B$11:$C$89,2,0))*$B45))</f>
        <v>0</v>
      </c>
      <c r="V45" s="94">
        <f>IF(Option2="No",0,IF($A45=ImplementationYear,('Project details'!$L$12-'Project details'!$D$12)*VLOOKUP(Year_cost_estimate,'Time-series parameters'!$B$11:$C$89,2,FALSE)*$B45,0))</f>
        <v>0</v>
      </c>
      <c r="W45" s="97">
        <f>IF(Option2="No",0,IF($A45&lt;ImplementationYear,0,IF($A45&gt;(ImplementationYear+(Appraisal_Period-1)),0,Health!$E$21*$B45)))</f>
        <v>0</v>
      </c>
      <c r="X45" s="97">
        <f>IF(Option2="No",0,IF($A45&lt;ImplementationYear,0,IF($A45&gt;(ImplementationYear+(Appraisal_Period-1)),0,Health!$E$22*$B45)))</f>
        <v>0</v>
      </c>
      <c r="Y45" s="97">
        <f>IF(Option2="No",0,IF($A45&lt;ImplementationYear,0,IF($A45&gt;(ImplementationYear+(Appraisal_Period-1)),0,SUM('Travel time'!$E$22:$E$23)*$B45)))</f>
        <v>0</v>
      </c>
      <c r="Z45" s="97">
        <f>IF(Option2="No",0,IF($A45&lt;ImplementationYear,0,IF($A45&gt;(ImplementationYear+(Appraisal_Period-1)),0,SUM('Travel time'!$E$20:$E$21)*$B45)))</f>
        <v>0</v>
      </c>
      <c r="AA45" s="97">
        <f>IF(Option2="No",0,IF($A45&lt;ImplementationYear,0,IF($A45&gt;(ImplementationYear+(Appraisal_Period-1)),0,SUM(Quality!$E$22:$E$23)*$B45)))</f>
        <v>0</v>
      </c>
      <c r="AB45" s="97">
        <f>IF(Option2="No",0,IF($A45&lt;ImplementationYear,0,IF($A45&gt;(ImplementationYear+(Appraisal_Period-1)),0,SUM(Quality!$E$20:$E$21)*$B45)))</f>
        <v>0</v>
      </c>
      <c r="AC45" s="97">
        <f>IF(Option2="No",0,IF($A45&lt;ImplementationYear,0,IF($A45&gt;(ImplementationYear+(Appraisal_Period-1)),0,'Mode change'!$E$36*$B45)))</f>
        <v>0</v>
      </c>
      <c r="AD45" s="97">
        <f>IF(Option2="No",0,IF($A45&lt;ImplementationYear,0,IF($A45&gt;(ImplementationYear+(Appraisal_Period-1)),0,'Mode change'!$E$37*$B45)))</f>
        <v>0</v>
      </c>
      <c r="AE45" s="97">
        <f>IF(Option2="No",0,IF($A45&lt;ImplementationYear,0,IF($A45&gt;(ImplementationYear+(Appraisal_Period-1)),0,'Road safety'!$E$22*$B45)))</f>
        <v>0</v>
      </c>
      <c r="AF45" s="97">
        <f>IF(Option2="No",0,IF($A45&lt;ImplementationYear,0,IF($A45&gt;(ImplementationYear+(Appraisal_Period-1)),0,'Reduction in car usage'!$E$46*$B45)))</f>
        <v>0</v>
      </c>
      <c r="AG45" s="97">
        <f>IF(Option2="No",0,IF($A45&lt;ImplementationYear,0,IF($A45&gt;(ImplementationYear+(Appraisal_Period-1)),0,'Reduction in car usage'!$E$47*$B45)))</f>
        <v>0</v>
      </c>
      <c r="AH45" s="97">
        <f>IF(Option2="No",0,IF($A45&lt;ImplementationYear,0,IF($A45&gt;(ImplementationYear+(Appraisal_Period-1)),0,'Reduction in car usage'!$E$48*$B45)))</f>
        <v>0</v>
      </c>
      <c r="AJ45" s="94">
        <f>IF(Option3="No",0,IF($A45=ImplementationYear,('Project details'!$P$10-'Project details'!$D$10)*VLOOKUP(Year_cost_estimate,'Time-series parameters'!$B$11:$C$89,2,FALSE)*$B45*(1+Contingency),0))</f>
        <v>0</v>
      </c>
      <c r="AK45" s="94">
        <f>IF(Option3="No",0,IF($A45&lt;ImplementationYear,0,IF($A45&gt;(ImplementationYear+(Appraisal_Period-1)),0,('Project details'!$P$11-'Project details'!$D$11)*VLOOKUP(Year_cost_estimate,'Time-series parameters'!$B$11:$C$89,2,0))*$B45))</f>
        <v>0</v>
      </c>
      <c r="AL45" s="94">
        <f>IF(Option3="No",0,IF($A45=ImplementationYear,('Project details'!$P$12-'Project details'!$D$12)*VLOOKUP(Year_cost_estimate,'Time-series parameters'!$B$11:$C$89,2,FALSE)*$B45,0))</f>
        <v>0</v>
      </c>
      <c r="AM45" s="97">
        <f>IF(Option3="No",0,IF($A45&lt;ImplementationYear,0,IF($A45&gt;(ImplementationYear+(Appraisal_Period-1)),0,Health!$F$21*$B45)))</f>
        <v>0</v>
      </c>
      <c r="AN45" s="97">
        <f>IF(Option3="No",0,IF($A45&lt;ImplementationYear,0,IF($A45&gt;(ImplementationYear+(Appraisal_Period-1)),0,Health!$F$22*$B45)))</f>
        <v>0</v>
      </c>
      <c r="AO45" s="97">
        <f>IF(Option3="No",0,IF($A45&lt;ImplementationYear,0,IF($A45&gt;(ImplementationYear+(Appraisal_Period-1)),0,SUM('Travel time'!$F$22:$F$23)*$B45)))</f>
        <v>0</v>
      </c>
      <c r="AP45" s="97">
        <f>IF(Option3="No",0,IF($A45&lt;ImplementationYear,0,IF($A45&gt;(ImplementationYear+(Appraisal_Period-1)),0,SUM('Travel time'!$F$20:$F$21)*$B45)))</f>
        <v>0</v>
      </c>
      <c r="AQ45" s="97">
        <f>IF(Option3="No",0,IF($A45&lt;ImplementationYear,0,IF($A45&gt;(ImplementationYear+(Appraisal_Period-1)),0,SUM(Quality!$F$22:$F$23)*$B45)))</f>
        <v>0</v>
      </c>
      <c r="AR45" s="97">
        <f>IF(Option3="No",0,IF($A45&lt;ImplementationYear,0,IF($A45&gt;(ImplementationYear+(Appraisal_Period-1)),0,SUM(Quality!$F$20:$F$21)*$B45)))</f>
        <v>0</v>
      </c>
      <c r="AS45" s="97">
        <f>IF(Option3="No",0,IF($A45&lt;ImplementationYear,0,IF($A45&gt;(ImplementationYear+(Appraisal_Period-1)),0,'Mode change'!$F$36*$B45)))</f>
        <v>0</v>
      </c>
      <c r="AT45" s="97">
        <f>IF(Option3="No",0,IF($A45&lt;ImplementationYear,0,IF($A45&gt;(ImplementationYear+(Appraisal_Period-1)),0,'Mode change'!$F$37*$B45)))</f>
        <v>0</v>
      </c>
      <c r="AU45" s="97">
        <f>IF(Option3="No",0,IF($A45&lt;ImplementationYear,0,IF($A45&gt;(ImplementationYear+(Appraisal_Period-1)),0,'Road safety'!$F$22*$B45)))</f>
        <v>0</v>
      </c>
      <c r="AV45" s="97">
        <f>IF(Option3="No",0,IF($A45&lt;ImplementationYear,0,IF($A45&gt;(ImplementationYear+(Appraisal_Period-1)),0,'Reduction in car usage'!$F$46*$B45)))</f>
        <v>0</v>
      </c>
      <c r="AW45" s="97">
        <f>IF(Option3="No",0,IF($A45&lt;ImplementationYear,0,IF($A45&gt;(ImplementationYear+(Appraisal_Period-1)),0,'Reduction in car usage'!$F$47*$B45)))</f>
        <v>0</v>
      </c>
      <c r="AX45" s="97">
        <f>IF(Option3="No",0,IF($A45&lt;ImplementationYear,0,IF($A45&gt;(ImplementationYear+(Appraisal_Period-1)),0,'Reduction in car usage'!$F$48*$B45)))</f>
        <v>0</v>
      </c>
    </row>
    <row r="46" spans="1:50">
      <c r="A46" s="335">
        <v>2041</v>
      </c>
      <c r="B46" s="62">
        <f>VLOOKUP($A46,'Time-series parameters'!$E$11:$H$89,4,FALSE)</f>
        <v>0.29385764323070585</v>
      </c>
      <c r="C46" s="89"/>
      <c r="D46" s="94">
        <f>IF(Option1="No",0,IF($A46=ImplementationYear,('Project details'!$H$10-'Project details'!$D$10)*VLOOKUP(Year_cost_estimate,'Time-series parameters'!$B$11:$C$89,2,FALSE)*$B46*(1+Contingency),0))</f>
        <v>0</v>
      </c>
      <c r="E46" s="94">
        <f>IF(Option1="No",0,IF($A46&lt;ImplementationYear,0,IF($A46&gt;(ImplementationYear+(Appraisal_Period-1)),0,('Project details'!$H$11-'Project details'!$D$11)*VLOOKUP(Year_cost_estimate,'Time-series parameters'!$B$11:$C$89,2,0))*$B46))</f>
        <v>0</v>
      </c>
      <c r="F46" s="94">
        <f>IF(Option1="No",0,IF($A46=ImplementationYear,('Project details'!$H$12-'Project details'!$D$12)*VLOOKUP(Year_cost_estimate,'Time-series parameters'!$B$11:$C$89,2,FALSE)*$B46,0))</f>
        <v>0</v>
      </c>
      <c r="G46" s="97">
        <f>IF(Option1="No",0,IF($A46&lt;ImplementationYear,0,IF($A46&gt;(ImplementationYear+(Appraisal_Period-1)),0,Health!$D$21*$B46)))</f>
        <v>0</v>
      </c>
      <c r="H46" s="97">
        <f>IF(Option1="No",0,IF($A46&lt;ImplementationYear,0,IF($A46&gt;(ImplementationYear+(Appraisal_Period-1)),0,Health!$D$22*$B46)))</f>
        <v>0</v>
      </c>
      <c r="I46" s="97">
        <f>IF(Option1="No",0,IF($A46&lt;ImplementationYear,0,IF($A46&gt;(ImplementationYear+(Appraisal_Period-1)),0,SUM('Travel time'!$D$22:$D$23)*$B46)))</f>
        <v>0</v>
      </c>
      <c r="J46" s="97">
        <f>IF(Option1="No",0,IF($A46&lt;ImplementationYear,0,IF($A46&gt;(ImplementationYear+(Appraisal_Period-1)),0,SUM('Travel time'!$D$20:$D$21)*$B46)))</f>
        <v>0</v>
      </c>
      <c r="K46" s="97">
        <f>IF(Option1="No",0,IF($A46&lt;ImplementationYear,0,IF($A46&gt;(ImplementationYear+(Appraisal_Period-1)),0,SUM(Quality!$D$22:$D$23)*$B46)))</f>
        <v>0</v>
      </c>
      <c r="L46" s="97">
        <f>IF(Option1="No",0,IF($A46&lt;ImplementationYear,0,IF($A46&gt;(ImplementationYear+(Appraisal_Period-1)),0,SUM(Quality!$D$20:$D$21)*$B46)))</f>
        <v>0</v>
      </c>
      <c r="M46" s="97">
        <f>IF(Option1="No",0,IF($A46&lt;ImplementationYear,0,IF($A46&gt;(ImplementationYear+(Appraisal_Period-1)),0,'Mode change'!$D$36*$B46)))</f>
        <v>0</v>
      </c>
      <c r="N46" s="97">
        <f>IF(Option1="No",0,IF($A46&lt;ImplementationYear,0,IF($A46&gt;(ImplementationYear+(Appraisal_Period-1)),0,'Mode change'!$D$37*$B46)))</f>
        <v>0</v>
      </c>
      <c r="O46" s="97">
        <f>IF(Option1="No",0,IF($A46&lt;ImplementationYear,0,IF($A46&gt;(ImplementationYear+(Appraisal_Period-1)),0,'Road safety'!$D$22*$B46)))</f>
        <v>0</v>
      </c>
      <c r="P46" s="97">
        <f>IF(Option1="No",0,IF($A46&lt;ImplementationYear,0,IF($A46&gt;(ImplementationYear+(Appraisal_Period-1)),0,'Reduction in car usage'!$D$46*$B46)))</f>
        <v>0</v>
      </c>
      <c r="Q46" s="97">
        <f>IF(Option1="No",0,IF($A46&lt;ImplementationYear,0,IF($A46&gt;(ImplementationYear+(Appraisal_Period-1)),0,'Reduction in car usage'!$D$47*$B46)))</f>
        <v>0</v>
      </c>
      <c r="R46" s="97">
        <f>IF(Option1="No",0,IF($A46&lt;ImplementationYear,0,IF($A46&gt;(ImplementationYear+(Appraisal_Period-1)),0,'Reduction in car usage'!$D$48*$B46)))</f>
        <v>0</v>
      </c>
      <c r="S46" s="92"/>
      <c r="T46" s="94">
        <f>IF(Option2="No",0,IF($A46=ImplementationYear,('Project details'!$L$10-'Project details'!$D$10)*VLOOKUP(Year_cost_estimate,'Time-series parameters'!$B$11:$C$89,2,FALSE)*$B46*(1+Contingency),0))</f>
        <v>0</v>
      </c>
      <c r="U46" s="94">
        <f>IF(Option2="No",0,IF($A46&lt;ImplementationYear,0,IF($A46&gt;(ImplementationYear+(Appraisal_Period-1)),0,('Project details'!$L$11-'Project details'!$D$11)*VLOOKUP(Year_cost_estimate,'Time-series parameters'!$B$11:$C$89,2,0))*$B46))</f>
        <v>0</v>
      </c>
      <c r="V46" s="94">
        <f>IF(Option2="No",0,IF($A46=ImplementationYear,('Project details'!$L$12-'Project details'!$D$12)*VLOOKUP(Year_cost_estimate,'Time-series parameters'!$B$11:$C$89,2,FALSE)*$B46,0))</f>
        <v>0</v>
      </c>
      <c r="W46" s="97">
        <f>IF(Option2="No",0,IF($A46&lt;ImplementationYear,0,IF($A46&gt;(ImplementationYear+(Appraisal_Period-1)),0,Health!$E$21*$B46)))</f>
        <v>0</v>
      </c>
      <c r="X46" s="97">
        <f>IF(Option2="No",0,IF($A46&lt;ImplementationYear,0,IF($A46&gt;(ImplementationYear+(Appraisal_Period-1)),0,Health!$E$22*$B46)))</f>
        <v>0</v>
      </c>
      <c r="Y46" s="97">
        <f>IF(Option2="No",0,IF($A46&lt;ImplementationYear,0,IF($A46&gt;(ImplementationYear+(Appraisal_Period-1)),0,SUM('Travel time'!$E$22:$E$23)*$B46)))</f>
        <v>0</v>
      </c>
      <c r="Z46" s="97">
        <f>IF(Option2="No",0,IF($A46&lt;ImplementationYear,0,IF($A46&gt;(ImplementationYear+(Appraisal_Period-1)),0,SUM('Travel time'!$E$20:$E$21)*$B46)))</f>
        <v>0</v>
      </c>
      <c r="AA46" s="97">
        <f>IF(Option2="No",0,IF($A46&lt;ImplementationYear,0,IF($A46&gt;(ImplementationYear+(Appraisal_Period-1)),0,SUM(Quality!$E$22:$E$23)*$B46)))</f>
        <v>0</v>
      </c>
      <c r="AB46" s="97">
        <f>IF(Option2="No",0,IF($A46&lt;ImplementationYear,0,IF($A46&gt;(ImplementationYear+(Appraisal_Period-1)),0,SUM(Quality!$E$20:$E$21)*$B46)))</f>
        <v>0</v>
      </c>
      <c r="AC46" s="97">
        <f>IF(Option2="No",0,IF($A46&lt;ImplementationYear,0,IF($A46&gt;(ImplementationYear+(Appraisal_Period-1)),0,'Mode change'!$E$36*$B46)))</f>
        <v>0</v>
      </c>
      <c r="AD46" s="97">
        <f>IF(Option2="No",0,IF($A46&lt;ImplementationYear,0,IF($A46&gt;(ImplementationYear+(Appraisal_Period-1)),0,'Mode change'!$E$37*$B46)))</f>
        <v>0</v>
      </c>
      <c r="AE46" s="97">
        <f>IF(Option2="No",0,IF($A46&lt;ImplementationYear,0,IF($A46&gt;(ImplementationYear+(Appraisal_Period-1)),0,'Road safety'!$E$22*$B46)))</f>
        <v>0</v>
      </c>
      <c r="AF46" s="97">
        <f>IF(Option2="No",0,IF($A46&lt;ImplementationYear,0,IF($A46&gt;(ImplementationYear+(Appraisal_Period-1)),0,'Reduction in car usage'!$E$46*$B46)))</f>
        <v>0</v>
      </c>
      <c r="AG46" s="97">
        <f>IF(Option2="No",0,IF($A46&lt;ImplementationYear,0,IF($A46&gt;(ImplementationYear+(Appraisal_Period-1)),0,'Reduction in car usage'!$E$47*$B46)))</f>
        <v>0</v>
      </c>
      <c r="AH46" s="97">
        <f>IF(Option2="No",0,IF($A46&lt;ImplementationYear,0,IF($A46&gt;(ImplementationYear+(Appraisal_Period-1)),0,'Reduction in car usage'!$E$48*$B46)))</f>
        <v>0</v>
      </c>
      <c r="AJ46" s="94">
        <f>IF(Option3="No",0,IF($A46=ImplementationYear,('Project details'!$P$10-'Project details'!$D$10)*VLOOKUP(Year_cost_estimate,'Time-series parameters'!$B$11:$C$89,2,FALSE)*$B46*(1+Contingency),0))</f>
        <v>0</v>
      </c>
      <c r="AK46" s="94">
        <f>IF(Option3="No",0,IF($A46&lt;ImplementationYear,0,IF($A46&gt;(ImplementationYear+(Appraisal_Period-1)),0,('Project details'!$P$11-'Project details'!$D$11)*VLOOKUP(Year_cost_estimate,'Time-series parameters'!$B$11:$C$89,2,0))*$B46))</f>
        <v>0</v>
      </c>
      <c r="AL46" s="94">
        <f>IF(Option3="No",0,IF($A46=ImplementationYear,('Project details'!$P$12-'Project details'!$D$12)*VLOOKUP(Year_cost_estimate,'Time-series parameters'!$B$11:$C$89,2,FALSE)*$B46,0))</f>
        <v>0</v>
      </c>
      <c r="AM46" s="97">
        <f>IF(Option3="No",0,IF($A46&lt;ImplementationYear,0,IF($A46&gt;(ImplementationYear+(Appraisal_Period-1)),0,Health!$F$21*$B46)))</f>
        <v>0</v>
      </c>
      <c r="AN46" s="97">
        <f>IF(Option3="No",0,IF($A46&lt;ImplementationYear,0,IF($A46&gt;(ImplementationYear+(Appraisal_Period-1)),0,Health!$F$22*$B46)))</f>
        <v>0</v>
      </c>
      <c r="AO46" s="97">
        <f>IF(Option3="No",0,IF($A46&lt;ImplementationYear,0,IF($A46&gt;(ImplementationYear+(Appraisal_Period-1)),0,SUM('Travel time'!$F$22:$F$23)*$B46)))</f>
        <v>0</v>
      </c>
      <c r="AP46" s="97">
        <f>IF(Option3="No",0,IF($A46&lt;ImplementationYear,0,IF($A46&gt;(ImplementationYear+(Appraisal_Period-1)),0,SUM('Travel time'!$F$20:$F$21)*$B46)))</f>
        <v>0</v>
      </c>
      <c r="AQ46" s="97">
        <f>IF(Option3="No",0,IF($A46&lt;ImplementationYear,0,IF($A46&gt;(ImplementationYear+(Appraisal_Period-1)),0,SUM(Quality!$F$22:$F$23)*$B46)))</f>
        <v>0</v>
      </c>
      <c r="AR46" s="97">
        <f>IF(Option3="No",0,IF($A46&lt;ImplementationYear,0,IF($A46&gt;(ImplementationYear+(Appraisal_Period-1)),0,SUM(Quality!$F$20:$F$21)*$B46)))</f>
        <v>0</v>
      </c>
      <c r="AS46" s="97">
        <f>IF(Option3="No",0,IF($A46&lt;ImplementationYear,0,IF($A46&gt;(ImplementationYear+(Appraisal_Period-1)),0,'Mode change'!$F$36*$B46)))</f>
        <v>0</v>
      </c>
      <c r="AT46" s="97">
        <f>IF(Option3="No",0,IF($A46&lt;ImplementationYear,0,IF($A46&gt;(ImplementationYear+(Appraisal_Period-1)),0,'Mode change'!$F$37*$B46)))</f>
        <v>0</v>
      </c>
      <c r="AU46" s="97">
        <f>IF(Option3="No",0,IF($A46&lt;ImplementationYear,0,IF($A46&gt;(ImplementationYear+(Appraisal_Period-1)),0,'Road safety'!$F$22*$B46)))</f>
        <v>0</v>
      </c>
      <c r="AV46" s="97">
        <f>IF(Option3="No",0,IF($A46&lt;ImplementationYear,0,IF($A46&gt;(ImplementationYear+(Appraisal_Period-1)),0,'Reduction in car usage'!$F$46*$B46)))</f>
        <v>0</v>
      </c>
      <c r="AW46" s="97">
        <f>IF(Option3="No",0,IF($A46&lt;ImplementationYear,0,IF($A46&gt;(ImplementationYear+(Appraisal_Period-1)),0,'Reduction in car usage'!$F$47*$B46)))</f>
        <v>0</v>
      </c>
      <c r="AX46" s="97">
        <f>IF(Option3="No",0,IF($A46&lt;ImplementationYear,0,IF($A46&gt;(ImplementationYear+(Appraisal_Period-1)),0,'Reduction in car usage'!$F$48*$B46)))</f>
        <v>0</v>
      </c>
    </row>
    <row r="47" spans="1:50">
      <c r="A47" s="335">
        <v>2042</v>
      </c>
      <c r="B47" s="62">
        <f>VLOOKUP($A47,'Time-series parameters'!$E$11:$H$89,4,FALSE)</f>
        <v>0.28210333750147759</v>
      </c>
      <c r="C47" s="89"/>
      <c r="D47" s="94">
        <f>IF(Option1="No",0,IF($A47=ImplementationYear,('Project details'!$H$10-'Project details'!$D$10)*VLOOKUP(Year_cost_estimate,'Time-series parameters'!$B$11:$C$89,2,FALSE)*$B47*(1+Contingency),0))</f>
        <v>0</v>
      </c>
      <c r="E47" s="94">
        <f>IF(Option1="No",0,IF($A47&lt;ImplementationYear,0,IF($A47&gt;(ImplementationYear+(Appraisal_Period-1)),0,('Project details'!$H$11-'Project details'!$D$11)*VLOOKUP(Year_cost_estimate,'Time-series parameters'!$B$11:$C$89,2,0))*$B47))</f>
        <v>0</v>
      </c>
      <c r="F47" s="94">
        <f>IF(Option1="No",0,IF($A47=ImplementationYear,('Project details'!$H$12-'Project details'!$D$12)*VLOOKUP(Year_cost_estimate,'Time-series parameters'!$B$11:$C$89,2,FALSE)*$B47,0))</f>
        <v>0</v>
      </c>
      <c r="G47" s="97">
        <f>IF(Option1="No",0,IF($A47&lt;ImplementationYear,0,IF($A47&gt;(ImplementationYear+(Appraisal_Period-1)),0,Health!$D$21*$B47)))</f>
        <v>0</v>
      </c>
      <c r="H47" s="97">
        <f>IF(Option1="No",0,IF($A47&lt;ImplementationYear,0,IF($A47&gt;(ImplementationYear+(Appraisal_Period-1)),0,Health!$D$22*$B47)))</f>
        <v>0</v>
      </c>
      <c r="I47" s="97">
        <f>IF(Option1="No",0,IF($A47&lt;ImplementationYear,0,IF($A47&gt;(ImplementationYear+(Appraisal_Period-1)),0,SUM('Travel time'!$D$22:$D$23)*$B47)))</f>
        <v>0</v>
      </c>
      <c r="J47" s="97">
        <f>IF(Option1="No",0,IF($A47&lt;ImplementationYear,0,IF($A47&gt;(ImplementationYear+(Appraisal_Period-1)),0,SUM('Travel time'!$D$20:$D$21)*$B47)))</f>
        <v>0</v>
      </c>
      <c r="K47" s="97">
        <f>IF(Option1="No",0,IF($A47&lt;ImplementationYear,0,IF($A47&gt;(ImplementationYear+(Appraisal_Period-1)),0,SUM(Quality!$D$22:$D$23)*$B47)))</f>
        <v>0</v>
      </c>
      <c r="L47" s="97">
        <f>IF(Option1="No",0,IF($A47&lt;ImplementationYear,0,IF($A47&gt;(ImplementationYear+(Appraisal_Period-1)),0,SUM(Quality!$D$20:$D$21)*$B47)))</f>
        <v>0</v>
      </c>
      <c r="M47" s="97">
        <f>IF(Option1="No",0,IF($A47&lt;ImplementationYear,0,IF($A47&gt;(ImplementationYear+(Appraisal_Period-1)),0,'Mode change'!$D$36*$B47)))</f>
        <v>0</v>
      </c>
      <c r="N47" s="97">
        <f>IF(Option1="No",0,IF($A47&lt;ImplementationYear,0,IF($A47&gt;(ImplementationYear+(Appraisal_Period-1)),0,'Mode change'!$D$37*$B47)))</f>
        <v>0</v>
      </c>
      <c r="O47" s="97">
        <f>IF(Option1="No",0,IF($A47&lt;ImplementationYear,0,IF($A47&gt;(ImplementationYear+(Appraisal_Period-1)),0,'Road safety'!$D$22*$B47)))</f>
        <v>0</v>
      </c>
      <c r="P47" s="97">
        <f>IF(Option1="No",0,IF($A47&lt;ImplementationYear,0,IF($A47&gt;(ImplementationYear+(Appraisal_Period-1)),0,'Reduction in car usage'!$D$46*$B47)))</f>
        <v>0</v>
      </c>
      <c r="Q47" s="97">
        <f>IF(Option1="No",0,IF($A47&lt;ImplementationYear,0,IF($A47&gt;(ImplementationYear+(Appraisal_Period-1)),0,'Reduction in car usage'!$D$47*$B47)))</f>
        <v>0</v>
      </c>
      <c r="R47" s="97">
        <f>IF(Option1="No",0,IF($A47&lt;ImplementationYear,0,IF($A47&gt;(ImplementationYear+(Appraisal_Period-1)),0,'Reduction in car usage'!$D$48*$B47)))</f>
        <v>0</v>
      </c>
      <c r="S47" s="92"/>
      <c r="T47" s="94">
        <f>IF(Option2="No",0,IF($A47=ImplementationYear,('Project details'!$L$10-'Project details'!$D$10)*VLOOKUP(Year_cost_estimate,'Time-series parameters'!$B$11:$C$89,2,FALSE)*$B47*(1+Contingency),0))</f>
        <v>0</v>
      </c>
      <c r="U47" s="94">
        <f>IF(Option2="No",0,IF($A47&lt;ImplementationYear,0,IF($A47&gt;(ImplementationYear+(Appraisal_Period-1)),0,('Project details'!$L$11-'Project details'!$D$11)*VLOOKUP(Year_cost_estimate,'Time-series parameters'!$B$11:$C$89,2,0))*$B47))</f>
        <v>0</v>
      </c>
      <c r="V47" s="94">
        <f>IF(Option2="No",0,IF($A47=ImplementationYear,('Project details'!$L$12-'Project details'!$D$12)*VLOOKUP(Year_cost_estimate,'Time-series parameters'!$B$11:$C$89,2,FALSE)*$B47,0))</f>
        <v>0</v>
      </c>
      <c r="W47" s="97">
        <f>IF(Option2="No",0,IF($A47&lt;ImplementationYear,0,IF($A47&gt;(ImplementationYear+(Appraisal_Period-1)),0,Health!$E$21*$B47)))</f>
        <v>0</v>
      </c>
      <c r="X47" s="97">
        <f>IF(Option2="No",0,IF($A47&lt;ImplementationYear,0,IF($A47&gt;(ImplementationYear+(Appraisal_Period-1)),0,Health!$E$22*$B47)))</f>
        <v>0</v>
      </c>
      <c r="Y47" s="97">
        <f>IF(Option2="No",0,IF($A47&lt;ImplementationYear,0,IF($A47&gt;(ImplementationYear+(Appraisal_Period-1)),0,SUM('Travel time'!$E$22:$E$23)*$B47)))</f>
        <v>0</v>
      </c>
      <c r="Z47" s="97">
        <f>IF(Option2="No",0,IF($A47&lt;ImplementationYear,0,IF($A47&gt;(ImplementationYear+(Appraisal_Period-1)),0,SUM('Travel time'!$E$20:$E$21)*$B47)))</f>
        <v>0</v>
      </c>
      <c r="AA47" s="97">
        <f>IF(Option2="No",0,IF($A47&lt;ImplementationYear,0,IF($A47&gt;(ImplementationYear+(Appraisal_Period-1)),0,SUM(Quality!$E$22:$E$23)*$B47)))</f>
        <v>0</v>
      </c>
      <c r="AB47" s="97">
        <f>IF(Option2="No",0,IF($A47&lt;ImplementationYear,0,IF($A47&gt;(ImplementationYear+(Appraisal_Period-1)),0,SUM(Quality!$E$20:$E$21)*$B47)))</f>
        <v>0</v>
      </c>
      <c r="AC47" s="97">
        <f>IF(Option2="No",0,IF($A47&lt;ImplementationYear,0,IF($A47&gt;(ImplementationYear+(Appraisal_Period-1)),0,'Mode change'!$E$36*$B47)))</f>
        <v>0</v>
      </c>
      <c r="AD47" s="97">
        <f>IF(Option2="No",0,IF($A47&lt;ImplementationYear,0,IF($A47&gt;(ImplementationYear+(Appraisal_Period-1)),0,'Mode change'!$E$37*$B47)))</f>
        <v>0</v>
      </c>
      <c r="AE47" s="97">
        <f>IF(Option2="No",0,IF($A47&lt;ImplementationYear,0,IF($A47&gt;(ImplementationYear+(Appraisal_Period-1)),0,'Road safety'!$E$22*$B47)))</f>
        <v>0</v>
      </c>
      <c r="AF47" s="97">
        <f>IF(Option2="No",0,IF($A47&lt;ImplementationYear,0,IF($A47&gt;(ImplementationYear+(Appraisal_Period-1)),0,'Reduction in car usage'!$E$46*$B47)))</f>
        <v>0</v>
      </c>
      <c r="AG47" s="97">
        <f>IF(Option2="No",0,IF($A47&lt;ImplementationYear,0,IF($A47&gt;(ImplementationYear+(Appraisal_Period-1)),0,'Reduction in car usage'!$E$47*$B47)))</f>
        <v>0</v>
      </c>
      <c r="AH47" s="97">
        <f>IF(Option2="No",0,IF($A47&lt;ImplementationYear,0,IF($A47&gt;(ImplementationYear+(Appraisal_Period-1)),0,'Reduction in car usage'!$E$48*$B47)))</f>
        <v>0</v>
      </c>
      <c r="AJ47" s="94">
        <f>IF(Option3="No",0,IF($A47=ImplementationYear,('Project details'!$P$10-'Project details'!$D$10)*VLOOKUP(Year_cost_estimate,'Time-series parameters'!$B$11:$C$89,2,FALSE)*$B47*(1+Contingency),0))</f>
        <v>0</v>
      </c>
      <c r="AK47" s="94">
        <f>IF(Option3="No",0,IF($A47&lt;ImplementationYear,0,IF($A47&gt;(ImplementationYear+(Appraisal_Period-1)),0,('Project details'!$P$11-'Project details'!$D$11)*VLOOKUP(Year_cost_estimate,'Time-series parameters'!$B$11:$C$89,2,0))*$B47))</f>
        <v>0</v>
      </c>
      <c r="AL47" s="94">
        <f>IF(Option3="No",0,IF($A47=ImplementationYear,('Project details'!$P$12-'Project details'!$D$12)*VLOOKUP(Year_cost_estimate,'Time-series parameters'!$B$11:$C$89,2,FALSE)*$B47,0))</f>
        <v>0</v>
      </c>
      <c r="AM47" s="97">
        <f>IF(Option3="No",0,IF($A47&lt;ImplementationYear,0,IF($A47&gt;(ImplementationYear+(Appraisal_Period-1)),0,Health!$F$21*$B47)))</f>
        <v>0</v>
      </c>
      <c r="AN47" s="97">
        <f>IF(Option3="No",0,IF($A47&lt;ImplementationYear,0,IF($A47&gt;(ImplementationYear+(Appraisal_Period-1)),0,Health!$F$22*$B47)))</f>
        <v>0</v>
      </c>
      <c r="AO47" s="97">
        <f>IF(Option3="No",0,IF($A47&lt;ImplementationYear,0,IF($A47&gt;(ImplementationYear+(Appraisal_Period-1)),0,SUM('Travel time'!$F$22:$F$23)*$B47)))</f>
        <v>0</v>
      </c>
      <c r="AP47" s="97">
        <f>IF(Option3="No",0,IF($A47&lt;ImplementationYear,0,IF($A47&gt;(ImplementationYear+(Appraisal_Period-1)),0,SUM('Travel time'!$F$20:$F$21)*$B47)))</f>
        <v>0</v>
      </c>
      <c r="AQ47" s="97">
        <f>IF(Option3="No",0,IF($A47&lt;ImplementationYear,0,IF($A47&gt;(ImplementationYear+(Appraisal_Period-1)),0,SUM(Quality!$F$22:$F$23)*$B47)))</f>
        <v>0</v>
      </c>
      <c r="AR47" s="97">
        <f>IF(Option3="No",0,IF($A47&lt;ImplementationYear,0,IF($A47&gt;(ImplementationYear+(Appraisal_Period-1)),0,SUM(Quality!$F$20:$F$21)*$B47)))</f>
        <v>0</v>
      </c>
      <c r="AS47" s="97">
        <f>IF(Option3="No",0,IF($A47&lt;ImplementationYear,0,IF($A47&gt;(ImplementationYear+(Appraisal_Period-1)),0,'Mode change'!$F$36*$B47)))</f>
        <v>0</v>
      </c>
      <c r="AT47" s="97">
        <f>IF(Option3="No",0,IF($A47&lt;ImplementationYear,0,IF($A47&gt;(ImplementationYear+(Appraisal_Period-1)),0,'Mode change'!$F$37*$B47)))</f>
        <v>0</v>
      </c>
      <c r="AU47" s="97">
        <f>IF(Option3="No",0,IF($A47&lt;ImplementationYear,0,IF($A47&gt;(ImplementationYear+(Appraisal_Period-1)),0,'Road safety'!$F$22*$B47)))</f>
        <v>0</v>
      </c>
      <c r="AV47" s="97">
        <f>IF(Option3="No",0,IF($A47&lt;ImplementationYear,0,IF($A47&gt;(ImplementationYear+(Appraisal_Period-1)),0,'Reduction in car usage'!$F$46*$B47)))</f>
        <v>0</v>
      </c>
      <c r="AW47" s="97">
        <f>IF(Option3="No",0,IF($A47&lt;ImplementationYear,0,IF($A47&gt;(ImplementationYear+(Appraisal_Period-1)),0,'Reduction in car usage'!$F$47*$B47)))</f>
        <v>0</v>
      </c>
      <c r="AX47" s="97">
        <f>IF(Option3="No",0,IF($A47&lt;ImplementationYear,0,IF($A47&gt;(ImplementationYear+(Appraisal_Period-1)),0,'Reduction in car usage'!$F$48*$B47)))</f>
        <v>0</v>
      </c>
    </row>
    <row r="48" spans="1:50">
      <c r="A48" s="335">
        <v>2043</v>
      </c>
      <c r="B48" s="62">
        <f>VLOOKUP($A48,'Time-series parameters'!$E$11:$H$89,4,FALSE)</f>
        <v>0.27081920400141851</v>
      </c>
      <c r="C48" s="89"/>
      <c r="D48" s="94">
        <f>IF(Option1="No",0,IF($A48=ImplementationYear,('Project details'!$H$10-'Project details'!$D$10)*VLOOKUP(Year_cost_estimate,'Time-series parameters'!$B$11:$C$89,2,FALSE)*$B48*(1+Contingency),0))</f>
        <v>0</v>
      </c>
      <c r="E48" s="94">
        <f>IF(Option1="No",0,IF($A48&lt;ImplementationYear,0,IF($A48&gt;(ImplementationYear+(Appraisal_Period-1)),0,('Project details'!$H$11-'Project details'!$D$11)*VLOOKUP(Year_cost_estimate,'Time-series parameters'!$B$11:$C$89,2,0))*$B48))</f>
        <v>0</v>
      </c>
      <c r="F48" s="94">
        <f>IF(Option1="No",0,IF($A48=ImplementationYear,('Project details'!$H$12-'Project details'!$D$12)*VLOOKUP(Year_cost_estimate,'Time-series parameters'!$B$11:$C$89,2,FALSE)*$B48,0))</f>
        <v>0</v>
      </c>
      <c r="G48" s="97">
        <f>IF(Option1="No",0,IF($A48&lt;ImplementationYear,0,IF($A48&gt;(ImplementationYear+(Appraisal_Period-1)),0,Health!$D$21*$B48)))</f>
        <v>0</v>
      </c>
      <c r="H48" s="97">
        <f>IF(Option1="No",0,IF($A48&lt;ImplementationYear,0,IF($A48&gt;(ImplementationYear+(Appraisal_Period-1)),0,Health!$D$22*$B48)))</f>
        <v>0</v>
      </c>
      <c r="I48" s="97">
        <f>IF(Option1="No",0,IF($A48&lt;ImplementationYear,0,IF($A48&gt;(ImplementationYear+(Appraisal_Period-1)),0,SUM('Travel time'!$D$22:$D$23)*$B48)))</f>
        <v>0</v>
      </c>
      <c r="J48" s="97">
        <f>IF(Option1="No",0,IF($A48&lt;ImplementationYear,0,IF($A48&gt;(ImplementationYear+(Appraisal_Period-1)),0,SUM('Travel time'!$D$20:$D$21)*$B48)))</f>
        <v>0</v>
      </c>
      <c r="K48" s="97">
        <f>IF(Option1="No",0,IF($A48&lt;ImplementationYear,0,IF($A48&gt;(ImplementationYear+(Appraisal_Period-1)),0,SUM(Quality!$D$22:$D$23)*$B48)))</f>
        <v>0</v>
      </c>
      <c r="L48" s="97">
        <f>IF(Option1="No",0,IF($A48&lt;ImplementationYear,0,IF($A48&gt;(ImplementationYear+(Appraisal_Period-1)),0,SUM(Quality!$D$20:$D$21)*$B48)))</f>
        <v>0</v>
      </c>
      <c r="M48" s="97">
        <f>IF(Option1="No",0,IF($A48&lt;ImplementationYear,0,IF($A48&gt;(ImplementationYear+(Appraisal_Period-1)),0,'Mode change'!$D$36*$B48)))</f>
        <v>0</v>
      </c>
      <c r="N48" s="97">
        <f>IF(Option1="No",0,IF($A48&lt;ImplementationYear,0,IF($A48&gt;(ImplementationYear+(Appraisal_Period-1)),0,'Mode change'!$D$37*$B48)))</f>
        <v>0</v>
      </c>
      <c r="O48" s="97">
        <f>IF(Option1="No",0,IF($A48&lt;ImplementationYear,0,IF($A48&gt;(ImplementationYear+(Appraisal_Period-1)),0,'Road safety'!$D$22*$B48)))</f>
        <v>0</v>
      </c>
      <c r="P48" s="97">
        <f>IF(Option1="No",0,IF($A48&lt;ImplementationYear,0,IF($A48&gt;(ImplementationYear+(Appraisal_Period-1)),0,'Reduction in car usage'!$D$46*$B48)))</f>
        <v>0</v>
      </c>
      <c r="Q48" s="97">
        <f>IF(Option1="No",0,IF($A48&lt;ImplementationYear,0,IF($A48&gt;(ImplementationYear+(Appraisal_Period-1)),0,'Reduction in car usage'!$D$47*$B48)))</f>
        <v>0</v>
      </c>
      <c r="R48" s="97">
        <f>IF(Option1="No",0,IF($A48&lt;ImplementationYear,0,IF($A48&gt;(ImplementationYear+(Appraisal_Period-1)),0,'Reduction in car usage'!$D$48*$B48)))</f>
        <v>0</v>
      </c>
      <c r="S48" s="92"/>
      <c r="T48" s="94">
        <f>IF(Option2="No",0,IF($A48=ImplementationYear,('Project details'!$L$10-'Project details'!$D$10)*VLOOKUP(Year_cost_estimate,'Time-series parameters'!$B$11:$C$89,2,FALSE)*$B48*(1+Contingency),0))</f>
        <v>0</v>
      </c>
      <c r="U48" s="94">
        <f>IF(Option2="No",0,IF($A48&lt;ImplementationYear,0,IF($A48&gt;(ImplementationYear+(Appraisal_Period-1)),0,('Project details'!$L$11-'Project details'!$D$11)*VLOOKUP(Year_cost_estimate,'Time-series parameters'!$B$11:$C$89,2,0))*$B48))</f>
        <v>0</v>
      </c>
      <c r="V48" s="94">
        <f>IF(Option2="No",0,IF($A48=ImplementationYear,('Project details'!$L$12-'Project details'!$D$12)*VLOOKUP(Year_cost_estimate,'Time-series parameters'!$B$11:$C$89,2,FALSE)*$B48,0))</f>
        <v>0</v>
      </c>
      <c r="W48" s="97">
        <f>IF(Option2="No",0,IF($A48&lt;ImplementationYear,0,IF($A48&gt;(ImplementationYear+(Appraisal_Period-1)),0,Health!$E$21*$B48)))</f>
        <v>0</v>
      </c>
      <c r="X48" s="97">
        <f>IF(Option2="No",0,IF($A48&lt;ImplementationYear,0,IF($A48&gt;(ImplementationYear+(Appraisal_Period-1)),0,Health!$E$22*$B48)))</f>
        <v>0</v>
      </c>
      <c r="Y48" s="97">
        <f>IF(Option2="No",0,IF($A48&lt;ImplementationYear,0,IF($A48&gt;(ImplementationYear+(Appraisal_Period-1)),0,SUM('Travel time'!$E$22:$E$23)*$B48)))</f>
        <v>0</v>
      </c>
      <c r="Z48" s="97">
        <f>IF(Option2="No",0,IF($A48&lt;ImplementationYear,0,IF($A48&gt;(ImplementationYear+(Appraisal_Period-1)),0,SUM('Travel time'!$E$20:$E$21)*$B48)))</f>
        <v>0</v>
      </c>
      <c r="AA48" s="97">
        <f>IF(Option2="No",0,IF($A48&lt;ImplementationYear,0,IF($A48&gt;(ImplementationYear+(Appraisal_Period-1)),0,SUM(Quality!$E$22:$E$23)*$B48)))</f>
        <v>0</v>
      </c>
      <c r="AB48" s="97">
        <f>IF(Option2="No",0,IF($A48&lt;ImplementationYear,0,IF($A48&gt;(ImplementationYear+(Appraisal_Period-1)),0,SUM(Quality!$E$20:$E$21)*$B48)))</f>
        <v>0</v>
      </c>
      <c r="AC48" s="97">
        <f>IF(Option2="No",0,IF($A48&lt;ImplementationYear,0,IF($A48&gt;(ImplementationYear+(Appraisal_Period-1)),0,'Mode change'!$E$36*$B48)))</f>
        <v>0</v>
      </c>
      <c r="AD48" s="97">
        <f>IF(Option2="No",0,IF($A48&lt;ImplementationYear,0,IF($A48&gt;(ImplementationYear+(Appraisal_Period-1)),0,'Mode change'!$E$37*$B48)))</f>
        <v>0</v>
      </c>
      <c r="AE48" s="97">
        <f>IF(Option2="No",0,IF($A48&lt;ImplementationYear,0,IF($A48&gt;(ImplementationYear+(Appraisal_Period-1)),0,'Road safety'!$E$22*$B48)))</f>
        <v>0</v>
      </c>
      <c r="AF48" s="97">
        <f>IF(Option2="No",0,IF($A48&lt;ImplementationYear,0,IF($A48&gt;(ImplementationYear+(Appraisal_Period-1)),0,'Reduction in car usage'!$E$46*$B48)))</f>
        <v>0</v>
      </c>
      <c r="AG48" s="97">
        <f>IF(Option2="No",0,IF($A48&lt;ImplementationYear,0,IF($A48&gt;(ImplementationYear+(Appraisal_Period-1)),0,'Reduction in car usage'!$E$47*$B48)))</f>
        <v>0</v>
      </c>
      <c r="AH48" s="97">
        <f>IF(Option2="No",0,IF($A48&lt;ImplementationYear,0,IF($A48&gt;(ImplementationYear+(Appraisal_Period-1)),0,'Reduction in car usage'!$E$48*$B48)))</f>
        <v>0</v>
      </c>
      <c r="AJ48" s="94">
        <f>IF(Option3="No",0,IF($A48=ImplementationYear,('Project details'!$P$10-'Project details'!$D$10)*VLOOKUP(Year_cost_estimate,'Time-series parameters'!$B$11:$C$89,2,FALSE)*$B48*(1+Contingency),0))</f>
        <v>0</v>
      </c>
      <c r="AK48" s="94">
        <f>IF(Option3="No",0,IF($A48&lt;ImplementationYear,0,IF($A48&gt;(ImplementationYear+(Appraisal_Period-1)),0,('Project details'!$P$11-'Project details'!$D$11)*VLOOKUP(Year_cost_estimate,'Time-series parameters'!$B$11:$C$89,2,0))*$B48))</f>
        <v>0</v>
      </c>
      <c r="AL48" s="94">
        <f>IF(Option3="No",0,IF($A48=ImplementationYear,('Project details'!$P$12-'Project details'!$D$12)*VLOOKUP(Year_cost_estimate,'Time-series parameters'!$B$11:$C$89,2,FALSE)*$B48,0))</f>
        <v>0</v>
      </c>
      <c r="AM48" s="97">
        <f>IF(Option3="No",0,IF($A48&lt;ImplementationYear,0,IF($A48&gt;(ImplementationYear+(Appraisal_Period-1)),0,Health!$F$21*$B48)))</f>
        <v>0</v>
      </c>
      <c r="AN48" s="97">
        <f>IF(Option3="No",0,IF($A48&lt;ImplementationYear,0,IF($A48&gt;(ImplementationYear+(Appraisal_Period-1)),0,Health!$F$22*$B48)))</f>
        <v>0</v>
      </c>
      <c r="AO48" s="97">
        <f>IF(Option3="No",0,IF($A48&lt;ImplementationYear,0,IF($A48&gt;(ImplementationYear+(Appraisal_Period-1)),0,SUM('Travel time'!$F$22:$F$23)*$B48)))</f>
        <v>0</v>
      </c>
      <c r="AP48" s="97">
        <f>IF(Option3="No",0,IF($A48&lt;ImplementationYear,0,IF($A48&gt;(ImplementationYear+(Appraisal_Period-1)),0,SUM('Travel time'!$F$20:$F$21)*$B48)))</f>
        <v>0</v>
      </c>
      <c r="AQ48" s="97">
        <f>IF(Option3="No",0,IF($A48&lt;ImplementationYear,0,IF($A48&gt;(ImplementationYear+(Appraisal_Period-1)),0,SUM(Quality!$F$22:$F$23)*$B48)))</f>
        <v>0</v>
      </c>
      <c r="AR48" s="97">
        <f>IF(Option3="No",0,IF($A48&lt;ImplementationYear,0,IF($A48&gt;(ImplementationYear+(Appraisal_Period-1)),0,SUM(Quality!$F$20:$F$21)*$B48)))</f>
        <v>0</v>
      </c>
      <c r="AS48" s="97">
        <f>IF(Option3="No",0,IF($A48&lt;ImplementationYear,0,IF($A48&gt;(ImplementationYear+(Appraisal_Period-1)),0,'Mode change'!$F$36*$B48)))</f>
        <v>0</v>
      </c>
      <c r="AT48" s="97">
        <f>IF(Option3="No",0,IF($A48&lt;ImplementationYear,0,IF($A48&gt;(ImplementationYear+(Appraisal_Period-1)),0,'Mode change'!$F$37*$B48)))</f>
        <v>0</v>
      </c>
      <c r="AU48" s="97">
        <f>IF(Option3="No",0,IF($A48&lt;ImplementationYear,0,IF($A48&gt;(ImplementationYear+(Appraisal_Period-1)),0,'Road safety'!$F$22*$B48)))</f>
        <v>0</v>
      </c>
      <c r="AV48" s="97">
        <f>IF(Option3="No",0,IF($A48&lt;ImplementationYear,0,IF($A48&gt;(ImplementationYear+(Appraisal_Period-1)),0,'Reduction in car usage'!$F$46*$B48)))</f>
        <v>0</v>
      </c>
      <c r="AW48" s="97">
        <f>IF(Option3="No",0,IF($A48&lt;ImplementationYear,0,IF($A48&gt;(ImplementationYear+(Appraisal_Period-1)),0,'Reduction in car usage'!$F$47*$B48)))</f>
        <v>0</v>
      </c>
      <c r="AX48" s="97">
        <f>IF(Option3="No",0,IF($A48&lt;ImplementationYear,0,IF($A48&gt;(ImplementationYear+(Appraisal_Period-1)),0,'Reduction in car usage'!$F$48*$B48)))</f>
        <v>0</v>
      </c>
    </row>
    <row r="49" spans="1:50">
      <c r="A49" s="335">
        <v>2044</v>
      </c>
      <c r="B49" s="62">
        <f>VLOOKUP($A49,'Time-series parameters'!$E$11:$H$89,4,FALSE)</f>
        <v>0.25998643584136177</v>
      </c>
      <c r="C49" s="89"/>
      <c r="D49" s="94">
        <f>IF(Option1="No",0,IF($A49=ImplementationYear,('Project details'!$H$10-'Project details'!$D$10)*VLOOKUP(Year_cost_estimate,'Time-series parameters'!$B$11:$C$89,2,FALSE)*$B49*(1+Contingency),0))</f>
        <v>0</v>
      </c>
      <c r="E49" s="94">
        <f>IF(Option1="No",0,IF($A49&lt;ImplementationYear,0,IF($A49&gt;(ImplementationYear+(Appraisal_Period-1)),0,('Project details'!$H$11-'Project details'!$D$11)*VLOOKUP(Year_cost_estimate,'Time-series parameters'!$B$11:$C$89,2,0))*$B49))</f>
        <v>0</v>
      </c>
      <c r="F49" s="94">
        <f>IF(Option1="No",0,IF($A49=ImplementationYear,('Project details'!$H$12-'Project details'!$D$12)*VLOOKUP(Year_cost_estimate,'Time-series parameters'!$B$11:$C$89,2,FALSE)*$B49,0))</f>
        <v>0</v>
      </c>
      <c r="G49" s="97">
        <f>IF(Option1="No",0,IF($A49&lt;ImplementationYear,0,IF($A49&gt;(ImplementationYear+(Appraisal_Period-1)),0,Health!$D$21*$B49)))</f>
        <v>0</v>
      </c>
      <c r="H49" s="97">
        <f>IF(Option1="No",0,IF($A49&lt;ImplementationYear,0,IF($A49&gt;(ImplementationYear+(Appraisal_Period-1)),0,Health!$D$22*$B49)))</f>
        <v>0</v>
      </c>
      <c r="I49" s="97">
        <f>IF(Option1="No",0,IF($A49&lt;ImplementationYear,0,IF($A49&gt;(ImplementationYear+(Appraisal_Period-1)),0,SUM('Travel time'!$D$22:$D$23)*$B49)))</f>
        <v>0</v>
      </c>
      <c r="J49" s="97">
        <f>IF(Option1="No",0,IF($A49&lt;ImplementationYear,0,IF($A49&gt;(ImplementationYear+(Appraisal_Period-1)),0,SUM('Travel time'!$D$20:$D$21)*$B49)))</f>
        <v>0</v>
      </c>
      <c r="K49" s="97">
        <f>IF(Option1="No",0,IF($A49&lt;ImplementationYear,0,IF($A49&gt;(ImplementationYear+(Appraisal_Period-1)),0,SUM(Quality!$D$22:$D$23)*$B49)))</f>
        <v>0</v>
      </c>
      <c r="L49" s="97">
        <f>IF(Option1="No",0,IF($A49&lt;ImplementationYear,0,IF($A49&gt;(ImplementationYear+(Appraisal_Period-1)),0,SUM(Quality!$D$20:$D$21)*$B49)))</f>
        <v>0</v>
      </c>
      <c r="M49" s="97">
        <f>IF(Option1="No",0,IF($A49&lt;ImplementationYear,0,IF($A49&gt;(ImplementationYear+(Appraisal_Period-1)),0,'Mode change'!$D$36*$B49)))</f>
        <v>0</v>
      </c>
      <c r="N49" s="97">
        <f>IF(Option1="No",0,IF($A49&lt;ImplementationYear,0,IF($A49&gt;(ImplementationYear+(Appraisal_Period-1)),0,'Mode change'!$D$37*$B49)))</f>
        <v>0</v>
      </c>
      <c r="O49" s="97">
        <f>IF(Option1="No",0,IF($A49&lt;ImplementationYear,0,IF($A49&gt;(ImplementationYear+(Appraisal_Period-1)),0,'Road safety'!$D$22*$B49)))</f>
        <v>0</v>
      </c>
      <c r="P49" s="97">
        <f>IF(Option1="No",0,IF($A49&lt;ImplementationYear,0,IF($A49&gt;(ImplementationYear+(Appraisal_Period-1)),0,'Reduction in car usage'!$D$46*$B49)))</f>
        <v>0</v>
      </c>
      <c r="Q49" s="97">
        <f>IF(Option1="No",0,IF($A49&lt;ImplementationYear,0,IF($A49&gt;(ImplementationYear+(Appraisal_Period-1)),0,'Reduction in car usage'!$D$47*$B49)))</f>
        <v>0</v>
      </c>
      <c r="R49" s="97">
        <f>IF(Option1="No",0,IF($A49&lt;ImplementationYear,0,IF($A49&gt;(ImplementationYear+(Appraisal_Period-1)),0,'Reduction in car usage'!$D$48*$B49)))</f>
        <v>0</v>
      </c>
      <c r="S49" s="92"/>
      <c r="T49" s="94">
        <f>IF(Option2="No",0,IF($A49=ImplementationYear,('Project details'!$L$10-'Project details'!$D$10)*VLOOKUP(Year_cost_estimate,'Time-series parameters'!$B$11:$C$89,2,FALSE)*$B49*(1+Contingency),0))</f>
        <v>0</v>
      </c>
      <c r="U49" s="94">
        <f>IF(Option2="No",0,IF($A49&lt;ImplementationYear,0,IF($A49&gt;(ImplementationYear+(Appraisal_Period-1)),0,('Project details'!$L$11-'Project details'!$D$11)*VLOOKUP(Year_cost_estimate,'Time-series parameters'!$B$11:$C$89,2,0))*$B49))</f>
        <v>0</v>
      </c>
      <c r="V49" s="94">
        <f>IF(Option2="No",0,IF($A49=ImplementationYear,('Project details'!$L$12-'Project details'!$D$12)*VLOOKUP(Year_cost_estimate,'Time-series parameters'!$B$11:$C$89,2,FALSE)*$B49,0))</f>
        <v>0</v>
      </c>
      <c r="W49" s="97">
        <f>IF(Option2="No",0,IF($A49&lt;ImplementationYear,0,IF($A49&gt;(ImplementationYear+(Appraisal_Period-1)),0,Health!$E$21*$B49)))</f>
        <v>0</v>
      </c>
      <c r="X49" s="97">
        <f>IF(Option2="No",0,IF($A49&lt;ImplementationYear,0,IF($A49&gt;(ImplementationYear+(Appraisal_Period-1)),0,Health!$E$22*$B49)))</f>
        <v>0</v>
      </c>
      <c r="Y49" s="97">
        <f>IF(Option2="No",0,IF($A49&lt;ImplementationYear,0,IF($A49&gt;(ImplementationYear+(Appraisal_Period-1)),0,SUM('Travel time'!$E$22:$E$23)*$B49)))</f>
        <v>0</v>
      </c>
      <c r="Z49" s="97">
        <f>IF(Option2="No",0,IF($A49&lt;ImplementationYear,0,IF($A49&gt;(ImplementationYear+(Appraisal_Period-1)),0,SUM('Travel time'!$E$20:$E$21)*$B49)))</f>
        <v>0</v>
      </c>
      <c r="AA49" s="97">
        <f>IF(Option2="No",0,IF($A49&lt;ImplementationYear,0,IF($A49&gt;(ImplementationYear+(Appraisal_Period-1)),0,SUM(Quality!$E$22:$E$23)*$B49)))</f>
        <v>0</v>
      </c>
      <c r="AB49" s="97">
        <f>IF(Option2="No",0,IF($A49&lt;ImplementationYear,0,IF($A49&gt;(ImplementationYear+(Appraisal_Period-1)),0,SUM(Quality!$E$20:$E$21)*$B49)))</f>
        <v>0</v>
      </c>
      <c r="AC49" s="97">
        <f>IF(Option2="No",0,IF($A49&lt;ImplementationYear,0,IF($A49&gt;(ImplementationYear+(Appraisal_Period-1)),0,'Mode change'!$E$36*$B49)))</f>
        <v>0</v>
      </c>
      <c r="AD49" s="97">
        <f>IF(Option2="No",0,IF($A49&lt;ImplementationYear,0,IF($A49&gt;(ImplementationYear+(Appraisal_Period-1)),0,'Mode change'!$E$37*$B49)))</f>
        <v>0</v>
      </c>
      <c r="AE49" s="97">
        <f>IF(Option2="No",0,IF($A49&lt;ImplementationYear,0,IF($A49&gt;(ImplementationYear+(Appraisal_Period-1)),0,'Road safety'!$E$22*$B49)))</f>
        <v>0</v>
      </c>
      <c r="AF49" s="97">
        <f>IF(Option2="No",0,IF($A49&lt;ImplementationYear,0,IF($A49&gt;(ImplementationYear+(Appraisal_Period-1)),0,'Reduction in car usage'!$E$46*$B49)))</f>
        <v>0</v>
      </c>
      <c r="AG49" s="97">
        <f>IF(Option2="No",0,IF($A49&lt;ImplementationYear,0,IF($A49&gt;(ImplementationYear+(Appraisal_Period-1)),0,'Reduction in car usage'!$E$47*$B49)))</f>
        <v>0</v>
      </c>
      <c r="AH49" s="97">
        <f>IF(Option2="No",0,IF($A49&lt;ImplementationYear,0,IF($A49&gt;(ImplementationYear+(Appraisal_Period-1)),0,'Reduction in car usage'!$E$48*$B49)))</f>
        <v>0</v>
      </c>
      <c r="AJ49" s="94">
        <f>IF(Option3="No",0,IF($A49=ImplementationYear,('Project details'!$P$10-'Project details'!$D$10)*VLOOKUP(Year_cost_estimate,'Time-series parameters'!$B$11:$C$89,2,FALSE)*$B49*(1+Contingency),0))</f>
        <v>0</v>
      </c>
      <c r="AK49" s="94">
        <f>IF(Option3="No",0,IF($A49&lt;ImplementationYear,0,IF($A49&gt;(ImplementationYear+(Appraisal_Period-1)),0,('Project details'!$P$11-'Project details'!$D$11)*VLOOKUP(Year_cost_estimate,'Time-series parameters'!$B$11:$C$89,2,0))*$B49))</f>
        <v>0</v>
      </c>
      <c r="AL49" s="94">
        <f>IF(Option3="No",0,IF($A49=ImplementationYear,('Project details'!$P$12-'Project details'!$D$12)*VLOOKUP(Year_cost_estimate,'Time-series parameters'!$B$11:$C$89,2,FALSE)*$B49,0))</f>
        <v>0</v>
      </c>
      <c r="AM49" s="97">
        <f>IF(Option3="No",0,IF($A49&lt;ImplementationYear,0,IF($A49&gt;(ImplementationYear+(Appraisal_Period-1)),0,Health!$F$21*$B49)))</f>
        <v>0</v>
      </c>
      <c r="AN49" s="97">
        <f>IF(Option3="No",0,IF($A49&lt;ImplementationYear,0,IF($A49&gt;(ImplementationYear+(Appraisal_Period-1)),0,Health!$F$22*$B49)))</f>
        <v>0</v>
      </c>
      <c r="AO49" s="97">
        <f>IF(Option3="No",0,IF($A49&lt;ImplementationYear,0,IF($A49&gt;(ImplementationYear+(Appraisal_Period-1)),0,SUM('Travel time'!$F$22:$F$23)*$B49)))</f>
        <v>0</v>
      </c>
      <c r="AP49" s="97">
        <f>IF(Option3="No",0,IF($A49&lt;ImplementationYear,0,IF($A49&gt;(ImplementationYear+(Appraisal_Period-1)),0,SUM('Travel time'!$F$20:$F$21)*$B49)))</f>
        <v>0</v>
      </c>
      <c r="AQ49" s="97">
        <f>IF(Option3="No",0,IF($A49&lt;ImplementationYear,0,IF($A49&gt;(ImplementationYear+(Appraisal_Period-1)),0,SUM(Quality!$F$22:$F$23)*$B49)))</f>
        <v>0</v>
      </c>
      <c r="AR49" s="97">
        <f>IF(Option3="No",0,IF($A49&lt;ImplementationYear,0,IF($A49&gt;(ImplementationYear+(Appraisal_Period-1)),0,SUM(Quality!$F$20:$F$21)*$B49)))</f>
        <v>0</v>
      </c>
      <c r="AS49" s="97">
        <f>IF(Option3="No",0,IF($A49&lt;ImplementationYear,0,IF($A49&gt;(ImplementationYear+(Appraisal_Period-1)),0,'Mode change'!$F$36*$B49)))</f>
        <v>0</v>
      </c>
      <c r="AT49" s="97">
        <f>IF(Option3="No",0,IF($A49&lt;ImplementationYear,0,IF($A49&gt;(ImplementationYear+(Appraisal_Period-1)),0,'Mode change'!$F$37*$B49)))</f>
        <v>0</v>
      </c>
      <c r="AU49" s="97">
        <f>IF(Option3="No",0,IF($A49&lt;ImplementationYear,0,IF($A49&gt;(ImplementationYear+(Appraisal_Period-1)),0,'Road safety'!$F$22*$B49)))</f>
        <v>0</v>
      </c>
      <c r="AV49" s="97">
        <f>IF(Option3="No",0,IF($A49&lt;ImplementationYear,0,IF($A49&gt;(ImplementationYear+(Appraisal_Period-1)),0,'Reduction in car usage'!$F$46*$B49)))</f>
        <v>0</v>
      </c>
      <c r="AW49" s="97">
        <f>IF(Option3="No",0,IF($A49&lt;ImplementationYear,0,IF($A49&gt;(ImplementationYear+(Appraisal_Period-1)),0,'Reduction in car usage'!$F$47*$B49)))</f>
        <v>0</v>
      </c>
      <c r="AX49" s="97">
        <f>IF(Option3="No",0,IF($A49&lt;ImplementationYear,0,IF($A49&gt;(ImplementationYear+(Appraisal_Period-1)),0,'Reduction in car usage'!$F$48*$B49)))</f>
        <v>0</v>
      </c>
    </row>
    <row r="50" spans="1:50">
      <c r="A50" s="335">
        <v>2045</v>
      </c>
      <c r="B50" s="62">
        <f>VLOOKUP($A50,'Time-series parameters'!$E$11:$H$89,4,FALSE)</f>
        <v>0.2495869784077073</v>
      </c>
      <c r="C50" s="89"/>
      <c r="D50" s="94">
        <f>IF(Option1="No",0,IF($A50=ImplementationYear,('Project details'!$H$10-'Project details'!$D$10)*VLOOKUP(Year_cost_estimate,'Time-series parameters'!$B$11:$C$89,2,FALSE)*$B50*(1+Contingency),0))</f>
        <v>0</v>
      </c>
      <c r="E50" s="94">
        <f>IF(Option1="No",0,IF($A50&lt;ImplementationYear,0,IF($A50&gt;(ImplementationYear+(Appraisal_Period-1)),0,('Project details'!$H$11-'Project details'!$D$11)*VLOOKUP(Year_cost_estimate,'Time-series parameters'!$B$11:$C$89,2,0))*$B50))</f>
        <v>0</v>
      </c>
      <c r="F50" s="94">
        <f>IF(Option1="No",0,IF($A50=ImplementationYear,('Project details'!$H$12-'Project details'!$D$12)*VLOOKUP(Year_cost_estimate,'Time-series parameters'!$B$11:$C$89,2,FALSE)*$B50,0))</f>
        <v>0</v>
      </c>
      <c r="G50" s="97">
        <f>IF(Option1="No",0,IF($A50&lt;ImplementationYear,0,IF($A50&gt;(ImplementationYear+(Appraisal_Period-1)),0,Health!$D$21*$B50)))</f>
        <v>0</v>
      </c>
      <c r="H50" s="97">
        <f>IF(Option1="No",0,IF($A50&lt;ImplementationYear,0,IF($A50&gt;(ImplementationYear+(Appraisal_Period-1)),0,Health!$D$22*$B50)))</f>
        <v>0</v>
      </c>
      <c r="I50" s="97">
        <f>IF(Option1="No",0,IF($A50&lt;ImplementationYear,0,IF($A50&gt;(ImplementationYear+(Appraisal_Period-1)),0,SUM('Travel time'!$D$22:$D$23)*$B50)))</f>
        <v>0</v>
      </c>
      <c r="J50" s="97">
        <f>IF(Option1="No",0,IF($A50&lt;ImplementationYear,0,IF($A50&gt;(ImplementationYear+(Appraisal_Period-1)),0,SUM('Travel time'!$D$20:$D$21)*$B50)))</f>
        <v>0</v>
      </c>
      <c r="K50" s="97">
        <f>IF(Option1="No",0,IF($A50&lt;ImplementationYear,0,IF($A50&gt;(ImplementationYear+(Appraisal_Period-1)),0,SUM(Quality!$D$22:$D$23)*$B50)))</f>
        <v>0</v>
      </c>
      <c r="L50" s="97">
        <f>IF(Option1="No",0,IF($A50&lt;ImplementationYear,0,IF($A50&gt;(ImplementationYear+(Appraisal_Period-1)),0,SUM(Quality!$D$20:$D$21)*$B50)))</f>
        <v>0</v>
      </c>
      <c r="M50" s="97">
        <f>IF(Option1="No",0,IF($A50&lt;ImplementationYear,0,IF($A50&gt;(ImplementationYear+(Appraisal_Period-1)),0,'Mode change'!$D$36*$B50)))</f>
        <v>0</v>
      </c>
      <c r="N50" s="97">
        <f>IF(Option1="No",0,IF($A50&lt;ImplementationYear,0,IF($A50&gt;(ImplementationYear+(Appraisal_Period-1)),0,'Mode change'!$D$37*$B50)))</f>
        <v>0</v>
      </c>
      <c r="O50" s="97">
        <f>IF(Option1="No",0,IF($A50&lt;ImplementationYear,0,IF($A50&gt;(ImplementationYear+(Appraisal_Period-1)),0,'Road safety'!$D$22*$B50)))</f>
        <v>0</v>
      </c>
      <c r="P50" s="97">
        <f>IF(Option1="No",0,IF($A50&lt;ImplementationYear,0,IF($A50&gt;(ImplementationYear+(Appraisal_Period-1)),0,'Reduction in car usage'!$D$46*$B50)))</f>
        <v>0</v>
      </c>
      <c r="Q50" s="97">
        <f>IF(Option1="No",0,IF($A50&lt;ImplementationYear,0,IF($A50&gt;(ImplementationYear+(Appraisal_Period-1)),0,'Reduction in car usage'!$D$47*$B50)))</f>
        <v>0</v>
      </c>
      <c r="R50" s="97">
        <f>IF(Option1="No",0,IF($A50&lt;ImplementationYear,0,IF($A50&gt;(ImplementationYear+(Appraisal_Period-1)),0,'Reduction in car usage'!$D$48*$B50)))</f>
        <v>0</v>
      </c>
      <c r="S50" s="92"/>
      <c r="T50" s="94">
        <f>IF(Option2="No",0,IF($A50=ImplementationYear,('Project details'!$L$10-'Project details'!$D$10)*VLOOKUP(Year_cost_estimate,'Time-series parameters'!$B$11:$C$89,2,FALSE)*$B50*(1+Contingency),0))</f>
        <v>0</v>
      </c>
      <c r="U50" s="94">
        <f>IF(Option2="No",0,IF($A50&lt;ImplementationYear,0,IF($A50&gt;(ImplementationYear+(Appraisal_Period-1)),0,('Project details'!$L$11-'Project details'!$D$11)*VLOOKUP(Year_cost_estimate,'Time-series parameters'!$B$11:$C$89,2,0))*$B50))</f>
        <v>0</v>
      </c>
      <c r="V50" s="94">
        <f>IF(Option2="No",0,IF($A50=ImplementationYear,('Project details'!$L$12-'Project details'!$D$12)*VLOOKUP(Year_cost_estimate,'Time-series parameters'!$B$11:$C$89,2,FALSE)*$B50,0))</f>
        <v>0</v>
      </c>
      <c r="W50" s="97">
        <f>IF(Option2="No",0,IF($A50&lt;ImplementationYear,0,IF($A50&gt;(ImplementationYear+(Appraisal_Period-1)),0,Health!$E$21*$B50)))</f>
        <v>0</v>
      </c>
      <c r="X50" s="97">
        <f>IF(Option2="No",0,IF($A50&lt;ImplementationYear,0,IF($A50&gt;(ImplementationYear+(Appraisal_Period-1)),0,Health!$E$22*$B50)))</f>
        <v>0</v>
      </c>
      <c r="Y50" s="97">
        <f>IF(Option2="No",0,IF($A50&lt;ImplementationYear,0,IF($A50&gt;(ImplementationYear+(Appraisal_Period-1)),0,SUM('Travel time'!$E$22:$E$23)*$B50)))</f>
        <v>0</v>
      </c>
      <c r="Z50" s="97">
        <f>IF(Option2="No",0,IF($A50&lt;ImplementationYear,0,IF($A50&gt;(ImplementationYear+(Appraisal_Period-1)),0,SUM('Travel time'!$E$20:$E$21)*$B50)))</f>
        <v>0</v>
      </c>
      <c r="AA50" s="97">
        <f>IF(Option2="No",0,IF($A50&lt;ImplementationYear,0,IF($A50&gt;(ImplementationYear+(Appraisal_Period-1)),0,SUM(Quality!$E$22:$E$23)*$B50)))</f>
        <v>0</v>
      </c>
      <c r="AB50" s="97">
        <f>IF(Option2="No",0,IF($A50&lt;ImplementationYear,0,IF($A50&gt;(ImplementationYear+(Appraisal_Period-1)),0,SUM(Quality!$E$20:$E$21)*$B50)))</f>
        <v>0</v>
      </c>
      <c r="AC50" s="97">
        <f>IF(Option2="No",0,IF($A50&lt;ImplementationYear,0,IF($A50&gt;(ImplementationYear+(Appraisal_Period-1)),0,'Mode change'!$E$36*$B50)))</f>
        <v>0</v>
      </c>
      <c r="AD50" s="97">
        <f>IF(Option2="No",0,IF($A50&lt;ImplementationYear,0,IF($A50&gt;(ImplementationYear+(Appraisal_Period-1)),0,'Mode change'!$E$37*$B50)))</f>
        <v>0</v>
      </c>
      <c r="AE50" s="97">
        <f>IF(Option2="No",0,IF($A50&lt;ImplementationYear,0,IF($A50&gt;(ImplementationYear+(Appraisal_Period-1)),0,'Road safety'!$E$22*$B50)))</f>
        <v>0</v>
      </c>
      <c r="AF50" s="97">
        <f>IF(Option2="No",0,IF($A50&lt;ImplementationYear,0,IF($A50&gt;(ImplementationYear+(Appraisal_Period-1)),0,'Reduction in car usage'!$E$46*$B50)))</f>
        <v>0</v>
      </c>
      <c r="AG50" s="97">
        <f>IF(Option2="No",0,IF($A50&lt;ImplementationYear,0,IF($A50&gt;(ImplementationYear+(Appraisal_Period-1)),0,'Reduction in car usage'!$E$47*$B50)))</f>
        <v>0</v>
      </c>
      <c r="AH50" s="97">
        <f>IF(Option2="No",0,IF($A50&lt;ImplementationYear,0,IF($A50&gt;(ImplementationYear+(Appraisal_Period-1)),0,'Reduction in car usage'!$E$48*$B50)))</f>
        <v>0</v>
      </c>
      <c r="AJ50" s="94">
        <f>IF(Option3="No",0,IF($A50=ImplementationYear,('Project details'!$P$10-'Project details'!$D$10)*VLOOKUP(Year_cost_estimate,'Time-series parameters'!$B$11:$C$89,2,FALSE)*$B50*(1+Contingency),0))</f>
        <v>0</v>
      </c>
      <c r="AK50" s="94">
        <f>IF(Option3="No",0,IF($A50&lt;ImplementationYear,0,IF($A50&gt;(ImplementationYear+(Appraisal_Period-1)),0,('Project details'!$P$11-'Project details'!$D$11)*VLOOKUP(Year_cost_estimate,'Time-series parameters'!$B$11:$C$89,2,0))*$B50))</f>
        <v>0</v>
      </c>
      <c r="AL50" s="94">
        <f>IF(Option3="No",0,IF($A50=ImplementationYear,('Project details'!$P$12-'Project details'!$D$12)*VLOOKUP(Year_cost_estimate,'Time-series parameters'!$B$11:$C$89,2,FALSE)*$B50,0))</f>
        <v>0</v>
      </c>
      <c r="AM50" s="97">
        <f>IF(Option3="No",0,IF($A50&lt;ImplementationYear,0,IF($A50&gt;(ImplementationYear+(Appraisal_Period-1)),0,Health!$F$21*$B50)))</f>
        <v>0</v>
      </c>
      <c r="AN50" s="97">
        <f>IF(Option3="No",0,IF($A50&lt;ImplementationYear,0,IF($A50&gt;(ImplementationYear+(Appraisal_Period-1)),0,Health!$F$22*$B50)))</f>
        <v>0</v>
      </c>
      <c r="AO50" s="97">
        <f>IF(Option3="No",0,IF($A50&lt;ImplementationYear,0,IF($A50&gt;(ImplementationYear+(Appraisal_Period-1)),0,SUM('Travel time'!$F$22:$F$23)*$B50)))</f>
        <v>0</v>
      </c>
      <c r="AP50" s="97">
        <f>IF(Option3="No",0,IF($A50&lt;ImplementationYear,0,IF($A50&gt;(ImplementationYear+(Appraisal_Period-1)),0,SUM('Travel time'!$F$20:$F$21)*$B50)))</f>
        <v>0</v>
      </c>
      <c r="AQ50" s="97">
        <f>IF(Option3="No",0,IF($A50&lt;ImplementationYear,0,IF($A50&gt;(ImplementationYear+(Appraisal_Period-1)),0,SUM(Quality!$F$22:$F$23)*$B50)))</f>
        <v>0</v>
      </c>
      <c r="AR50" s="97">
        <f>IF(Option3="No",0,IF($A50&lt;ImplementationYear,0,IF($A50&gt;(ImplementationYear+(Appraisal_Period-1)),0,SUM(Quality!$F$20:$F$21)*$B50)))</f>
        <v>0</v>
      </c>
      <c r="AS50" s="97">
        <f>IF(Option3="No",0,IF($A50&lt;ImplementationYear,0,IF($A50&gt;(ImplementationYear+(Appraisal_Period-1)),0,'Mode change'!$F$36*$B50)))</f>
        <v>0</v>
      </c>
      <c r="AT50" s="97">
        <f>IF(Option3="No",0,IF($A50&lt;ImplementationYear,0,IF($A50&gt;(ImplementationYear+(Appraisal_Period-1)),0,'Mode change'!$F$37*$B50)))</f>
        <v>0</v>
      </c>
      <c r="AU50" s="97">
        <f>IF(Option3="No",0,IF($A50&lt;ImplementationYear,0,IF($A50&gt;(ImplementationYear+(Appraisal_Period-1)),0,'Road safety'!$F$22*$B50)))</f>
        <v>0</v>
      </c>
      <c r="AV50" s="97">
        <f>IF(Option3="No",0,IF($A50&lt;ImplementationYear,0,IF($A50&gt;(ImplementationYear+(Appraisal_Period-1)),0,'Reduction in car usage'!$F$46*$B50)))</f>
        <v>0</v>
      </c>
      <c r="AW50" s="97">
        <f>IF(Option3="No",0,IF($A50&lt;ImplementationYear,0,IF($A50&gt;(ImplementationYear+(Appraisal_Period-1)),0,'Reduction in car usage'!$F$47*$B50)))</f>
        <v>0</v>
      </c>
      <c r="AX50" s="97">
        <f>IF(Option3="No",0,IF($A50&lt;ImplementationYear,0,IF($A50&gt;(ImplementationYear+(Appraisal_Period-1)),0,'Reduction in car usage'!$F$48*$B50)))</f>
        <v>0</v>
      </c>
    </row>
    <row r="51" spans="1:50">
      <c r="A51" s="335">
        <v>2046</v>
      </c>
      <c r="B51" s="62">
        <f>VLOOKUP($A51,'Time-series parameters'!$E$11:$H$89,4,FALSE)</f>
        <v>0.23960349927139901</v>
      </c>
      <c r="C51" s="89"/>
      <c r="D51" s="94">
        <f>IF(Option1="No",0,IF($A51=ImplementationYear,('Project details'!$H$10-'Project details'!$D$10)*VLOOKUP(Year_cost_estimate,'Time-series parameters'!$B$11:$C$89,2,FALSE)*$B51*(1+Contingency),0))</f>
        <v>0</v>
      </c>
      <c r="E51" s="94">
        <f>IF(Option1="No",0,IF($A51&lt;ImplementationYear,0,IF($A51&gt;(ImplementationYear+(Appraisal_Period-1)),0,('Project details'!$H$11-'Project details'!$D$11)*VLOOKUP(Year_cost_estimate,'Time-series parameters'!$B$11:$C$89,2,0))*$B51))</f>
        <v>0</v>
      </c>
      <c r="F51" s="94">
        <f>IF(Option1="No",0,IF($A51=ImplementationYear,('Project details'!$H$12-'Project details'!$D$12)*VLOOKUP(Year_cost_estimate,'Time-series parameters'!$B$11:$C$89,2,FALSE)*$B51,0))</f>
        <v>0</v>
      </c>
      <c r="G51" s="97">
        <f>IF(Option1="No",0,IF($A51&lt;ImplementationYear,0,IF($A51&gt;(ImplementationYear+(Appraisal_Period-1)),0,Health!$D$21*$B51)))</f>
        <v>0</v>
      </c>
      <c r="H51" s="97">
        <f>IF(Option1="No",0,IF($A51&lt;ImplementationYear,0,IF($A51&gt;(ImplementationYear+(Appraisal_Period-1)),0,Health!$D$22*$B51)))</f>
        <v>0</v>
      </c>
      <c r="I51" s="97">
        <f>IF(Option1="No",0,IF($A51&lt;ImplementationYear,0,IF($A51&gt;(ImplementationYear+(Appraisal_Period-1)),0,SUM('Travel time'!$D$22:$D$23)*$B51)))</f>
        <v>0</v>
      </c>
      <c r="J51" s="97">
        <f>IF(Option1="No",0,IF($A51&lt;ImplementationYear,0,IF($A51&gt;(ImplementationYear+(Appraisal_Period-1)),0,SUM('Travel time'!$D$20:$D$21)*$B51)))</f>
        <v>0</v>
      </c>
      <c r="K51" s="97">
        <f>IF(Option1="No",0,IF($A51&lt;ImplementationYear,0,IF($A51&gt;(ImplementationYear+(Appraisal_Period-1)),0,SUM(Quality!$D$22:$D$23)*$B51)))</f>
        <v>0</v>
      </c>
      <c r="L51" s="97">
        <f>IF(Option1="No",0,IF($A51&lt;ImplementationYear,0,IF($A51&gt;(ImplementationYear+(Appraisal_Period-1)),0,SUM(Quality!$D$20:$D$21)*$B51)))</f>
        <v>0</v>
      </c>
      <c r="M51" s="97">
        <f>IF(Option1="No",0,IF($A51&lt;ImplementationYear,0,IF($A51&gt;(ImplementationYear+(Appraisal_Period-1)),0,'Mode change'!$D$36*$B51)))</f>
        <v>0</v>
      </c>
      <c r="N51" s="97">
        <f>IF(Option1="No",0,IF($A51&lt;ImplementationYear,0,IF($A51&gt;(ImplementationYear+(Appraisal_Period-1)),0,'Mode change'!$D$37*$B51)))</f>
        <v>0</v>
      </c>
      <c r="O51" s="97">
        <f>IF(Option1="No",0,IF($A51&lt;ImplementationYear,0,IF($A51&gt;(ImplementationYear+(Appraisal_Period-1)),0,'Road safety'!$D$22*$B51)))</f>
        <v>0</v>
      </c>
      <c r="P51" s="97">
        <f>IF(Option1="No",0,IF($A51&lt;ImplementationYear,0,IF($A51&gt;(ImplementationYear+(Appraisal_Period-1)),0,'Reduction in car usage'!$D$46*$B51)))</f>
        <v>0</v>
      </c>
      <c r="Q51" s="97">
        <f>IF(Option1="No",0,IF($A51&lt;ImplementationYear,0,IF($A51&gt;(ImplementationYear+(Appraisal_Period-1)),0,'Reduction in car usage'!$D$47*$B51)))</f>
        <v>0</v>
      </c>
      <c r="R51" s="97">
        <f>IF(Option1="No",0,IF($A51&lt;ImplementationYear,0,IF($A51&gt;(ImplementationYear+(Appraisal_Period-1)),0,'Reduction in car usage'!$D$48*$B51)))</f>
        <v>0</v>
      </c>
      <c r="S51" s="92"/>
      <c r="T51" s="94">
        <f>IF(Option2="No",0,IF($A51=ImplementationYear,('Project details'!$L$10-'Project details'!$D$10)*VLOOKUP(Year_cost_estimate,'Time-series parameters'!$B$11:$C$89,2,FALSE)*$B51*(1+Contingency),0))</f>
        <v>0</v>
      </c>
      <c r="U51" s="94">
        <f>IF(Option2="No",0,IF($A51&lt;ImplementationYear,0,IF($A51&gt;(ImplementationYear+(Appraisal_Period-1)),0,('Project details'!$L$11-'Project details'!$D$11)*VLOOKUP(Year_cost_estimate,'Time-series parameters'!$B$11:$C$89,2,0))*$B51))</f>
        <v>0</v>
      </c>
      <c r="V51" s="94">
        <f>IF(Option2="No",0,IF($A51=ImplementationYear,('Project details'!$L$12-'Project details'!$D$12)*VLOOKUP(Year_cost_estimate,'Time-series parameters'!$B$11:$C$89,2,FALSE)*$B51,0))</f>
        <v>0</v>
      </c>
      <c r="W51" s="97">
        <f>IF(Option2="No",0,IF($A51&lt;ImplementationYear,0,IF($A51&gt;(ImplementationYear+(Appraisal_Period-1)),0,Health!$E$21*$B51)))</f>
        <v>0</v>
      </c>
      <c r="X51" s="97">
        <f>IF(Option2="No",0,IF($A51&lt;ImplementationYear,0,IF($A51&gt;(ImplementationYear+(Appraisal_Period-1)),0,Health!$E$22*$B51)))</f>
        <v>0</v>
      </c>
      <c r="Y51" s="97">
        <f>IF(Option2="No",0,IF($A51&lt;ImplementationYear,0,IF($A51&gt;(ImplementationYear+(Appraisal_Period-1)),0,SUM('Travel time'!$E$22:$E$23)*$B51)))</f>
        <v>0</v>
      </c>
      <c r="Z51" s="97">
        <f>IF(Option2="No",0,IF($A51&lt;ImplementationYear,0,IF($A51&gt;(ImplementationYear+(Appraisal_Period-1)),0,SUM('Travel time'!$E$20:$E$21)*$B51)))</f>
        <v>0</v>
      </c>
      <c r="AA51" s="97">
        <f>IF(Option2="No",0,IF($A51&lt;ImplementationYear,0,IF($A51&gt;(ImplementationYear+(Appraisal_Period-1)),0,SUM(Quality!$E$22:$E$23)*$B51)))</f>
        <v>0</v>
      </c>
      <c r="AB51" s="97">
        <f>IF(Option2="No",0,IF($A51&lt;ImplementationYear,0,IF($A51&gt;(ImplementationYear+(Appraisal_Period-1)),0,SUM(Quality!$E$20:$E$21)*$B51)))</f>
        <v>0</v>
      </c>
      <c r="AC51" s="97">
        <f>IF(Option2="No",0,IF($A51&lt;ImplementationYear,0,IF($A51&gt;(ImplementationYear+(Appraisal_Period-1)),0,'Mode change'!$E$36*$B51)))</f>
        <v>0</v>
      </c>
      <c r="AD51" s="97">
        <f>IF(Option2="No",0,IF($A51&lt;ImplementationYear,0,IF($A51&gt;(ImplementationYear+(Appraisal_Period-1)),0,'Mode change'!$E$37*$B51)))</f>
        <v>0</v>
      </c>
      <c r="AE51" s="97">
        <f>IF(Option2="No",0,IF($A51&lt;ImplementationYear,0,IF($A51&gt;(ImplementationYear+(Appraisal_Period-1)),0,'Road safety'!$E$22*$B51)))</f>
        <v>0</v>
      </c>
      <c r="AF51" s="97">
        <f>IF(Option2="No",0,IF($A51&lt;ImplementationYear,0,IF($A51&gt;(ImplementationYear+(Appraisal_Period-1)),0,'Reduction in car usage'!$E$46*$B51)))</f>
        <v>0</v>
      </c>
      <c r="AG51" s="97">
        <f>IF(Option2="No",0,IF($A51&lt;ImplementationYear,0,IF($A51&gt;(ImplementationYear+(Appraisal_Period-1)),0,'Reduction in car usage'!$E$47*$B51)))</f>
        <v>0</v>
      </c>
      <c r="AH51" s="97">
        <f>IF(Option2="No",0,IF($A51&lt;ImplementationYear,0,IF($A51&gt;(ImplementationYear+(Appraisal_Period-1)),0,'Reduction in car usage'!$E$48*$B51)))</f>
        <v>0</v>
      </c>
      <c r="AJ51" s="94">
        <f>IF(Option3="No",0,IF($A51=ImplementationYear,('Project details'!$P$10-'Project details'!$D$10)*VLOOKUP(Year_cost_estimate,'Time-series parameters'!$B$11:$C$89,2,FALSE)*$B51*(1+Contingency),0))</f>
        <v>0</v>
      </c>
      <c r="AK51" s="94">
        <f>IF(Option3="No",0,IF($A51&lt;ImplementationYear,0,IF($A51&gt;(ImplementationYear+(Appraisal_Period-1)),0,('Project details'!$P$11-'Project details'!$D$11)*VLOOKUP(Year_cost_estimate,'Time-series parameters'!$B$11:$C$89,2,0))*$B51))</f>
        <v>0</v>
      </c>
      <c r="AL51" s="94">
        <f>IF(Option3="No",0,IF($A51=ImplementationYear,('Project details'!$P$12-'Project details'!$D$12)*VLOOKUP(Year_cost_estimate,'Time-series parameters'!$B$11:$C$89,2,FALSE)*$B51,0))</f>
        <v>0</v>
      </c>
      <c r="AM51" s="97">
        <f>IF(Option3="No",0,IF($A51&lt;ImplementationYear,0,IF($A51&gt;(ImplementationYear+(Appraisal_Period-1)),0,Health!$F$21*$B51)))</f>
        <v>0</v>
      </c>
      <c r="AN51" s="97">
        <f>IF(Option3="No",0,IF($A51&lt;ImplementationYear,0,IF($A51&gt;(ImplementationYear+(Appraisal_Period-1)),0,Health!$F$22*$B51)))</f>
        <v>0</v>
      </c>
      <c r="AO51" s="97">
        <f>IF(Option3="No",0,IF($A51&lt;ImplementationYear,0,IF($A51&gt;(ImplementationYear+(Appraisal_Period-1)),0,SUM('Travel time'!$F$22:$F$23)*$B51)))</f>
        <v>0</v>
      </c>
      <c r="AP51" s="97">
        <f>IF(Option3="No",0,IF($A51&lt;ImplementationYear,0,IF($A51&gt;(ImplementationYear+(Appraisal_Period-1)),0,SUM('Travel time'!$F$20:$F$21)*$B51)))</f>
        <v>0</v>
      </c>
      <c r="AQ51" s="97">
        <f>IF(Option3="No",0,IF($A51&lt;ImplementationYear,0,IF($A51&gt;(ImplementationYear+(Appraisal_Period-1)),0,SUM(Quality!$F$22:$F$23)*$B51)))</f>
        <v>0</v>
      </c>
      <c r="AR51" s="97">
        <f>IF(Option3="No",0,IF($A51&lt;ImplementationYear,0,IF($A51&gt;(ImplementationYear+(Appraisal_Period-1)),0,SUM(Quality!$F$20:$F$21)*$B51)))</f>
        <v>0</v>
      </c>
      <c r="AS51" s="97">
        <f>IF(Option3="No",0,IF($A51&lt;ImplementationYear,0,IF($A51&gt;(ImplementationYear+(Appraisal_Period-1)),0,'Mode change'!$F$36*$B51)))</f>
        <v>0</v>
      </c>
      <c r="AT51" s="97">
        <f>IF(Option3="No",0,IF($A51&lt;ImplementationYear,0,IF($A51&gt;(ImplementationYear+(Appraisal_Period-1)),0,'Mode change'!$F$37*$B51)))</f>
        <v>0</v>
      </c>
      <c r="AU51" s="97">
        <f>IF(Option3="No",0,IF($A51&lt;ImplementationYear,0,IF($A51&gt;(ImplementationYear+(Appraisal_Period-1)),0,'Road safety'!$F$22*$B51)))</f>
        <v>0</v>
      </c>
      <c r="AV51" s="97">
        <f>IF(Option3="No",0,IF($A51&lt;ImplementationYear,0,IF($A51&gt;(ImplementationYear+(Appraisal_Period-1)),0,'Reduction in car usage'!$F$46*$B51)))</f>
        <v>0</v>
      </c>
      <c r="AW51" s="97">
        <f>IF(Option3="No",0,IF($A51&lt;ImplementationYear,0,IF($A51&gt;(ImplementationYear+(Appraisal_Period-1)),0,'Reduction in car usage'!$F$47*$B51)))</f>
        <v>0</v>
      </c>
      <c r="AX51" s="97">
        <f>IF(Option3="No",0,IF($A51&lt;ImplementationYear,0,IF($A51&gt;(ImplementationYear+(Appraisal_Period-1)),0,'Reduction in car usage'!$F$48*$B51)))</f>
        <v>0</v>
      </c>
    </row>
    <row r="52" spans="1:50">
      <c r="A52" s="335">
        <v>2047</v>
      </c>
      <c r="B52" s="62">
        <f>VLOOKUP($A52,'Time-series parameters'!$E$11:$H$89,4,FALSE)</f>
        <v>0.23001935930054304</v>
      </c>
      <c r="C52" s="89"/>
      <c r="D52" s="94">
        <f>IF(Option1="No",0,IF($A52=ImplementationYear,('Project details'!$H$10-'Project details'!$D$10)*VLOOKUP(Year_cost_estimate,'Time-series parameters'!$B$11:$C$89,2,FALSE)*$B52*(1+Contingency),0))</f>
        <v>0</v>
      </c>
      <c r="E52" s="94">
        <f>IF(Option1="No",0,IF($A52&lt;ImplementationYear,0,IF($A52&gt;(ImplementationYear+(Appraisal_Period-1)),0,('Project details'!$H$11-'Project details'!$D$11)*VLOOKUP(Year_cost_estimate,'Time-series parameters'!$B$11:$C$89,2,0))*$B52))</f>
        <v>0</v>
      </c>
      <c r="F52" s="94">
        <f>IF(Option1="No",0,IF($A52=ImplementationYear,('Project details'!$H$12-'Project details'!$D$12)*VLOOKUP(Year_cost_estimate,'Time-series parameters'!$B$11:$C$89,2,FALSE)*$B52,0))</f>
        <v>0</v>
      </c>
      <c r="G52" s="97">
        <f>IF(Option1="No",0,IF($A52&lt;ImplementationYear,0,IF($A52&gt;(ImplementationYear+(Appraisal_Period-1)),0,Health!$D$21*$B52)))</f>
        <v>0</v>
      </c>
      <c r="H52" s="97">
        <f>IF(Option1="No",0,IF($A52&lt;ImplementationYear,0,IF($A52&gt;(ImplementationYear+(Appraisal_Period-1)),0,Health!$D$22*$B52)))</f>
        <v>0</v>
      </c>
      <c r="I52" s="97">
        <f>IF(Option1="No",0,IF($A52&lt;ImplementationYear,0,IF($A52&gt;(ImplementationYear+(Appraisal_Period-1)),0,SUM('Travel time'!$D$22:$D$23)*$B52)))</f>
        <v>0</v>
      </c>
      <c r="J52" s="97">
        <f>IF(Option1="No",0,IF($A52&lt;ImplementationYear,0,IF($A52&gt;(ImplementationYear+(Appraisal_Period-1)),0,SUM('Travel time'!$D$20:$D$21)*$B52)))</f>
        <v>0</v>
      </c>
      <c r="K52" s="97">
        <f>IF(Option1="No",0,IF($A52&lt;ImplementationYear,0,IF($A52&gt;(ImplementationYear+(Appraisal_Period-1)),0,SUM(Quality!$D$22:$D$23)*$B52)))</f>
        <v>0</v>
      </c>
      <c r="L52" s="97">
        <f>IF(Option1="No",0,IF($A52&lt;ImplementationYear,0,IF($A52&gt;(ImplementationYear+(Appraisal_Period-1)),0,SUM(Quality!$D$20:$D$21)*$B52)))</f>
        <v>0</v>
      </c>
      <c r="M52" s="97">
        <f>IF(Option1="No",0,IF($A52&lt;ImplementationYear,0,IF($A52&gt;(ImplementationYear+(Appraisal_Period-1)),0,'Mode change'!$D$36*$B52)))</f>
        <v>0</v>
      </c>
      <c r="N52" s="97">
        <f>IF(Option1="No",0,IF($A52&lt;ImplementationYear,0,IF($A52&gt;(ImplementationYear+(Appraisal_Period-1)),0,'Mode change'!$D$37*$B52)))</f>
        <v>0</v>
      </c>
      <c r="O52" s="97">
        <f>IF(Option1="No",0,IF($A52&lt;ImplementationYear,0,IF($A52&gt;(ImplementationYear+(Appraisal_Period-1)),0,'Road safety'!$D$22*$B52)))</f>
        <v>0</v>
      </c>
      <c r="P52" s="97">
        <f>IF(Option1="No",0,IF($A52&lt;ImplementationYear,0,IF($A52&gt;(ImplementationYear+(Appraisal_Period-1)),0,'Reduction in car usage'!$D$46*$B52)))</f>
        <v>0</v>
      </c>
      <c r="Q52" s="97">
        <f>IF(Option1="No",0,IF($A52&lt;ImplementationYear,0,IF($A52&gt;(ImplementationYear+(Appraisal_Period-1)),0,'Reduction in car usage'!$D$47*$B52)))</f>
        <v>0</v>
      </c>
      <c r="R52" s="97">
        <f>IF(Option1="No",0,IF($A52&lt;ImplementationYear,0,IF($A52&gt;(ImplementationYear+(Appraisal_Period-1)),0,'Reduction in car usage'!$D$48*$B52)))</f>
        <v>0</v>
      </c>
      <c r="S52" s="92"/>
      <c r="T52" s="94">
        <f>IF(Option2="No",0,IF($A52=ImplementationYear,('Project details'!$L$10-'Project details'!$D$10)*VLOOKUP(Year_cost_estimate,'Time-series parameters'!$B$11:$C$89,2,FALSE)*$B52*(1+Contingency),0))</f>
        <v>0</v>
      </c>
      <c r="U52" s="94">
        <f>IF(Option2="No",0,IF($A52&lt;ImplementationYear,0,IF($A52&gt;(ImplementationYear+(Appraisal_Period-1)),0,('Project details'!$L$11-'Project details'!$D$11)*VLOOKUP(Year_cost_estimate,'Time-series parameters'!$B$11:$C$89,2,0))*$B52))</f>
        <v>0</v>
      </c>
      <c r="V52" s="94">
        <f>IF(Option2="No",0,IF($A52=ImplementationYear,('Project details'!$L$12-'Project details'!$D$12)*VLOOKUP(Year_cost_estimate,'Time-series parameters'!$B$11:$C$89,2,FALSE)*$B52,0))</f>
        <v>0</v>
      </c>
      <c r="W52" s="97">
        <f>IF(Option2="No",0,IF($A52&lt;ImplementationYear,0,IF($A52&gt;(ImplementationYear+(Appraisal_Period-1)),0,Health!$E$21*$B52)))</f>
        <v>0</v>
      </c>
      <c r="X52" s="97">
        <f>IF(Option2="No",0,IF($A52&lt;ImplementationYear,0,IF($A52&gt;(ImplementationYear+(Appraisal_Period-1)),0,Health!$E$22*$B52)))</f>
        <v>0</v>
      </c>
      <c r="Y52" s="97">
        <f>IF(Option2="No",0,IF($A52&lt;ImplementationYear,0,IF($A52&gt;(ImplementationYear+(Appraisal_Period-1)),0,SUM('Travel time'!$E$22:$E$23)*$B52)))</f>
        <v>0</v>
      </c>
      <c r="Z52" s="97">
        <f>IF(Option2="No",0,IF($A52&lt;ImplementationYear,0,IF($A52&gt;(ImplementationYear+(Appraisal_Period-1)),0,SUM('Travel time'!$E$20:$E$21)*$B52)))</f>
        <v>0</v>
      </c>
      <c r="AA52" s="97">
        <f>IF(Option2="No",0,IF($A52&lt;ImplementationYear,0,IF($A52&gt;(ImplementationYear+(Appraisal_Period-1)),0,SUM(Quality!$E$22:$E$23)*$B52)))</f>
        <v>0</v>
      </c>
      <c r="AB52" s="97">
        <f>IF(Option2="No",0,IF($A52&lt;ImplementationYear,0,IF($A52&gt;(ImplementationYear+(Appraisal_Period-1)),0,SUM(Quality!$E$20:$E$21)*$B52)))</f>
        <v>0</v>
      </c>
      <c r="AC52" s="97">
        <f>IF(Option2="No",0,IF($A52&lt;ImplementationYear,0,IF($A52&gt;(ImplementationYear+(Appraisal_Period-1)),0,'Mode change'!$E$36*$B52)))</f>
        <v>0</v>
      </c>
      <c r="AD52" s="97">
        <f>IF(Option2="No",0,IF($A52&lt;ImplementationYear,0,IF($A52&gt;(ImplementationYear+(Appraisal_Period-1)),0,'Mode change'!$E$37*$B52)))</f>
        <v>0</v>
      </c>
      <c r="AE52" s="97">
        <f>IF(Option2="No",0,IF($A52&lt;ImplementationYear,0,IF($A52&gt;(ImplementationYear+(Appraisal_Period-1)),0,'Road safety'!$E$22*$B52)))</f>
        <v>0</v>
      </c>
      <c r="AF52" s="97">
        <f>IF(Option2="No",0,IF($A52&lt;ImplementationYear,0,IF($A52&gt;(ImplementationYear+(Appraisal_Period-1)),0,'Reduction in car usage'!$E$46*$B52)))</f>
        <v>0</v>
      </c>
      <c r="AG52" s="97">
        <f>IF(Option2="No",0,IF($A52&lt;ImplementationYear,0,IF($A52&gt;(ImplementationYear+(Appraisal_Period-1)),0,'Reduction in car usage'!$E$47*$B52)))</f>
        <v>0</v>
      </c>
      <c r="AH52" s="97">
        <f>IF(Option2="No",0,IF($A52&lt;ImplementationYear,0,IF($A52&gt;(ImplementationYear+(Appraisal_Period-1)),0,'Reduction in car usage'!$E$48*$B52)))</f>
        <v>0</v>
      </c>
      <c r="AJ52" s="94">
        <f>IF(Option3="No",0,IF($A52=ImplementationYear,('Project details'!$P$10-'Project details'!$D$10)*VLOOKUP(Year_cost_estimate,'Time-series parameters'!$B$11:$C$89,2,FALSE)*$B52*(1+Contingency),0))</f>
        <v>0</v>
      </c>
      <c r="AK52" s="94">
        <f>IF(Option3="No",0,IF($A52&lt;ImplementationYear,0,IF($A52&gt;(ImplementationYear+(Appraisal_Period-1)),0,('Project details'!$P$11-'Project details'!$D$11)*VLOOKUP(Year_cost_estimate,'Time-series parameters'!$B$11:$C$89,2,0))*$B52))</f>
        <v>0</v>
      </c>
      <c r="AL52" s="94">
        <f>IF(Option3="No",0,IF($A52=ImplementationYear,('Project details'!$P$12-'Project details'!$D$12)*VLOOKUP(Year_cost_estimate,'Time-series parameters'!$B$11:$C$89,2,FALSE)*$B52,0))</f>
        <v>0</v>
      </c>
      <c r="AM52" s="97">
        <f>IF(Option3="No",0,IF($A52&lt;ImplementationYear,0,IF($A52&gt;(ImplementationYear+(Appraisal_Period-1)),0,Health!$F$21*$B52)))</f>
        <v>0</v>
      </c>
      <c r="AN52" s="97">
        <f>IF(Option3="No",0,IF($A52&lt;ImplementationYear,0,IF($A52&gt;(ImplementationYear+(Appraisal_Period-1)),0,Health!$F$22*$B52)))</f>
        <v>0</v>
      </c>
      <c r="AO52" s="97">
        <f>IF(Option3="No",0,IF($A52&lt;ImplementationYear,0,IF($A52&gt;(ImplementationYear+(Appraisal_Period-1)),0,SUM('Travel time'!$F$22:$F$23)*$B52)))</f>
        <v>0</v>
      </c>
      <c r="AP52" s="97">
        <f>IF(Option3="No",0,IF($A52&lt;ImplementationYear,0,IF($A52&gt;(ImplementationYear+(Appraisal_Period-1)),0,SUM('Travel time'!$F$20:$F$21)*$B52)))</f>
        <v>0</v>
      </c>
      <c r="AQ52" s="97">
        <f>IF(Option3="No",0,IF($A52&lt;ImplementationYear,0,IF($A52&gt;(ImplementationYear+(Appraisal_Period-1)),0,SUM(Quality!$F$22:$F$23)*$B52)))</f>
        <v>0</v>
      </c>
      <c r="AR52" s="97">
        <f>IF(Option3="No",0,IF($A52&lt;ImplementationYear,0,IF($A52&gt;(ImplementationYear+(Appraisal_Period-1)),0,SUM(Quality!$F$20:$F$21)*$B52)))</f>
        <v>0</v>
      </c>
      <c r="AS52" s="97">
        <f>IF(Option3="No",0,IF($A52&lt;ImplementationYear,0,IF($A52&gt;(ImplementationYear+(Appraisal_Period-1)),0,'Mode change'!$F$36*$B52)))</f>
        <v>0</v>
      </c>
      <c r="AT52" s="97">
        <f>IF(Option3="No",0,IF($A52&lt;ImplementationYear,0,IF($A52&gt;(ImplementationYear+(Appraisal_Period-1)),0,'Mode change'!$F$37*$B52)))</f>
        <v>0</v>
      </c>
      <c r="AU52" s="97">
        <f>IF(Option3="No",0,IF($A52&lt;ImplementationYear,0,IF($A52&gt;(ImplementationYear+(Appraisal_Period-1)),0,'Road safety'!$F$22*$B52)))</f>
        <v>0</v>
      </c>
      <c r="AV52" s="97">
        <f>IF(Option3="No",0,IF($A52&lt;ImplementationYear,0,IF($A52&gt;(ImplementationYear+(Appraisal_Period-1)),0,'Reduction in car usage'!$F$46*$B52)))</f>
        <v>0</v>
      </c>
      <c r="AW52" s="97">
        <f>IF(Option3="No",0,IF($A52&lt;ImplementationYear,0,IF($A52&gt;(ImplementationYear+(Appraisal_Period-1)),0,'Reduction in car usage'!$F$47*$B52)))</f>
        <v>0</v>
      </c>
      <c r="AX52" s="97">
        <f>IF(Option3="No",0,IF($A52&lt;ImplementationYear,0,IF($A52&gt;(ImplementationYear+(Appraisal_Period-1)),0,'Reduction in car usage'!$F$48*$B52)))</f>
        <v>0</v>
      </c>
    </row>
    <row r="53" spans="1:50">
      <c r="A53" s="335">
        <v>2048</v>
      </c>
      <c r="B53" s="62">
        <f>VLOOKUP($A53,'Time-series parameters'!$E$11:$H$89,4,FALSE)</f>
        <v>0.22081858492852133</v>
      </c>
      <c r="C53" s="89"/>
      <c r="D53" s="94">
        <f>IF(Option1="No",0,IF($A53=ImplementationYear,('Project details'!$H$10-'Project details'!$D$10)*VLOOKUP(Year_cost_estimate,'Time-series parameters'!$B$11:$C$89,2,FALSE)*$B53*(1+Contingency),0))</f>
        <v>0</v>
      </c>
      <c r="E53" s="94">
        <f>IF(Option1="No",0,IF($A53&lt;ImplementationYear,0,IF($A53&gt;(ImplementationYear+(Appraisal_Period-1)),0,('Project details'!$H$11-'Project details'!$D$11)*VLOOKUP(Year_cost_estimate,'Time-series parameters'!$B$11:$C$89,2,0))*$B53))</f>
        <v>0</v>
      </c>
      <c r="F53" s="94">
        <f>IF(Option1="No",0,IF($A53=ImplementationYear,('Project details'!$H$12-'Project details'!$D$12)*VLOOKUP(Year_cost_estimate,'Time-series parameters'!$B$11:$C$89,2,FALSE)*$B53,0))</f>
        <v>0</v>
      </c>
      <c r="G53" s="97">
        <f>IF(Option1="No",0,IF($A53&lt;ImplementationYear,0,IF($A53&gt;(ImplementationYear+(Appraisal_Period-1)),0,Health!$D$21*$B53)))</f>
        <v>0</v>
      </c>
      <c r="H53" s="97">
        <f>IF(Option1="No",0,IF($A53&lt;ImplementationYear,0,IF($A53&gt;(ImplementationYear+(Appraisal_Period-1)),0,Health!$D$22*$B53)))</f>
        <v>0</v>
      </c>
      <c r="I53" s="97">
        <f>IF(Option1="No",0,IF($A53&lt;ImplementationYear,0,IF($A53&gt;(ImplementationYear+(Appraisal_Period-1)),0,SUM('Travel time'!$D$22:$D$23)*$B53)))</f>
        <v>0</v>
      </c>
      <c r="J53" s="97">
        <f>IF(Option1="No",0,IF($A53&lt;ImplementationYear,0,IF($A53&gt;(ImplementationYear+(Appraisal_Period-1)),0,SUM('Travel time'!$D$20:$D$21)*$B53)))</f>
        <v>0</v>
      </c>
      <c r="K53" s="97">
        <f>IF(Option1="No",0,IF($A53&lt;ImplementationYear,0,IF($A53&gt;(ImplementationYear+(Appraisal_Period-1)),0,SUM(Quality!$D$22:$D$23)*$B53)))</f>
        <v>0</v>
      </c>
      <c r="L53" s="97">
        <f>IF(Option1="No",0,IF($A53&lt;ImplementationYear,0,IF($A53&gt;(ImplementationYear+(Appraisal_Period-1)),0,SUM(Quality!$D$20:$D$21)*$B53)))</f>
        <v>0</v>
      </c>
      <c r="M53" s="97">
        <f>IF(Option1="No",0,IF($A53&lt;ImplementationYear,0,IF($A53&gt;(ImplementationYear+(Appraisal_Period-1)),0,'Mode change'!$D$36*$B53)))</f>
        <v>0</v>
      </c>
      <c r="N53" s="97">
        <f>IF(Option1="No",0,IF($A53&lt;ImplementationYear,0,IF($A53&gt;(ImplementationYear+(Appraisal_Period-1)),0,'Mode change'!$D$37*$B53)))</f>
        <v>0</v>
      </c>
      <c r="O53" s="97">
        <f>IF(Option1="No",0,IF($A53&lt;ImplementationYear,0,IF($A53&gt;(ImplementationYear+(Appraisal_Period-1)),0,'Road safety'!$D$22*$B53)))</f>
        <v>0</v>
      </c>
      <c r="P53" s="97">
        <f>IF(Option1="No",0,IF($A53&lt;ImplementationYear,0,IF($A53&gt;(ImplementationYear+(Appraisal_Period-1)),0,'Reduction in car usage'!$D$46*$B53)))</f>
        <v>0</v>
      </c>
      <c r="Q53" s="97">
        <f>IF(Option1="No",0,IF($A53&lt;ImplementationYear,0,IF($A53&gt;(ImplementationYear+(Appraisal_Period-1)),0,'Reduction in car usage'!$D$47*$B53)))</f>
        <v>0</v>
      </c>
      <c r="R53" s="97">
        <f>IF(Option1="No",0,IF($A53&lt;ImplementationYear,0,IF($A53&gt;(ImplementationYear+(Appraisal_Period-1)),0,'Reduction in car usage'!$D$48*$B53)))</f>
        <v>0</v>
      </c>
      <c r="S53" s="92"/>
      <c r="T53" s="94">
        <f>IF(Option2="No",0,IF($A53=ImplementationYear,('Project details'!$L$10-'Project details'!$D$10)*VLOOKUP(Year_cost_estimate,'Time-series parameters'!$B$11:$C$89,2,FALSE)*$B53*(1+Contingency),0))</f>
        <v>0</v>
      </c>
      <c r="U53" s="94">
        <f>IF(Option2="No",0,IF($A53&lt;ImplementationYear,0,IF($A53&gt;(ImplementationYear+(Appraisal_Period-1)),0,('Project details'!$L$11-'Project details'!$D$11)*VLOOKUP(Year_cost_estimate,'Time-series parameters'!$B$11:$C$89,2,0))*$B53))</f>
        <v>0</v>
      </c>
      <c r="V53" s="94">
        <f>IF(Option2="No",0,IF($A53=ImplementationYear,('Project details'!$L$12-'Project details'!$D$12)*VLOOKUP(Year_cost_estimate,'Time-series parameters'!$B$11:$C$89,2,FALSE)*$B53,0))</f>
        <v>0</v>
      </c>
      <c r="W53" s="97">
        <f>IF(Option2="No",0,IF($A53&lt;ImplementationYear,0,IF($A53&gt;(ImplementationYear+(Appraisal_Period-1)),0,Health!$E$21*$B53)))</f>
        <v>0</v>
      </c>
      <c r="X53" s="97">
        <f>IF(Option2="No",0,IF($A53&lt;ImplementationYear,0,IF($A53&gt;(ImplementationYear+(Appraisal_Period-1)),0,Health!$E$22*$B53)))</f>
        <v>0</v>
      </c>
      <c r="Y53" s="97">
        <f>IF(Option2="No",0,IF($A53&lt;ImplementationYear,0,IF($A53&gt;(ImplementationYear+(Appraisal_Period-1)),0,SUM('Travel time'!$E$22:$E$23)*$B53)))</f>
        <v>0</v>
      </c>
      <c r="Z53" s="97">
        <f>IF(Option2="No",0,IF($A53&lt;ImplementationYear,0,IF($A53&gt;(ImplementationYear+(Appraisal_Period-1)),0,SUM('Travel time'!$E$20:$E$21)*$B53)))</f>
        <v>0</v>
      </c>
      <c r="AA53" s="97">
        <f>IF(Option2="No",0,IF($A53&lt;ImplementationYear,0,IF($A53&gt;(ImplementationYear+(Appraisal_Period-1)),0,SUM(Quality!$E$22:$E$23)*$B53)))</f>
        <v>0</v>
      </c>
      <c r="AB53" s="97">
        <f>IF(Option2="No",0,IF($A53&lt;ImplementationYear,0,IF($A53&gt;(ImplementationYear+(Appraisal_Period-1)),0,SUM(Quality!$E$20:$E$21)*$B53)))</f>
        <v>0</v>
      </c>
      <c r="AC53" s="97">
        <f>IF(Option2="No",0,IF($A53&lt;ImplementationYear,0,IF($A53&gt;(ImplementationYear+(Appraisal_Period-1)),0,'Mode change'!$E$36*$B53)))</f>
        <v>0</v>
      </c>
      <c r="AD53" s="97">
        <f>IF(Option2="No",0,IF($A53&lt;ImplementationYear,0,IF($A53&gt;(ImplementationYear+(Appraisal_Period-1)),0,'Mode change'!$E$37*$B53)))</f>
        <v>0</v>
      </c>
      <c r="AE53" s="97">
        <f>IF(Option2="No",0,IF($A53&lt;ImplementationYear,0,IF($A53&gt;(ImplementationYear+(Appraisal_Period-1)),0,'Road safety'!$E$22*$B53)))</f>
        <v>0</v>
      </c>
      <c r="AF53" s="97">
        <f>IF(Option2="No",0,IF($A53&lt;ImplementationYear,0,IF($A53&gt;(ImplementationYear+(Appraisal_Period-1)),0,'Reduction in car usage'!$E$46*$B53)))</f>
        <v>0</v>
      </c>
      <c r="AG53" s="97">
        <f>IF(Option2="No",0,IF($A53&lt;ImplementationYear,0,IF($A53&gt;(ImplementationYear+(Appraisal_Period-1)),0,'Reduction in car usage'!$E$47*$B53)))</f>
        <v>0</v>
      </c>
      <c r="AH53" s="97">
        <f>IF(Option2="No",0,IF($A53&lt;ImplementationYear,0,IF($A53&gt;(ImplementationYear+(Appraisal_Period-1)),0,'Reduction in car usage'!$E$48*$B53)))</f>
        <v>0</v>
      </c>
      <c r="AJ53" s="94">
        <f>IF(Option3="No",0,IF($A53=ImplementationYear,('Project details'!$P$10-'Project details'!$D$10)*VLOOKUP(Year_cost_estimate,'Time-series parameters'!$B$11:$C$89,2,FALSE)*$B53*(1+Contingency),0))</f>
        <v>0</v>
      </c>
      <c r="AK53" s="94">
        <f>IF(Option3="No",0,IF($A53&lt;ImplementationYear,0,IF($A53&gt;(ImplementationYear+(Appraisal_Period-1)),0,('Project details'!$P$11-'Project details'!$D$11)*VLOOKUP(Year_cost_estimate,'Time-series parameters'!$B$11:$C$89,2,0))*$B53))</f>
        <v>0</v>
      </c>
      <c r="AL53" s="94">
        <f>IF(Option3="No",0,IF($A53=ImplementationYear,('Project details'!$P$12-'Project details'!$D$12)*VLOOKUP(Year_cost_estimate,'Time-series parameters'!$B$11:$C$89,2,FALSE)*$B53,0))</f>
        <v>0</v>
      </c>
      <c r="AM53" s="97">
        <f>IF(Option3="No",0,IF($A53&lt;ImplementationYear,0,IF($A53&gt;(ImplementationYear+(Appraisal_Period-1)),0,Health!$F$21*$B53)))</f>
        <v>0</v>
      </c>
      <c r="AN53" s="97">
        <f>IF(Option3="No",0,IF($A53&lt;ImplementationYear,0,IF($A53&gt;(ImplementationYear+(Appraisal_Period-1)),0,Health!$F$22*$B53)))</f>
        <v>0</v>
      </c>
      <c r="AO53" s="97">
        <f>IF(Option3="No",0,IF($A53&lt;ImplementationYear,0,IF($A53&gt;(ImplementationYear+(Appraisal_Period-1)),0,SUM('Travel time'!$F$22:$F$23)*$B53)))</f>
        <v>0</v>
      </c>
      <c r="AP53" s="97">
        <f>IF(Option3="No",0,IF($A53&lt;ImplementationYear,0,IF($A53&gt;(ImplementationYear+(Appraisal_Period-1)),0,SUM('Travel time'!$F$20:$F$21)*$B53)))</f>
        <v>0</v>
      </c>
      <c r="AQ53" s="97">
        <f>IF(Option3="No",0,IF($A53&lt;ImplementationYear,0,IF($A53&gt;(ImplementationYear+(Appraisal_Period-1)),0,SUM(Quality!$F$22:$F$23)*$B53)))</f>
        <v>0</v>
      </c>
      <c r="AR53" s="97">
        <f>IF(Option3="No",0,IF($A53&lt;ImplementationYear,0,IF($A53&gt;(ImplementationYear+(Appraisal_Period-1)),0,SUM(Quality!$F$20:$F$21)*$B53)))</f>
        <v>0</v>
      </c>
      <c r="AS53" s="97">
        <f>IF(Option3="No",0,IF($A53&lt;ImplementationYear,0,IF($A53&gt;(ImplementationYear+(Appraisal_Period-1)),0,'Mode change'!$F$36*$B53)))</f>
        <v>0</v>
      </c>
      <c r="AT53" s="97">
        <f>IF(Option3="No",0,IF($A53&lt;ImplementationYear,0,IF($A53&gt;(ImplementationYear+(Appraisal_Period-1)),0,'Mode change'!$F$37*$B53)))</f>
        <v>0</v>
      </c>
      <c r="AU53" s="97">
        <f>IF(Option3="No",0,IF($A53&lt;ImplementationYear,0,IF($A53&gt;(ImplementationYear+(Appraisal_Period-1)),0,'Road safety'!$F$22*$B53)))</f>
        <v>0</v>
      </c>
      <c r="AV53" s="97">
        <f>IF(Option3="No",0,IF($A53&lt;ImplementationYear,0,IF($A53&gt;(ImplementationYear+(Appraisal_Period-1)),0,'Reduction in car usage'!$F$46*$B53)))</f>
        <v>0</v>
      </c>
      <c r="AW53" s="97">
        <f>IF(Option3="No",0,IF($A53&lt;ImplementationYear,0,IF($A53&gt;(ImplementationYear+(Appraisal_Period-1)),0,'Reduction in car usage'!$F$47*$B53)))</f>
        <v>0</v>
      </c>
      <c r="AX53" s="97">
        <f>IF(Option3="No",0,IF($A53&lt;ImplementationYear,0,IF($A53&gt;(ImplementationYear+(Appraisal_Period-1)),0,'Reduction in car usage'!$F$48*$B53)))</f>
        <v>0</v>
      </c>
    </row>
    <row r="54" spans="1:50">
      <c r="A54" s="335">
        <v>2049</v>
      </c>
      <c r="B54" s="62">
        <f>VLOOKUP($A54,'Time-series parameters'!$E$11:$H$89,4,FALSE)</f>
        <v>0.21198584153138048</v>
      </c>
      <c r="C54" s="89"/>
      <c r="D54" s="94">
        <f>IF(Option1="No",0,IF($A54=ImplementationYear,('Project details'!$H$10-'Project details'!$D$10)*VLOOKUP(Year_cost_estimate,'Time-series parameters'!$B$11:$C$89,2,FALSE)*$B54*(1+Contingency),0))</f>
        <v>0</v>
      </c>
      <c r="E54" s="94">
        <f>IF(Option1="No",0,IF($A54&lt;ImplementationYear,0,IF($A54&gt;(ImplementationYear+(Appraisal_Period-1)),0,('Project details'!$H$11-'Project details'!$D$11)*VLOOKUP(Year_cost_estimate,'Time-series parameters'!$B$11:$C$89,2,0))*$B54))</f>
        <v>0</v>
      </c>
      <c r="F54" s="94">
        <f>IF(Option1="No",0,IF($A54=ImplementationYear,('Project details'!$H$12-'Project details'!$D$12)*VLOOKUP(Year_cost_estimate,'Time-series parameters'!$B$11:$C$89,2,FALSE)*$B54,0))</f>
        <v>0</v>
      </c>
      <c r="G54" s="97">
        <f>IF(Option1="No",0,IF($A54&lt;ImplementationYear,0,IF($A54&gt;(ImplementationYear+(Appraisal_Period-1)),0,Health!$D$21*$B54)))</f>
        <v>0</v>
      </c>
      <c r="H54" s="97">
        <f>IF(Option1="No",0,IF($A54&lt;ImplementationYear,0,IF($A54&gt;(ImplementationYear+(Appraisal_Period-1)),0,Health!$D$22*$B54)))</f>
        <v>0</v>
      </c>
      <c r="I54" s="97">
        <f>IF(Option1="No",0,IF($A54&lt;ImplementationYear,0,IF($A54&gt;(ImplementationYear+(Appraisal_Period-1)),0,SUM('Travel time'!$D$22:$D$23)*$B54)))</f>
        <v>0</v>
      </c>
      <c r="J54" s="97">
        <f>IF(Option1="No",0,IF($A54&lt;ImplementationYear,0,IF($A54&gt;(ImplementationYear+(Appraisal_Period-1)),0,SUM('Travel time'!$D$20:$D$21)*$B54)))</f>
        <v>0</v>
      </c>
      <c r="K54" s="97">
        <f>IF(Option1="No",0,IF($A54&lt;ImplementationYear,0,IF($A54&gt;(ImplementationYear+(Appraisal_Period-1)),0,SUM(Quality!$D$22:$D$23)*$B54)))</f>
        <v>0</v>
      </c>
      <c r="L54" s="97">
        <f>IF(Option1="No",0,IF($A54&lt;ImplementationYear,0,IF($A54&gt;(ImplementationYear+(Appraisal_Period-1)),0,SUM(Quality!$D$20:$D$21)*$B54)))</f>
        <v>0</v>
      </c>
      <c r="M54" s="97">
        <f>IF(Option1="No",0,IF($A54&lt;ImplementationYear,0,IF($A54&gt;(ImplementationYear+(Appraisal_Period-1)),0,'Mode change'!$D$36*$B54)))</f>
        <v>0</v>
      </c>
      <c r="N54" s="97">
        <f>IF(Option1="No",0,IF($A54&lt;ImplementationYear,0,IF($A54&gt;(ImplementationYear+(Appraisal_Period-1)),0,'Mode change'!$D$37*$B54)))</f>
        <v>0</v>
      </c>
      <c r="O54" s="97">
        <f>IF(Option1="No",0,IF($A54&lt;ImplementationYear,0,IF($A54&gt;(ImplementationYear+(Appraisal_Period-1)),0,'Road safety'!$D$22*$B54)))</f>
        <v>0</v>
      </c>
      <c r="P54" s="97">
        <f>IF(Option1="No",0,IF($A54&lt;ImplementationYear,0,IF($A54&gt;(ImplementationYear+(Appraisal_Period-1)),0,'Reduction in car usage'!$D$46*$B54)))</f>
        <v>0</v>
      </c>
      <c r="Q54" s="97">
        <f>IF(Option1="No",0,IF($A54&lt;ImplementationYear,0,IF($A54&gt;(ImplementationYear+(Appraisal_Period-1)),0,'Reduction in car usage'!$D$47*$B54)))</f>
        <v>0</v>
      </c>
      <c r="R54" s="97">
        <f>IF(Option1="No",0,IF($A54&lt;ImplementationYear,0,IF($A54&gt;(ImplementationYear+(Appraisal_Period-1)),0,'Reduction in car usage'!$D$48*$B54)))</f>
        <v>0</v>
      </c>
      <c r="S54" s="92"/>
      <c r="T54" s="94">
        <f>IF(Option2="No",0,IF($A54=ImplementationYear,('Project details'!$L$10-'Project details'!$D$10)*VLOOKUP(Year_cost_estimate,'Time-series parameters'!$B$11:$C$89,2,FALSE)*$B54*(1+Contingency),0))</f>
        <v>0</v>
      </c>
      <c r="U54" s="94">
        <f>IF(Option2="No",0,IF($A54&lt;ImplementationYear,0,IF($A54&gt;(ImplementationYear+(Appraisal_Period-1)),0,('Project details'!$L$11-'Project details'!$D$11)*VLOOKUP(Year_cost_estimate,'Time-series parameters'!$B$11:$C$89,2,0))*$B54))</f>
        <v>0</v>
      </c>
      <c r="V54" s="94">
        <f>IF(Option2="No",0,IF($A54=ImplementationYear,('Project details'!$L$12-'Project details'!$D$12)*VLOOKUP(Year_cost_estimate,'Time-series parameters'!$B$11:$C$89,2,FALSE)*$B54,0))</f>
        <v>0</v>
      </c>
      <c r="W54" s="97">
        <f>IF(Option2="No",0,IF($A54&lt;ImplementationYear,0,IF($A54&gt;(ImplementationYear+(Appraisal_Period-1)),0,Health!$E$21*$B54)))</f>
        <v>0</v>
      </c>
      <c r="X54" s="97">
        <f>IF(Option2="No",0,IF($A54&lt;ImplementationYear,0,IF($A54&gt;(ImplementationYear+(Appraisal_Period-1)),0,Health!$E$22*$B54)))</f>
        <v>0</v>
      </c>
      <c r="Y54" s="97">
        <f>IF(Option2="No",0,IF($A54&lt;ImplementationYear,0,IF($A54&gt;(ImplementationYear+(Appraisal_Period-1)),0,SUM('Travel time'!$E$22:$E$23)*$B54)))</f>
        <v>0</v>
      </c>
      <c r="Z54" s="97">
        <f>IF(Option2="No",0,IF($A54&lt;ImplementationYear,0,IF($A54&gt;(ImplementationYear+(Appraisal_Period-1)),0,SUM('Travel time'!$E$20:$E$21)*$B54)))</f>
        <v>0</v>
      </c>
      <c r="AA54" s="97">
        <f>IF(Option2="No",0,IF($A54&lt;ImplementationYear,0,IF($A54&gt;(ImplementationYear+(Appraisal_Period-1)),0,SUM(Quality!$E$22:$E$23)*$B54)))</f>
        <v>0</v>
      </c>
      <c r="AB54" s="97">
        <f>IF(Option2="No",0,IF($A54&lt;ImplementationYear,0,IF($A54&gt;(ImplementationYear+(Appraisal_Period-1)),0,SUM(Quality!$E$20:$E$21)*$B54)))</f>
        <v>0</v>
      </c>
      <c r="AC54" s="97">
        <f>IF(Option2="No",0,IF($A54&lt;ImplementationYear,0,IF($A54&gt;(ImplementationYear+(Appraisal_Period-1)),0,'Mode change'!$E$36*$B54)))</f>
        <v>0</v>
      </c>
      <c r="AD54" s="97">
        <f>IF(Option2="No",0,IF($A54&lt;ImplementationYear,0,IF($A54&gt;(ImplementationYear+(Appraisal_Period-1)),0,'Mode change'!$E$37*$B54)))</f>
        <v>0</v>
      </c>
      <c r="AE54" s="97">
        <f>IF(Option2="No",0,IF($A54&lt;ImplementationYear,0,IF($A54&gt;(ImplementationYear+(Appraisal_Period-1)),0,'Road safety'!$E$22*$B54)))</f>
        <v>0</v>
      </c>
      <c r="AF54" s="97">
        <f>IF(Option2="No",0,IF($A54&lt;ImplementationYear,0,IF($A54&gt;(ImplementationYear+(Appraisal_Period-1)),0,'Reduction in car usage'!$E$46*$B54)))</f>
        <v>0</v>
      </c>
      <c r="AG54" s="97">
        <f>IF(Option2="No",0,IF($A54&lt;ImplementationYear,0,IF($A54&gt;(ImplementationYear+(Appraisal_Period-1)),0,'Reduction in car usage'!$E$47*$B54)))</f>
        <v>0</v>
      </c>
      <c r="AH54" s="97">
        <f>IF(Option2="No",0,IF($A54&lt;ImplementationYear,0,IF($A54&gt;(ImplementationYear+(Appraisal_Period-1)),0,'Reduction in car usage'!$E$48*$B54)))</f>
        <v>0</v>
      </c>
      <c r="AJ54" s="94">
        <f>IF(Option3="No",0,IF($A54=ImplementationYear,('Project details'!$P$10-'Project details'!$D$10)*VLOOKUP(Year_cost_estimate,'Time-series parameters'!$B$11:$C$89,2,FALSE)*$B54*(1+Contingency),0))</f>
        <v>0</v>
      </c>
      <c r="AK54" s="94">
        <f>IF(Option3="No",0,IF($A54&lt;ImplementationYear,0,IF($A54&gt;(ImplementationYear+(Appraisal_Period-1)),0,('Project details'!$P$11-'Project details'!$D$11)*VLOOKUP(Year_cost_estimate,'Time-series parameters'!$B$11:$C$89,2,0))*$B54))</f>
        <v>0</v>
      </c>
      <c r="AL54" s="94">
        <f>IF(Option3="No",0,IF($A54=ImplementationYear,('Project details'!$P$12-'Project details'!$D$12)*VLOOKUP(Year_cost_estimate,'Time-series parameters'!$B$11:$C$89,2,FALSE)*$B54,0))</f>
        <v>0</v>
      </c>
      <c r="AM54" s="97">
        <f>IF(Option3="No",0,IF($A54&lt;ImplementationYear,0,IF($A54&gt;(ImplementationYear+(Appraisal_Period-1)),0,Health!$F$21*$B54)))</f>
        <v>0</v>
      </c>
      <c r="AN54" s="97">
        <f>IF(Option3="No",0,IF($A54&lt;ImplementationYear,0,IF($A54&gt;(ImplementationYear+(Appraisal_Period-1)),0,Health!$F$22*$B54)))</f>
        <v>0</v>
      </c>
      <c r="AO54" s="97">
        <f>IF(Option3="No",0,IF($A54&lt;ImplementationYear,0,IF($A54&gt;(ImplementationYear+(Appraisal_Period-1)),0,SUM('Travel time'!$F$22:$F$23)*$B54)))</f>
        <v>0</v>
      </c>
      <c r="AP54" s="97">
        <f>IF(Option3="No",0,IF($A54&lt;ImplementationYear,0,IF($A54&gt;(ImplementationYear+(Appraisal_Period-1)),0,SUM('Travel time'!$F$20:$F$21)*$B54)))</f>
        <v>0</v>
      </c>
      <c r="AQ54" s="97">
        <f>IF(Option3="No",0,IF($A54&lt;ImplementationYear,0,IF($A54&gt;(ImplementationYear+(Appraisal_Period-1)),0,SUM(Quality!$F$22:$F$23)*$B54)))</f>
        <v>0</v>
      </c>
      <c r="AR54" s="97">
        <f>IF(Option3="No",0,IF($A54&lt;ImplementationYear,0,IF($A54&gt;(ImplementationYear+(Appraisal_Period-1)),0,SUM(Quality!$F$20:$F$21)*$B54)))</f>
        <v>0</v>
      </c>
      <c r="AS54" s="97">
        <f>IF(Option3="No",0,IF($A54&lt;ImplementationYear,0,IF($A54&gt;(ImplementationYear+(Appraisal_Period-1)),0,'Mode change'!$F$36*$B54)))</f>
        <v>0</v>
      </c>
      <c r="AT54" s="97">
        <f>IF(Option3="No",0,IF($A54&lt;ImplementationYear,0,IF($A54&gt;(ImplementationYear+(Appraisal_Period-1)),0,'Mode change'!$F$37*$B54)))</f>
        <v>0</v>
      </c>
      <c r="AU54" s="97">
        <f>IF(Option3="No",0,IF($A54&lt;ImplementationYear,0,IF($A54&gt;(ImplementationYear+(Appraisal_Period-1)),0,'Road safety'!$F$22*$B54)))</f>
        <v>0</v>
      </c>
      <c r="AV54" s="97">
        <f>IF(Option3="No",0,IF($A54&lt;ImplementationYear,0,IF($A54&gt;(ImplementationYear+(Appraisal_Period-1)),0,'Reduction in car usage'!$F$46*$B54)))</f>
        <v>0</v>
      </c>
      <c r="AW54" s="97">
        <f>IF(Option3="No",0,IF($A54&lt;ImplementationYear,0,IF($A54&gt;(ImplementationYear+(Appraisal_Period-1)),0,'Reduction in car usage'!$F$47*$B54)))</f>
        <v>0</v>
      </c>
      <c r="AX54" s="97">
        <f>IF(Option3="No",0,IF($A54&lt;ImplementationYear,0,IF($A54&gt;(ImplementationYear+(Appraisal_Period-1)),0,'Reduction in car usage'!$F$48*$B54)))</f>
        <v>0</v>
      </c>
    </row>
    <row r="55" spans="1:50">
      <c r="A55" s="335">
        <v>2050</v>
      </c>
      <c r="B55" s="62">
        <f>VLOOKUP($A55,'Time-series parameters'!$E$11:$H$89,4,FALSE)</f>
        <v>0.20350640787012525</v>
      </c>
      <c r="C55" s="89"/>
      <c r="D55" s="94">
        <f>IF(Option1="No",0,IF($A55=ImplementationYear,('Project details'!$H$10-'Project details'!$D$10)*VLOOKUP(Year_cost_estimate,'Time-series parameters'!$B$11:$C$89,2,FALSE)*$B55*(1+Contingency),0))</f>
        <v>0</v>
      </c>
      <c r="E55" s="94">
        <f>IF(Option1="No",0,IF($A55&lt;ImplementationYear,0,IF($A55&gt;(ImplementationYear+(Appraisal_Period-1)),0,('Project details'!$H$11-'Project details'!$D$11)*VLOOKUP(Year_cost_estimate,'Time-series parameters'!$B$11:$C$89,2,0))*$B55))</f>
        <v>0</v>
      </c>
      <c r="F55" s="94">
        <f>IF(Option1="No",0,IF($A55=ImplementationYear,('Project details'!$H$12-'Project details'!$D$12)*VLOOKUP(Year_cost_estimate,'Time-series parameters'!$B$11:$C$89,2,FALSE)*$B55,0))</f>
        <v>0</v>
      </c>
      <c r="G55" s="97">
        <f>IF(Option1="No",0,IF($A55&lt;ImplementationYear,0,IF($A55&gt;(ImplementationYear+(Appraisal_Period-1)),0,Health!$D$21*$B55)))</f>
        <v>0</v>
      </c>
      <c r="H55" s="97">
        <f>IF(Option1="No",0,IF($A55&lt;ImplementationYear,0,IF($A55&gt;(ImplementationYear+(Appraisal_Period-1)),0,Health!$D$22*$B55)))</f>
        <v>0</v>
      </c>
      <c r="I55" s="97">
        <f>IF(Option1="No",0,IF($A55&lt;ImplementationYear,0,IF($A55&gt;(ImplementationYear+(Appraisal_Period-1)),0,SUM('Travel time'!$D$22:$D$23)*$B55)))</f>
        <v>0</v>
      </c>
      <c r="J55" s="97">
        <f>IF(Option1="No",0,IF($A55&lt;ImplementationYear,0,IF($A55&gt;(ImplementationYear+(Appraisal_Period-1)),0,SUM('Travel time'!$D$20:$D$21)*$B55)))</f>
        <v>0</v>
      </c>
      <c r="K55" s="97">
        <f>IF(Option1="No",0,IF($A55&lt;ImplementationYear,0,IF($A55&gt;(ImplementationYear+(Appraisal_Period-1)),0,SUM(Quality!$D$22:$D$23)*$B55)))</f>
        <v>0</v>
      </c>
      <c r="L55" s="97">
        <f>IF(Option1="No",0,IF($A55&lt;ImplementationYear,0,IF($A55&gt;(ImplementationYear+(Appraisal_Period-1)),0,SUM(Quality!$D$20:$D$21)*$B55)))</f>
        <v>0</v>
      </c>
      <c r="M55" s="97">
        <f>IF(Option1="No",0,IF($A55&lt;ImplementationYear,0,IF($A55&gt;(ImplementationYear+(Appraisal_Period-1)),0,'Mode change'!$D$36*$B55)))</f>
        <v>0</v>
      </c>
      <c r="N55" s="97">
        <f>IF(Option1="No",0,IF($A55&lt;ImplementationYear,0,IF($A55&gt;(ImplementationYear+(Appraisal_Period-1)),0,'Mode change'!$D$37*$B55)))</f>
        <v>0</v>
      </c>
      <c r="O55" s="97">
        <f>IF(Option1="No",0,IF($A55&lt;ImplementationYear,0,IF($A55&gt;(ImplementationYear+(Appraisal_Period-1)),0,'Road safety'!$D$22*$B55)))</f>
        <v>0</v>
      </c>
      <c r="P55" s="97">
        <f>IF(Option1="No",0,IF($A55&lt;ImplementationYear,0,IF($A55&gt;(ImplementationYear+(Appraisal_Period-1)),0,'Reduction in car usage'!$D$46*$B55)))</f>
        <v>0</v>
      </c>
      <c r="Q55" s="97">
        <f>IF(Option1="No",0,IF($A55&lt;ImplementationYear,0,IF($A55&gt;(ImplementationYear+(Appraisal_Period-1)),0,'Reduction in car usage'!$D$47*$B55)))</f>
        <v>0</v>
      </c>
      <c r="R55" s="97">
        <f>IF(Option1="No",0,IF($A55&lt;ImplementationYear,0,IF($A55&gt;(ImplementationYear+(Appraisal_Period-1)),0,'Reduction in car usage'!$D$48*$B55)))</f>
        <v>0</v>
      </c>
      <c r="S55" s="92"/>
      <c r="T55" s="94">
        <f>IF(Option2="No",0,IF($A55=ImplementationYear,('Project details'!$L$10-'Project details'!$D$10)*VLOOKUP(Year_cost_estimate,'Time-series parameters'!$B$11:$C$89,2,FALSE)*$B55*(1+Contingency),0))</f>
        <v>0</v>
      </c>
      <c r="U55" s="94">
        <f>IF(Option2="No",0,IF($A55&lt;ImplementationYear,0,IF($A55&gt;(ImplementationYear+(Appraisal_Period-1)),0,('Project details'!$L$11-'Project details'!$D$11)*VLOOKUP(Year_cost_estimate,'Time-series parameters'!$B$11:$C$89,2,0))*$B55))</f>
        <v>0</v>
      </c>
      <c r="V55" s="94">
        <f>IF(Option2="No",0,IF($A55=ImplementationYear,('Project details'!$L$12-'Project details'!$D$12)*VLOOKUP(Year_cost_estimate,'Time-series parameters'!$B$11:$C$89,2,FALSE)*$B55,0))</f>
        <v>0</v>
      </c>
      <c r="W55" s="97">
        <f>IF(Option2="No",0,IF($A55&lt;ImplementationYear,0,IF($A55&gt;(ImplementationYear+(Appraisal_Period-1)),0,Health!$E$21*$B55)))</f>
        <v>0</v>
      </c>
      <c r="X55" s="97">
        <f>IF(Option2="No",0,IF($A55&lt;ImplementationYear,0,IF($A55&gt;(ImplementationYear+(Appraisal_Period-1)),0,Health!$E$22*$B55)))</f>
        <v>0</v>
      </c>
      <c r="Y55" s="97">
        <f>IF(Option2="No",0,IF($A55&lt;ImplementationYear,0,IF($A55&gt;(ImplementationYear+(Appraisal_Period-1)),0,SUM('Travel time'!$E$22:$E$23)*$B55)))</f>
        <v>0</v>
      </c>
      <c r="Z55" s="97">
        <f>IF(Option2="No",0,IF($A55&lt;ImplementationYear,0,IF($A55&gt;(ImplementationYear+(Appraisal_Period-1)),0,SUM('Travel time'!$E$20:$E$21)*$B55)))</f>
        <v>0</v>
      </c>
      <c r="AA55" s="97">
        <f>IF(Option2="No",0,IF($A55&lt;ImplementationYear,0,IF($A55&gt;(ImplementationYear+(Appraisal_Period-1)),0,SUM(Quality!$E$22:$E$23)*$B55)))</f>
        <v>0</v>
      </c>
      <c r="AB55" s="97">
        <f>IF(Option2="No",0,IF($A55&lt;ImplementationYear,0,IF($A55&gt;(ImplementationYear+(Appraisal_Period-1)),0,SUM(Quality!$E$20:$E$21)*$B55)))</f>
        <v>0</v>
      </c>
      <c r="AC55" s="97">
        <f>IF(Option2="No",0,IF($A55&lt;ImplementationYear,0,IF($A55&gt;(ImplementationYear+(Appraisal_Period-1)),0,'Mode change'!$E$36*$B55)))</f>
        <v>0</v>
      </c>
      <c r="AD55" s="97">
        <f>IF(Option2="No",0,IF($A55&lt;ImplementationYear,0,IF($A55&gt;(ImplementationYear+(Appraisal_Period-1)),0,'Mode change'!$E$37*$B55)))</f>
        <v>0</v>
      </c>
      <c r="AE55" s="97">
        <f>IF(Option2="No",0,IF($A55&lt;ImplementationYear,0,IF($A55&gt;(ImplementationYear+(Appraisal_Period-1)),0,'Road safety'!$E$22*$B55)))</f>
        <v>0</v>
      </c>
      <c r="AF55" s="97">
        <f>IF(Option2="No",0,IF($A55&lt;ImplementationYear,0,IF($A55&gt;(ImplementationYear+(Appraisal_Period-1)),0,'Reduction in car usage'!$E$46*$B55)))</f>
        <v>0</v>
      </c>
      <c r="AG55" s="97">
        <f>IF(Option2="No",0,IF($A55&lt;ImplementationYear,0,IF($A55&gt;(ImplementationYear+(Appraisal_Period-1)),0,'Reduction in car usage'!$E$47*$B55)))</f>
        <v>0</v>
      </c>
      <c r="AH55" s="97">
        <f>IF(Option2="No",0,IF($A55&lt;ImplementationYear,0,IF($A55&gt;(ImplementationYear+(Appraisal_Period-1)),0,'Reduction in car usage'!$E$48*$B55)))</f>
        <v>0</v>
      </c>
      <c r="AJ55" s="94">
        <f>IF(Option3="No",0,IF($A55=ImplementationYear,('Project details'!$P$10-'Project details'!$D$10)*VLOOKUP(Year_cost_estimate,'Time-series parameters'!$B$11:$C$89,2,FALSE)*$B55*(1+Contingency),0))</f>
        <v>0</v>
      </c>
      <c r="AK55" s="94">
        <f>IF(Option3="No",0,IF($A55&lt;ImplementationYear,0,IF($A55&gt;(ImplementationYear+(Appraisal_Period-1)),0,('Project details'!$P$11-'Project details'!$D$11)*VLOOKUP(Year_cost_estimate,'Time-series parameters'!$B$11:$C$89,2,0))*$B55))</f>
        <v>0</v>
      </c>
      <c r="AL55" s="94">
        <f>IF(Option3="No",0,IF($A55=ImplementationYear,('Project details'!$P$12-'Project details'!$D$12)*VLOOKUP(Year_cost_estimate,'Time-series parameters'!$B$11:$C$89,2,FALSE)*$B55,0))</f>
        <v>0</v>
      </c>
      <c r="AM55" s="97">
        <f>IF(Option3="No",0,IF($A55&lt;ImplementationYear,0,IF($A55&gt;(ImplementationYear+(Appraisal_Period-1)),0,Health!$F$21*$B55)))</f>
        <v>0</v>
      </c>
      <c r="AN55" s="97">
        <f>IF(Option3="No",0,IF($A55&lt;ImplementationYear,0,IF($A55&gt;(ImplementationYear+(Appraisal_Period-1)),0,Health!$F$22*$B55)))</f>
        <v>0</v>
      </c>
      <c r="AO55" s="97">
        <f>IF(Option3="No",0,IF($A55&lt;ImplementationYear,0,IF($A55&gt;(ImplementationYear+(Appraisal_Period-1)),0,SUM('Travel time'!$F$22:$F$23)*$B55)))</f>
        <v>0</v>
      </c>
      <c r="AP55" s="97">
        <f>IF(Option3="No",0,IF($A55&lt;ImplementationYear,0,IF($A55&gt;(ImplementationYear+(Appraisal_Period-1)),0,SUM('Travel time'!$F$20:$F$21)*$B55)))</f>
        <v>0</v>
      </c>
      <c r="AQ55" s="97">
        <f>IF(Option3="No",0,IF($A55&lt;ImplementationYear,0,IF($A55&gt;(ImplementationYear+(Appraisal_Period-1)),0,SUM(Quality!$F$22:$F$23)*$B55)))</f>
        <v>0</v>
      </c>
      <c r="AR55" s="97">
        <f>IF(Option3="No",0,IF($A55&lt;ImplementationYear,0,IF($A55&gt;(ImplementationYear+(Appraisal_Period-1)),0,SUM(Quality!$F$20:$F$21)*$B55)))</f>
        <v>0</v>
      </c>
      <c r="AS55" s="97">
        <f>IF(Option3="No",0,IF($A55&lt;ImplementationYear,0,IF($A55&gt;(ImplementationYear+(Appraisal_Period-1)),0,'Mode change'!$F$36*$B55)))</f>
        <v>0</v>
      </c>
      <c r="AT55" s="97">
        <f>IF(Option3="No",0,IF($A55&lt;ImplementationYear,0,IF($A55&gt;(ImplementationYear+(Appraisal_Period-1)),0,'Mode change'!$F$37*$B55)))</f>
        <v>0</v>
      </c>
      <c r="AU55" s="97">
        <f>IF(Option3="No",0,IF($A55&lt;ImplementationYear,0,IF($A55&gt;(ImplementationYear+(Appraisal_Period-1)),0,'Road safety'!$F$22*$B55)))</f>
        <v>0</v>
      </c>
      <c r="AV55" s="97">
        <f>IF(Option3="No",0,IF($A55&lt;ImplementationYear,0,IF($A55&gt;(ImplementationYear+(Appraisal_Period-1)),0,'Reduction in car usage'!$F$46*$B55)))</f>
        <v>0</v>
      </c>
      <c r="AW55" s="97">
        <f>IF(Option3="No",0,IF($A55&lt;ImplementationYear,0,IF($A55&gt;(ImplementationYear+(Appraisal_Period-1)),0,'Reduction in car usage'!$F$47*$B55)))</f>
        <v>0</v>
      </c>
      <c r="AX55" s="97">
        <f>IF(Option3="No",0,IF($A55&lt;ImplementationYear,0,IF($A55&gt;(ImplementationYear+(Appraisal_Period-1)),0,'Reduction in car usage'!$F$48*$B55)))</f>
        <v>0</v>
      </c>
    </row>
    <row r="56" spans="1:50">
      <c r="A56" s="335">
        <v>2051</v>
      </c>
      <c r="B56" s="62">
        <f>VLOOKUP($A56,'Time-series parameters'!$E$11:$H$89,4,FALSE)</f>
        <v>0.19536615155532025</v>
      </c>
      <c r="C56" s="89"/>
      <c r="D56" s="94">
        <f>IF(Option1="No",0,IF($A56=ImplementationYear,('Project details'!$H$10-'Project details'!$D$10)*VLOOKUP(Year_cost_estimate,'Time-series parameters'!$B$11:$C$89,2,FALSE)*$B56*(1+Contingency),0))</f>
        <v>0</v>
      </c>
      <c r="E56" s="94">
        <f>IF(Option1="No",0,IF($A56&lt;ImplementationYear,0,IF($A56&gt;(ImplementationYear+(Appraisal_Period-1)),0,('Project details'!$H$11-'Project details'!$D$11)*VLOOKUP(Year_cost_estimate,'Time-series parameters'!$B$11:$C$89,2,0))*$B56))</f>
        <v>0</v>
      </c>
      <c r="F56" s="94">
        <f>IF(Option1="No",0,IF($A56=ImplementationYear,('Project details'!$H$12-'Project details'!$D$12)*VLOOKUP(Year_cost_estimate,'Time-series parameters'!$B$11:$C$89,2,FALSE)*$B56,0))</f>
        <v>0</v>
      </c>
      <c r="G56" s="97">
        <f>IF(Option1="No",0,IF($A56&lt;ImplementationYear,0,IF($A56&gt;(ImplementationYear+(Appraisal_Period-1)),0,Health!$D$21*$B56)))</f>
        <v>0</v>
      </c>
      <c r="H56" s="97">
        <f>IF(Option1="No",0,IF($A56&lt;ImplementationYear,0,IF($A56&gt;(ImplementationYear+(Appraisal_Period-1)),0,Health!$D$22*$B56)))</f>
        <v>0</v>
      </c>
      <c r="I56" s="97">
        <f>IF(Option1="No",0,IF($A56&lt;ImplementationYear,0,IF($A56&gt;(ImplementationYear+(Appraisal_Period-1)),0,SUM('Travel time'!$D$22:$D$23)*$B56)))</f>
        <v>0</v>
      </c>
      <c r="J56" s="97">
        <f>IF(Option1="No",0,IF($A56&lt;ImplementationYear,0,IF($A56&gt;(ImplementationYear+(Appraisal_Period-1)),0,SUM('Travel time'!$D$20:$D$21)*$B56)))</f>
        <v>0</v>
      </c>
      <c r="K56" s="97">
        <f>IF(Option1="No",0,IF($A56&lt;ImplementationYear,0,IF($A56&gt;(ImplementationYear+(Appraisal_Period-1)),0,SUM(Quality!$D$22:$D$23)*$B56)))</f>
        <v>0</v>
      </c>
      <c r="L56" s="97">
        <f>IF(Option1="No",0,IF($A56&lt;ImplementationYear,0,IF($A56&gt;(ImplementationYear+(Appraisal_Period-1)),0,SUM(Quality!$D$20:$D$21)*$B56)))</f>
        <v>0</v>
      </c>
      <c r="M56" s="97">
        <f>IF(Option1="No",0,IF($A56&lt;ImplementationYear,0,IF($A56&gt;(ImplementationYear+(Appraisal_Period-1)),0,'Mode change'!$D$36*$B56)))</f>
        <v>0</v>
      </c>
      <c r="N56" s="97">
        <f>IF(Option1="No",0,IF($A56&lt;ImplementationYear,0,IF($A56&gt;(ImplementationYear+(Appraisal_Period-1)),0,'Mode change'!$D$37*$B56)))</f>
        <v>0</v>
      </c>
      <c r="O56" s="97">
        <f>IF(Option1="No",0,IF($A56&lt;ImplementationYear,0,IF($A56&gt;(ImplementationYear+(Appraisal_Period-1)),0,'Road safety'!$D$22*$B56)))</f>
        <v>0</v>
      </c>
      <c r="P56" s="97">
        <f>IF(Option1="No",0,IF($A56&lt;ImplementationYear,0,IF($A56&gt;(ImplementationYear+(Appraisal_Period-1)),0,'Reduction in car usage'!$D$46*$B56)))</f>
        <v>0</v>
      </c>
      <c r="Q56" s="97">
        <f>IF(Option1="No",0,IF($A56&lt;ImplementationYear,0,IF($A56&gt;(ImplementationYear+(Appraisal_Period-1)),0,'Reduction in car usage'!$D$47*$B56)))</f>
        <v>0</v>
      </c>
      <c r="R56" s="97">
        <f>IF(Option1="No",0,IF($A56&lt;ImplementationYear,0,IF($A56&gt;(ImplementationYear+(Appraisal_Period-1)),0,'Reduction in car usage'!$D$48*$B56)))</f>
        <v>0</v>
      </c>
      <c r="S56" s="92"/>
      <c r="T56" s="94">
        <f>IF(Option2="No",0,IF($A56=ImplementationYear,('Project details'!$L$10-'Project details'!$D$10)*VLOOKUP(Year_cost_estimate,'Time-series parameters'!$B$11:$C$89,2,FALSE)*$B56*(1+Contingency),0))</f>
        <v>0</v>
      </c>
      <c r="U56" s="94">
        <f>IF(Option2="No",0,IF($A56&lt;ImplementationYear,0,IF($A56&gt;(ImplementationYear+(Appraisal_Period-1)),0,('Project details'!$L$11-'Project details'!$D$11)*VLOOKUP(Year_cost_estimate,'Time-series parameters'!$B$11:$C$89,2,0))*$B56))</f>
        <v>0</v>
      </c>
      <c r="V56" s="94">
        <f>IF(Option2="No",0,IF($A56=ImplementationYear,('Project details'!$L$12-'Project details'!$D$12)*VLOOKUP(Year_cost_estimate,'Time-series parameters'!$B$11:$C$89,2,FALSE)*$B56,0))</f>
        <v>0</v>
      </c>
      <c r="W56" s="97">
        <f>IF(Option2="No",0,IF($A56&lt;ImplementationYear,0,IF($A56&gt;(ImplementationYear+(Appraisal_Period-1)),0,Health!$E$21*$B56)))</f>
        <v>0</v>
      </c>
      <c r="X56" s="97">
        <f>IF(Option2="No",0,IF($A56&lt;ImplementationYear,0,IF($A56&gt;(ImplementationYear+(Appraisal_Period-1)),0,Health!$E$22*$B56)))</f>
        <v>0</v>
      </c>
      <c r="Y56" s="97">
        <f>IF(Option2="No",0,IF($A56&lt;ImplementationYear,0,IF($A56&gt;(ImplementationYear+(Appraisal_Period-1)),0,SUM('Travel time'!$E$22:$E$23)*$B56)))</f>
        <v>0</v>
      </c>
      <c r="Z56" s="97">
        <f>IF(Option2="No",0,IF($A56&lt;ImplementationYear,0,IF($A56&gt;(ImplementationYear+(Appraisal_Period-1)),0,SUM('Travel time'!$E$20:$E$21)*$B56)))</f>
        <v>0</v>
      </c>
      <c r="AA56" s="97">
        <f>IF(Option2="No",0,IF($A56&lt;ImplementationYear,0,IF($A56&gt;(ImplementationYear+(Appraisal_Period-1)),0,SUM(Quality!$E$22:$E$23)*$B56)))</f>
        <v>0</v>
      </c>
      <c r="AB56" s="97">
        <f>IF(Option2="No",0,IF($A56&lt;ImplementationYear,0,IF($A56&gt;(ImplementationYear+(Appraisal_Period-1)),0,SUM(Quality!$E$20:$E$21)*$B56)))</f>
        <v>0</v>
      </c>
      <c r="AC56" s="97">
        <f>IF(Option2="No",0,IF($A56&lt;ImplementationYear,0,IF($A56&gt;(ImplementationYear+(Appraisal_Period-1)),0,'Mode change'!$E$36*$B56)))</f>
        <v>0</v>
      </c>
      <c r="AD56" s="97">
        <f>IF(Option2="No",0,IF($A56&lt;ImplementationYear,0,IF($A56&gt;(ImplementationYear+(Appraisal_Period-1)),0,'Mode change'!$E$37*$B56)))</f>
        <v>0</v>
      </c>
      <c r="AE56" s="97">
        <f>IF(Option2="No",0,IF($A56&lt;ImplementationYear,0,IF($A56&gt;(ImplementationYear+(Appraisal_Period-1)),0,'Road safety'!$E$22*$B56)))</f>
        <v>0</v>
      </c>
      <c r="AF56" s="97">
        <f>IF(Option2="No",0,IF($A56&lt;ImplementationYear,0,IF($A56&gt;(ImplementationYear+(Appraisal_Period-1)),0,'Reduction in car usage'!$E$46*$B56)))</f>
        <v>0</v>
      </c>
      <c r="AG56" s="97">
        <f>IF(Option2="No",0,IF($A56&lt;ImplementationYear,0,IF($A56&gt;(ImplementationYear+(Appraisal_Period-1)),0,'Reduction in car usage'!$E$47*$B56)))</f>
        <v>0</v>
      </c>
      <c r="AH56" s="97">
        <f>IF(Option2="No",0,IF($A56&lt;ImplementationYear,0,IF($A56&gt;(ImplementationYear+(Appraisal_Period-1)),0,'Reduction in car usage'!$E$48*$B56)))</f>
        <v>0</v>
      </c>
      <c r="AJ56" s="94">
        <f>IF(Option3="No",0,IF($A56=ImplementationYear,('Project details'!$P$10-'Project details'!$D$10)*VLOOKUP(Year_cost_estimate,'Time-series parameters'!$B$11:$C$89,2,FALSE)*$B56*(1+Contingency),0))</f>
        <v>0</v>
      </c>
      <c r="AK56" s="94">
        <f>IF(Option3="No",0,IF($A56&lt;ImplementationYear,0,IF($A56&gt;(ImplementationYear+(Appraisal_Period-1)),0,('Project details'!$P$11-'Project details'!$D$11)*VLOOKUP(Year_cost_estimate,'Time-series parameters'!$B$11:$C$89,2,0))*$B56))</f>
        <v>0</v>
      </c>
      <c r="AL56" s="94">
        <f>IF(Option3="No",0,IF($A56=ImplementationYear,('Project details'!$P$12-'Project details'!$D$12)*VLOOKUP(Year_cost_estimate,'Time-series parameters'!$B$11:$C$89,2,FALSE)*$B56,0))</f>
        <v>0</v>
      </c>
      <c r="AM56" s="97">
        <f>IF(Option3="No",0,IF($A56&lt;ImplementationYear,0,IF($A56&gt;(ImplementationYear+(Appraisal_Period-1)),0,Health!$F$21*$B56)))</f>
        <v>0</v>
      </c>
      <c r="AN56" s="97">
        <f>IF(Option3="No",0,IF($A56&lt;ImplementationYear,0,IF($A56&gt;(ImplementationYear+(Appraisal_Period-1)),0,Health!$F$22*$B56)))</f>
        <v>0</v>
      </c>
      <c r="AO56" s="97">
        <f>IF(Option3="No",0,IF($A56&lt;ImplementationYear,0,IF($A56&gt;(ImplementationYear+(Appraisal_Period-1)),0,SUM('Travel time'!$F$22:$F$23)*$B56)))</f>
        <v>0</v>
      </c>
      <c r="AP56" s="97">
        <f>IF(Option3="No",0,IF($A56&lt;ImplementationYear,0,IF($A56&gt;(ImplementationYear+(Appraisal_Period-1)),0,SUM('Travel time'!$F$20:$F$21)*$B56)))</f>
        <v>0</v>
      </c>
      <c r="AQ56" s="97">
        <f>IF(Option3="No",0,IF($A56&lt;ImplementationYear,0,IF($A56&gt;(ImplementationYear+(Appraisal_Period-1)),0,SUM(Quality!$F$22:$F$23)*$B56)))</f>
        <v>0</v>
      </c>
      <c r="AR56" s="97">
        <f>IF(Option3="No",0,IF($A56&lt;ImplementationYear,0,IF($A56&gt;(ImplementationYear+(Appraisal_Period-1)),0,SUM(Quality!$F$20:$F$21)*$B56)))</f>
        <v>0</v>
      </c>
      <c r="AS56" s="97">
        <f>IF(Option3="No",0,IF($A56&lt;ImplementationYear,0,IF($A56&gt;(ImplementationYear+(Appraisal_Period-1)),0,'Mode change'!$F$36*$B56)))</f>
        <v>0</v>
      </c>
      <c r="AT56" s="97">
        <f>IF(Option3="No",0,IF($A56&lt;ImplementationYear,0,IF($A56&gt;(ImplementationYear+(Appraisal_Period-1)),0,'Mode change'!$F$37*$B56)))</f>
        <v>0</v>
      </c>
      <c r="AU56" s="97">
        <f>IF(Option3="No",0,IF($A56&lt;ImplementationYear,0,IF($A56&gt;(ImplementationYear+(Appraisal_Period-1)),0,'Road safety'!$F$22*$B56)))</f>
        <v>0</v>
      </c>
      <c r="AV56" s="97">
        <f>IF(Option3="No",0,IF($A56&lt;ImplementationYear,0,IF($A56&gt;(ImplementationYear+(Appraisal_Period-1)),0,'Reduction in car usage'!$F$46*$B56)))</f>
        <v>0</v>
      </c>
      <c r="AW56" s="97">
        <f>IF(Option3="No",0,IF($A56&lt;ImplementationYear,0,IF($A56&gt;(ImplementationYear+(Appraisal_Period-1)),0,'Reduction in car usage'!$F$47*$B56)))</f>
        <v>0</v>
      </c>
      <c r="AX56" s="97">
        <f>IF(Option3="No",0,IF($A56&lt;ImplementationYear,0,IF($A56&gt;(ImplementationYear+(Appraisal_Period-1)),0,'Reduction in car usage'!$F$48*$B56)))</f>
        <v>0</v>
      </c>
    </row>
    <row r="57" spans="1:50">
      <c r="A57" s="335">
        <v>2052</v>
      </c>
      <c r="B57" s="62">
        <f>VLOOKUP($A57,'Time-series parameters'!$E$11:$H$89,4,FALSE)</f>
        <v>0.18755150549310745</v>
      </c>
      <c r="C57" s="89"/>
      <c r="D57" s="94">
        <f>IF(Option1="No",0,IF($A57=ImplementationYear,('Project details'!$H$10-'Project details'!$D$10)*VLOOKUP(Year_cost_estimate,'Time-series parameters'!$B$11:$C$89,2,FALSE)*$B57*(1+Contingency),0))</f>
        <v>0</v>
      </c>
      <c r="E57" s="94">
        <f>IF(Option1="No",0,IF($A57&lt;ImplementationYear,0,IF($A57&gt;(ImplementationYear+(Appraisal_Period-1)),0,('Project details'!$H$11-'Project details'!$D$11)*VLOOKUP(Year_cost_estimate,'Time-series parameters'!$B$11:$C$89,2,0))*$B57))</f>
        <v>0</v>
      </c>
      <c r="F57" s="94">
        <f>IF(Option1="No",0,IF($A57=ImplementationYear,('Project details'!$H$12-'Project details'!$D$12)*VLOOKUP(Year_cost_estimate,'Time-series parameters'!$B$11:$C$89,2,FALSE)*$B57,0))</f>
        <v>0</v>
      </c>
      <c r="G57" s="97">
        <f>IF(Option1="No",0,IF($A57&lt;ImplementationYear,0,IF($A57&gt;(ImplementationYear+(Appraisal_Period-1)),0,Health!$D$21*$B57)))</f>
        <v>0</v>
      </c>
      <c r="H57" s="97">
        <f>IF(Option1="No",0,IF($A57&lt;ImplementationYear,0,IF($A57&gt;(ImplementationYear+(Appraisal_Period-1)),0,Health!$D$22*$B57)))</f>
        <v>0</v>
      </c>
      <c r="I57" s="97">
        <f>IF(Option1="No",0,IF($A57&lt;ImplementationYear,0,IF($A57&gt;(ImplementationYear+(Appraisal_Period-1)),0,SUM('Travel time'!$D$22:$D$23)*$B57)))</f>
        <v>0</v>
      </c>
      <c r="J57" s="97">
        <f>IF(Option1="No",0,IF($A57&lt;ImplementationYear,0,IF($A57&gt;(ImplementationYear+(Appraisal_Period-1)),0,SUM('Travel time'!$D$20:$D$21)*$B57)))</f>
        <v>0</v>
      </c>
      <c r="K57" s="97">
        <f>IF(Option1="No",0,IF($A57&lt;ImplementationYear,0,IF($A57&gt;(ImplementationYear+(Appraisal_Period-1)),0,SUM(Quality!$D$22:$D$23)*$B57)))</f>
        <v>0</v>
      </c>
      <c r="L57" s="97">
        <f>IF(Option1="No",0,IF($A57&lt;ImplementationYear,0,IF($A57&gt;(ImplementationYear+(Appraisal_Period-1)),0,SUM(Quality!$D$20:$D$21)*$B57)))</f>
        <v>0</v>
      </c>
      <c r="M57" s="97">
        <f>IF(Option1="No",0,IF($A57&lt;ImplementationYear,0,IF($A57&gt;(ImplementationYear+(Appraisal_Period-1)),0,'Mode change'!$D$36*$B57)))</f>
        <v>0</v>
      </c>
      <c r="N57" s="97">
        <f>IF(Option1="No",0,IF($A57&lt;ImplementationYear,0,IF($A57&gt;(ImplementationYear+(Appraisal_Period-1)),0,'Mode change'!$D$37*$B57)))</f>
        <v>0</v>
      </c>
      <c r="O57" s="97">
        <f>IF(Option1="No",0,IF($A57&lt;ImplementationYear,0,IF($A57&gt;(ImplementationYear+(Appraisal_Period-1)),0,'Road safety'!$D$22*$B57)))</f>
        <v>0</v>
      </c>
      <c r="P57" s="97">
        <f>IF(Option1="No",0,IF($A57&lt;ImplementationYear,0,IF($A57&gt;(ImplementationYear+(Appraisal_Period-1)),0,'Reduction in car usage'!$D$46*$B57)))</f>
        <v>0</v>
      </c>
      <c r="Q57" s="97">
        <f>IF(Option1="No",0,IF($A57&lt;ImplementationYear,0,IF($A57&gt;(ImplementationYear+(Appraisal_Period-1)),0,'Reduction in car usage'!$D$47*$B57)))</f>
        <v>0</v>
      </c>
      <c r="R57" s="97">
        <f>IF(Option1="No",0,IF($A57&lt;ImplementationYear,0,IF($A57&gt;(ImplementationYear+(Appraisal_Period-1)),0,'Reduction in car usage'!$D$48*$B57)))</f>
        <v>0</v>
      </c>
      <c r="S57" s="92"/>
      <c r="T57" s="94">
        <f>IF(Option2="No",0,IF($A57=ImplementationYear,('Project details'!$L$10-'Project details'!$D$10)*VLOOKUP(Year_cost_estimate,'Time-series parameters'!$B$11:$C$89,2,FALSE)*$B57*(1+Contingency),0))</f>
        <v>0</v>
      </c>
      <c r="U57" s="94">
        <f>IF(Option2="No",0,IF($A57&lt;ImplementationYear,0,IF($A57&gt;(ImplementationYear+(Appraisal_Period-1)),0,('Project details'!$L$11-'Project details'!$D$11)*VLOOKUP(Year_cost_estimate,'Time-series parameters'!$B$11:$C$89,2,0))*$B57))</f>
        <v>0</v>
      </c>
      <c r="V57" s="94">
        <f>IF(Option2="No",0,IF($A57=ImplementationYear,('Project details'!$L$12-'Project details'!$D$12)*VLOOKUP(Year_cost_estimate,'Time-series parameters'!$B$11:$C$89,2,FALSE)*$B57,0))</f>
        <v>0</v>
      </c>
      <c r="W57" s="97">
        <f>IF(Option2="No",0,IF($A57&lt;ImplementationYear,0,IF($A57&gt;(ImplementationYear+(Appraisal_Period-1)),0,Health!$E$21*$B57)))</f>
        <v>0</v>
      </c>
      <c r="X57" s="97">
        <f>IF(Option2="No",0,IF($A57&lt;ImplementationYear,0,IF($A57&gt;(ImplementationYear+(Appraisal_Period-1)),0,Health!$E$22*$B57)))</f>
        <v>0</v>
      </c>
      <c r="Y57" s="97">
        <f>IF(Option2="No",0,IF($A57&lt;ImplementationYear,0,IF($A57&gt;(ImplementationYear+(Appraisal_Period-1)),0,SUM('Travel time'!$E$22:$E$23)*$B57)))</f>
        <v>0</v>
      </c>
      <c r="Z57" s="97">
        <f>IF(Option2="No",0,IF($A57&lt;ImplementationYear,0,IF($A57&gt;(ImplementationYear+(Appraisal_Period-1)),0,SUM('Travel time'!$E$20:$E$21)*$B57)))</f>
        <v>0</v>
      </c>
      <c r="AA57" s="97">
        <f>IF(Option2="No",0,IF($A57&lt;ImplementationYear,0,IF($A57&gt;(ImplementationYear+(Appraisal_Period-1)),0,SUM(Quality!$E$22:$E$23)*$B57)))</f>
        <v>0</v>
      </c>
      <c r="AB57" s="97">
        <f>IF(Option2="No",0,IF($A57&lt;ImplementationYear,0,IF($A57&gt;(ImplementationYear+(Appraisal_Period-1)),0,SUM(Quality!$E$20:$E$21)*$B57)))</f>
        <v>0</v>
      </c>
      <c r="AC57" s="97">
        <f>IF(Option2="No",0,IF($A57&lt;ImplementationYear,0,IF($A57&gt;(ImplementationYear+(Appraisal_Period-1)),0,'Mode change'!$E$36*$B57)))</f>
        <v>0</v>
      </c>
      <c r="AD57" s="97">
        <f>IF(Option2="No",0,IF($A57&lt;ImplementationYear,0,IF($A57&gt;(ImplementationYear+(Appraisal_Period-1)),0,'Mode change'!$E$37*$B57)))</f>
        <v>0</v>
      </c>
      <c r="AE57" s="97">
        <f>IF(Option2="No",0,IF($A57&lt;ImplementationYear,0,IF($A57&gt;(ImplementationYear+(Appraisal_Period-1)),0,'Road safety'!$E$22*$B57)))</f>
        <v>0</v>
      </c>
      <c r="AF57" s="97">
        <f>IF(Option2="No",0,IF($A57&lt;ImplementationYear,0,IF($A57&gt;(ImplementationYear+(Appraisal_Period-1)),0,'Reduction in car usage'!$E$46*$B57)))</f>
        <v>0</v>
      </c>
      <c r="AG57" s="97">
        <f>IF(Option2="No",0,IF($A57&lt;ImplementationYear,0,IF($A57&gt;(ImplementationYear+(Appraisal_Period-1)),0,'Reduction in car usage'!$E$47*$B57)))</f>
        <v>0</v>
      </c>
      <c r="AH57" s="97">
        <f>IF(Option2="No",0,IF($A57&lt;ImplementationYear,0,IF($A57&gt;(ImplementationYear+(Appraisal_Period-1)),0,'Reduction in car usage'!$E$48*$B57)))</f>
        <v>0</v>
      </c>
      <c r="AJ57" s="94">
        <f>IF(Option3="No",0,IF($A57=ImplementationYear,('Project details'!$P$10-'Project details'!$D$10)*VLOOKUP(Year_cost_estimate,'Time-series parameters'!$B$11:$C$89,2,FALSE)*$B57*(1+Contingency),0))</f>
        <v>0</v>
      </c>
      <c r="AK57" s="94">
        <f>IF(Option3="No",0,IF($A57&lt;ImplementationYear,0,IF($A57&gt;(ImplementationYear+(Appraisal_Period-1)),0,('Project details'!$P$11-'Project details'!$D$11)*VLOOKUP(Year_cost_estimate,'Time-series parameters'!$B$11:$C$89,2,0))*$B57))</f>
        <v>0</v>
      </c>
      <c r="AL57" s="94">
        <f>IF(Option3="No",0,IF($A57=ImplementationYear,('Project details'!$P$12-'Project details'!$D$12)*VLOOKUP(Year_cost_estimate,'Time-series parameters'!$B$11:$C$89,2,FALSE)*$B57,0))</f>
        <v>0</v>
      </c>
      <c r="AM57" s="97">
        <f>IF(Option3="No",0,IF($A57&lt;ImplementationYear,0,IF($A57&gt;(ImplementationYear+(Appraisal_Period-1)),0,Health!$F$21*$B57)))</f>
        <v>0</v>
      </c>
      <c r="AN57" s="97">
        <f>IF(Option3="No",0,IF($A57&lt;ImplementationYear,0,IF($A57&gt;(ImplementationYear+(Appraisal_Period-1)),0,Health!$F$22*$B57)))</f>
        <v>0</v>
      </c>
      <c r="AO57" s="97">
        <f>IF(Option3="No",0,IF($A57&lt;ImplementationYear,0,IF($A57&gt;(ImplementationYear+(Appraisal_Period-1)),0,SUM('Travel time'!$F$22:$F$23)*$B57)))</f>
        <v>0</v>
      </c>
      <c r="AP57" s="97">
        <f>IF(Option3="No",0,IF($A57&lt;ImplementationYear,0,IF($A57&gt;(ImplementationYear+(Appraisal_Period-1)),0,SUM('Travel time'!$F$20:$F$21)*$B57)))</f>
        <v>0</v>
      </c>
      <c r="AQ57" s="97">
        <f>IF(Option3="No",0,IF($A57&lt;ImplementationYear,0,IF($A57&gt;(ImplementationYear+(Appraisal_Period-1)),0,SUM(Quality!$F$22:$F$23)*$B57)))</f>
        <v>0</v>
      </c>
      <c r="AR57" s="97">
        <f>IF(Option3="No",0,IF($A57&lt;ImplementationYear,0,IF($A57&gt;(ImplementationYear+(Appraisal_Period-1)),0,SUM(Quality!$F$20:$F$21)*$B57)))</f>
        <v>0</v>
      </c>
      <c r="AS57" s="97">
        <f>IF(Option3="No",0,IF($A57&lt;ImplementationYear,0,IF($A57&gt;(ImplementationYear+(Appraisal_Period-1)),0,'Mode change'!$F$36*$B57)))</f>
        <v>0</v>
      </c>
      <c r="AT57" s="97">
        <f>IF(Option3="No",0,IF($A57&lt;ImplementationYear,0,IF($A57&gt;(ImplementationYear+(Appraisal_Period-1)),0,'Mode change'!$F$37*$B57)))</f>
        <v>0</v>
      </c>
      <c r="AU57" s="97">
        <f>IF(Option3="No",0,IF($A57&lt;ImplementationYear,0,IF($A57&gt;(ImplementationYear+(Appraisal_Period-1)),0,'Road safety'!$F$22*$B57)))</f>
        <v>0</v>
      </c>
      <c r="AV57" s="97">
        <f>IF(Option3="No",0,IF($A57&lt;ImplementationYear,0,IF($A57&gt;(ImplementationYear+(Appraisal_Period-1)),0,'Reduction in car usage'!$F$46*$B57)))</f>
        <v>0</v>
      </c>
      <c r="AW57" s="97">
        <f>IF(Option3="No",0,IF($A57&lt;ImplementationYear,0,IF($A57&gt;(ImplementationYear+(Appraisal_Period-1)),0,'Reduction in car usage'!$F$47*$B57)))</f>
        <v>0</v>
      </c>
      <c r="AX57" s="97">
        <f>IF(Option3="No",0,IF($A57&lt;ImplementationYear,0,IF($A57&gt;(ImplementationYear+(Appraisal_Period-1)),0,'Reduction in car usage'!$F$48*$B57)))</f>
        <v>0</v>
      </c>
    </row>
    <row r="58" spans="1:50">
      <c r="A58" s="335">
        <v>2053</v>
      </c>
      <c r="B58" s="62">
        <f>VLOOKUP($A58,'Time-series parameters'!$E$11:$H$89,4,FALSE)</f>
        <v>0.18004944527338315</v>
      </c>
      <c r="C58" s="89"/>
      <c r="D58" s="94">
        <f>IF(Option1="No",0,IF($A58=ImplementationYear,('Project details'!$H$10-'Project details'!$D$10)*VLOOKUP(Year_cost_estimate,'Time-series parameters'!$B$11:$C$89,2,FALSE)*$B58*(1+Contingency),0))</f>
        <v>0</v>
      </c>
      <c r="E58" s="94">
        <f>IF(Option1="No",0,IF($A58&lt;ImplementationYear,0,IF($A58&gt;(ImplementationYear+(Appraisal_Period-1)),0,('Project details'!$H$11-'Project details'!$D$11)*VLOOKUP(Year_cost_estimate,'Time-series parameters'!$B$11:$C$89,2,0))*$B58))</f>
        <v>0</v>
      </c>
      <c r="F58" s="94">
        <f>IF(Option1="No",0,IF($A58=ImplementationYear,('Project details'!$H$12-'Project details'!$D$12)*VLOOKUP(Year_cost_estimate,'Time-series parameters'!$B$11:$C$89,2,FALSE)*$B58,0))</f>
        <v>0</v>
      </c>
      <c r="G58" s="97">
        <f>IF(Option1="No",0,IF($A58&lt;ImplementationYear,0,IF($A58&gt;(ImplementationYear+(Appraisal_Period-1)),0,Health!$D$21*$B58)))</f>
        <v>0</v>
      </c>
      <c r="H58" s="97">
        <f>IF(Option1="No",0,IF($A58&lt;ImplementationYear,0,IF($A58&gt;(ImplementationYear+(Appraisal_Period-1)),0,Health!$D$22*$B58)))</f>
        <v>0</v>
      </c>
      <c r="I58" s="97">
        <f>IF(Option1="No",0,IF($A58&lt;ImplementationYear,0,IF($A58&gt;(ImplementationYear+(Appraisal_Period-1)),0,SUM('Travel time'!$D$22:$D$23)*$B58)))</f>
        <v>0</v>
      </c>
      <c r="J58" s="97">
        <f>IF(Option1="No",0,IF($A58&lt;ImplementationYear,0,IF($A58&gt;(ImplementationYear+(Appraisal_Period-1)),0,SUM('Travel time'!$D$20:$D$21)*$B58)))</f>
        <v>0</v>
      </c>
      <c r="K58" s="97">
        <f>IF(Option1="No",0,IF($A58&lt;ImplementationYear,0,IF($A58&gt;(ImplementationYear+(Appraisal_Period-1)),0,SUM(Quality!$D$22:$D$23)*$B58)))</f>
        <v>0</v>
      </c>
      <c r="L58" s="97">
        <f>IF(Option1="No",0,IF($A58&lt;ImplementationYear,0,IF($A58&gt;(ImplementationYear+(Appraisal_Period-1)),0,SUM(Quality!$D$20:$D$21)*$B58)))</f>
        <v>0</v>
      </c>
      <c r="M58" s="97">
        <f>IF(Option1="No",0,IF($A58&lt;ImplementationYear,0,IF($A58&gt;(ImplementationYear+(Appraisal_Period-1)),0,'Mode change'!$D$36*$B58)))</f>
        <v>0</v>
      </c>
      <c r="N58" s="97">
        <f>IF(Option1="No",0,IF($A58&lt;ImplementationYear,0,IF($A58&gt;(ImplementationYear+(Appraisal_Period-1)),0,'Mode change'!$D$37*$B58)))</f>
        <v>0</v>
      </c>
      <c r="O58" s="97">
        <f>IF(Option1="No",0,IF($A58&lt;ImplementationYear,0,IF($A58&gt;(ImplementationYear+(Appraisal_Period-1)),0,'Road safety'!$D$22*$B58)))</f>
        <v>0</v>
      </c>
      <c r="P58" s="97">
        <f>IF(Option1="No",0,IF($A58&lt;ImplementationYear,0,IF($A58&gt;(ImplementationYear+(Appraisal_Period-1)),0,'Reduction in car usage'!$D$46*$B58)))</f>
        <v>0</v>
      </c>
      <c r="Q58" s="97">
        <f>IF(Option1="No",0,IF($A58&lt;ImplementationYear,0,IF($A58&gt;(ImplementationYear+(Appraisal_Period-1)),0,'Reduction in car usage'!$D$47*$B58)))</f>
        <v>0</v>
      </c>
      <c r="R58" s="97">
        <f>IF(Option1="No",0,IF($A58&lt;ImplementationYear,0,IF($A58&gt;(ImplementationYear+(Appraisal_Period-1)),0,'Reduction in car usage'!$D$48*$B58)))</f>
        <v>0</v>
      </c>
      <c r="S58" s="92"/>
      <c r="T58" s="94">
        <f>IF(Option2="No",0,IF($A58=ImplementationYear,('Project details'!$L$10-'Project details'!$D$10)*VLOOKUP(Year_cost_estimate,'Time-series parameters'!$B$11:$C$89,2,FALSE)*$B58*(1+Contingency),0))</f>
        <v>0</v>
      </c>
      <c r="U58" s="94">
        <f>IF(Option2="No",0,IF($A58&lt;ImplementationYear,0,IF($A58&gt;(ImplementationYear+(Appraisal_Period-1)),0,('Project details'!$L$11-'Project details'!$D$11)*VLOOKUP(Year_cost_estimate,'Time-series parameters'!$B$11:$C$89,2,0))*$B58))</f>
        <v>0</v>
      </c>
      <c r="V58" s="94">
        <f>IF(Option2="No",0,IF($A58=ImplementationYear,('Project details'!$L$12-'Project details'!$D$12)*VLOOKUP(Year_cost_estimate,'Time-series parameters'!$B$11:$C$89,2,FALSE)*$B58,0))</f>
        <v>0</v>
      </c>
      <c r="W58" s="97">
        <f>IF(Option2="No",0,IF($A58&lt;ImplementationYear,0,IF($A58&gt;(ImplementationYear+(Appraisal_Period-1)),0,Health!$E$21*$B58)))</f>
        <v>0</v>
      </c>
      <c r="X58" s="97">
        <f>IF(Option2="No",0,IF($A58&lt;ImplementationYear,0,IF($A58&gt;(ImplementationYear+(Appraisal_Period-1)),0,Health!$E$22*$B58)))</f>
        <v>0</v>
      </c>
      <c r="Y58" s="97">
        <f>IF(Option2="No",0,IF($A58&lt;ImplementationYear,0,IF($A58&gt;(ImplementationYear+(Appraisal_Period-1)),0,SUM('Travel time'!$E$22:$E$23)*$B58)))</f>
        <v>0</v>
      </c>
      <c r="Z58" s="97">
        <f>IF(Option2="No",0,IF($A58&lt;ImplementationYear,0,IF($A58&gt;(ImplementationYear+(Appraisal_Period-1)),0,SUM('Travel time'!$E$20:$E$21)*$B58)))</f>
        <v>0</v>
      </c>
      <c r="AA58" s="97">
        <f>IF(Option2="No",0,IF($A58&lt;ImplementationYear,0,IF($A58&gt;(ImplementationYear+(Appraisal_Period-1)),0,SUM(Quality!$E$22:$E$23)*$B58)))</f>
        <v>0</v>
      </c>
      <c r="AB58" s="97">
        <f>IF(Option2="No",0,IF($A58&lt;ImplementationYear,0,IF($A58&gt;(ImplementationYear+(Appraisal_Period-1)),0,SUM(Quality!$E$20:$E$21)*$B58)))</f>
        <v>0</v>
      </c>
      <c r="AC58" s="97">
        <f>IF(Option2="No",0,IF($A58&lt;ImplementationYear,0,IF($A58&gt;(ImplementationYear+(Appraisal_Period-1)),0,'Mode change'!$E$36*$B58)))</f>
        <v>0</v>
      </c>
      <c r="AD58" s="97">
        <f>IF(Option2="No",0,IF($A58&lt;ImplementationYear,0,IF($A58&gt;(ImplementationYear+(Appraisal_Period-1)),0,'Mode change'!$E$37*$B58)))</f>
        <v>0</v>
      </c>
      <c r="AE58" s="97">
        <f>IF(Option2="No",0,IF($A58&lt;ImplementationYear,0,IF($A58&gt;(ImplementationYear+(Appraisal_Period-1)),0,'Road safety'!$E$22*$B58)))</f>
        <v>0</v>
      </c>
      <c r="AF58" s="97">
        <f>IF(Option2="No",0,IF($A58&lt;ImplementationYear,0,IF($A58&gt;(ImplementationYear+(Appraisal_Period-1)),0,'Reduction in car usage'!$E$46*$B58)))</f>
        <v>0</v>
      </c>
      <c r="AG58" s="97">
        <f>IF(Option2="No",0,IF($A58&lt;ImplementationYear,0,IF($A58&gt;(ImplementationYear+(Appraisal_Period-1)),0,'Reduction in car usage'!$E$47*$B58)))</f>
        <v>0</v>
      </c>
      <c r="AH58" s="97">
        <f>IF(Option2="No",0,IF($A58&lt;ImplementationYear,0,IF($A58&gt;(ImplementationYear+(Appraisal_Period-1)),0,'Reduction in car usage'!$E$48*$B58)))</f>
        <v>0</v>
      </c>
      <c r="AJ58" s="94">
        <f>IF(Option3="No",0,IF($A58=ImplementationYear,('Project details'!$P$10-'Project details'!$D$10)*VLOOKUP(Year_cost_estimate,'Time-series parameters'!$B$11:$C$89,2,FALSE)*$B58*(1+Contingency),0))</f>
        <v>0</v>
      </c>
      <c r="AK58" s="94">
        <f>IF(Option3="No",0,IF($A58&lt;ImplementationYear,0,IF($A58&gt;(ImplementationYear+(Appraisal_Period-1)),0,('Project details'!$P$11-'Project details'!$D$11)*VLOOKUP(Year_cost_estimate,'Time-series parameters'!$B$11:$C$89,2,0))*$B58))</f>
        <v>0</v>
      </c>
      <c r="AL58" s="94">
        <f>IF(Option3="No",0,IF($A58=ImplementationYear,('Project details'!$P$12-'Project details'!$D$12)*VLOOKUP(Year_cost_estimate,'Time-series parameters'!$B$11:$C$89,2,FALSE)*$B58,0))</f>
        <v>0</v>
      </c>
      <c r="AM58" s="97">
        <f>IF(Option3="No",0,IF($A58&lt;ImplementationYear,0,IF($A58&gt;(ImplementationYear+(Appraisal_Period-1)),0,Health!$F$21*$B58)))</f>
        <v>0</v>
      </c>
      <c r="AN58" s="97">
        <f>IF(Option3="No",0,IF($A58&lt;ImplementationYear,0,IF($A58&gt;(ImplementationYear+(Appraisal_Period-1)),0,Health!$F$22*$B58)))</f>
        <v>0</v>
      </c>
      <c r="AO58" s="97">
        <f>IF(Option3="No",0,IF($A58&lt;ImplementationYear,0,IF($A58&gt;(ImplementationYear+(Appraisal_Period-1)),0,SUM('Travel time'!$F$22:$F$23)*$B58)))</f>
        <v>0</v>
      </c>
      <c r="AP58" s="97">
        <f>IF(Option3="No",0,IF($A58&lt;ImplementationYear,0,IF($A58&gt;(ImplementationYear+(Appraisal_Period-1)),0,SUM('Travel time'!$F$20:$F$21)*$B58)))</f>
        <v>0</v>
      </c>
      <c r="AQ58" s="97">
        <f>IF(Option3="No",0,IF($A58&lt;ImplementationYear,0,IF($A58&gt;(ImplementationYear+(Appraisal_Period-1)),0,SUM(Quality!$F$22:$F$23)*$B58)))</f>
        <v>0</v>
      </c>
      <c r="AR58" s="97">
        <f>IF(Option3="No",0,IF($A58&lt;ImplementationYear,0,IF($A58&gt;(ImplementationYear+(Appraisal_Period-1)),0,SUM(Quality!$F$20:$F$21)*$B58)))</f>
        <v>0</v>
      </c>
      <c r="AS58" s="97">
        <f>IF(Option3="No",0,IF($A58&lt;ImplementationYear,0,IF($A58&gt;(ImplementationYear+(Appraisal_Period-1)),0,'Mode change'!$F$36*$B58)))</f>
        <v>0</v>
      </c>
      <c r="AT58" s="97">
        <f>IF(Option3="No",0,IF($A58&lt;ImplementationYear,0,IF($A58&gt;(ImplementationYear+(Appraisal_Period-1)),0,'Mode change'!$F$37*$B58)))</f>
        <v>0</v>
      </c>
      <c r="AU58" s="97">
        <f>IF(Option3="No",0,IF($A58&lt;ImplementationYear,0,IF($A58&gt;(ImplementationYear+(Appraisal_Period-1)),0,'Road safety'!$F$22*$B58)))</f>
        <v>0</v>
      </c>
      <c r="AV58" s="97">
        <f>IF(Option3="No",0,IF($A58&lt;ImplementationYear,0,IF($A58&gt;(ImplementationYear+(Appraisal_Period-1)),0,'Reduction in car usage'!$F$46*$B58)))</f>
        <v>0</v>
      </c>
      <c r="AW58" s="97">
        <f>IF(Option3="No",0,IF($A58&lt;ImplementationYear,0,IF($A58&gt;(ImplementationYear+(Appraisal_Period-1)),0,'Reduction in car usage'!$F$47*$B58)))</f>
        <v>0</v>
      </c>
      <c r="AX58" s="97">
        <f>IF(Option3="No",0,IF($A58&lt;ImplementationYear,0,IF($A58&gt;(ImplementationYear+(Appraisal_Period-1)),0,'Reduction in car usage'!$F$48*$B58)))</f>
        <v>0</v>
      </c>
    </row>
    <row r="59" spans="1:50">
      <c r="A59" s="335">
        <v>2054</v>
      </c>
      <c r="B59" s="62">
        <f>VLOOKUP($A59,'Time-series parameters'!$E$11:$H$89,4,FALSE)</f>
        <v>0.17284746746244783</v>
      </c>
      <c r="C59" s="89"/>
      <c r="D59" s="94">
        <f>IF(Option1="No",0,IF($A59=ImplementationYear,('Project details'!$H$10-'Project details'!$D$10)*VLOOKUP(Year_cost_estimate,'Time-series parameters'!$B$11:$C$89,2,FALSE)*$B59*(1+Contingency),0))</f>
        <v>0</v>
      </c>
      <c r="E59" s="94">
        <f>IF(Option1="No",0,IF($A59&lt;ImplementationYear,0,IF($A59&gt;(ImplementationYear+(Appraisal_Period-1)),0,('Project details'!$H$11-'Project details'!$D$11)*VLOOKUP(Year_cost_estimate,'Time-series parameters'!$B$11:$C$89,2,0))*$B59))</f>
        <v>0</v>
      </c>
      <c r="F59" s="94">
        <f>IF(Option1="No",0,IF($A59=ImplementationYear,('Project details'!$H$12-'Project details'!$D$12)*VLOOKUP(Year_cost_estimate,'Time-series parameters'!$B$11:$C$89,2,FALSE)*$B59,0))</f>
        <v>0</v>
      </c>
      <c r="G59" s="97">
        <f>IF(Option1="No",0,IF($A59&lt;ImplementationYear,0,IF($A59&gt;(ImplementationYear+(Appraisal_Period-1)),0,Health!$D$21*$B59)))</f>
        <v>0</v>
      </c>
      <c r="H59" s="97">
        <f>IF(Option1="No",0,IF($A59&lt;ImplementationYear,0,IF($A59&gt;(ImplementationYear+(Appraisal_Period-1)),0,Health!$D$22*$B59)))</f>
        <v>0</v>
      </c>
      <c r="I59" s="97">
        <f>IF(Option1="No",0,IF($A59&lt;ImplementationYear,0,IF($A59&gt;(ImplementationYear+(Appraisal_Period-1)),0,SUM('Travel time'!$D$22:$D$23)*$B59)))</f>
        <v>0</v>
      </c>
      <c r="J59" s="97">
        <f>IF(Option1="No",0,IF($A59&lt;ImplementationYear,0,IF($A59&gt;(ImplementationYear+(Appraisal_Period-1)),0,SUM('Travel time'!$D$20:$D$21)*$B59)))</f>
        <v>0</v>
      </c>
      <c r="K59" s="97">
        <f>IF(Option1="No",0,IF($A59&lt;ImplementationYear,0,IF($A59&gt;(ImplementationYear+(Appraisal_Period-1)),0,SUM(Quality!$D$22:$D$23)*$B59)))</f>
        <v>0</v>
      </c>
      <c r="L59" s="97">
        <f>IF(Option1="No",0,IF($A59&lt;ImplementationYear,0,IF($A59&gt;(ImplementationYear+(Appraisal_Period-1)),0,SUM(Quality!$D$20:$D$21)*$B59)))</f>
        <v>0</v>
      </c>
      <c r="M59" s="97">
        <f>IF(Option1="No",0,IF($A59&lt;ImplementationYear,0,IF($A59&gt;(ImplementationYear+(Appraisal_Period-1)),0,'Mode change'!$D$36*$B59)))</f>
        <v>0</v>
      </c>
      <c r="N59" s="97">
        <f>IF(Option1="No",0,IF($A59&lt;ImplementationYear,0,IF($A59&gt;(ImplementationYear+(Appraisal_Period-1)),0,'Mode change'!$D$37*$B59)))</f>
        <v>0</v>
      </c>
      <c r="O59" s="97">
        <f>IF(Option1="No",0,IF($A59&lt;ImplementationYear,0,IF($A59&gt;(ImplementationYear+(Appraisal_Period-1)),0,'Road safety'!$D$22*$B59)))</f>
        <v>0</v>
      </c>
      <c r="P59" s="97">
        <f>IF(Option1="No",0,IF($A59&lt;ImplementationYear,0,IF($A59&gt;(ImplementationYear+(Appraisal_Period-1)),0,'Reduction in car usage'!$D$46*$B59)))</f>
        <v>0</v>
      </c>
      <c r="Q59" s="97">
        <f>IF(Option1="No",0,IF($A59&lt;ImplementationYear,0,IF($A59&gt;(ImplementationYear+(Appraisal_Period-1)),0,'Reduction in car usage'!$D$47*$B59)))</f>
        <v>0</v>
      </c>
      <c r="R59" s="97">
        <f>IF(Option1="No",0,IF($A59&lt;ImplementationYear,0,IF($A59&gt;(ImplementationYear+(Appraisal_Period-1)),0,'Reduction in car usage'!$D$48*$B59)))</f>
        <v>0</v>
      </c>
      <c r="S59" s="92"/>
      <c r="T59" s="94">
        <f>IF(Option2="No",0,IF($A59=ImplementationYear,('Project details'!$L$10-'Project details'!$D$10)*VLOOKUP(Year_cost_estimate,'Time-series parameters'!$B$11:$C$89,2,FALSE)*$B59*(1+Contingency),0))</f>
        <v>0</v>
      </c>
      <c r="U59" s="94">
        <f>IF(Option2="No",0,IF($A59&lt;ImplementationYear,0,IF($A59&gt;(ImplementationYear+(Appraisal_Period-1)),0,('Project details'!$L$11-'Project details'!$D$11)*VLOOKUP(Year_cost_estimate,'Time-series parameters'!$B$11:$C$89,2,0))*$B59))</f>
        <v>0</v>
      </c>
      <c r="V59" s="94">
        <f>IF(Option2="No",0,IF($A59=ImplementationYear,('Project details'!$L$12-'Project details'!$D$12)*VLOOKUP(Year_cost_estimate,'Time-series parameters'!$B$11:$C$89,2,FALSE)*$B59,0))</f>
        <v>0</v>
      </c>
      <c r="W59" s="97">
        <f>IF(Option2="No",0,IF($A59&lt;ImplementationYear,0,IF($A59&gt;(ImplementationYear+(Appraisal_Period-1)),0,Health!$E$21*$B59)))</f>
        <v>0</v>
      </c>
      <c r="X59" s="97">
        <f>IF(Option2="No",0,IF($A59&lt;ImplementationYear,0,IF($A59&gt;(ImplementationYear+(Appraisal_Period-1)),0,Health!$E$22*$B59)))</f>
        <v>0</v>
      </c>
      <c r="Y59" s="97">
        <f>IF(Option2="No",0,IF($A59&lt;ImplementationYear,0,IF($A59&gt;(ImplementationYear+(Appraisal_Period-1)),0,SUM('Travel time'!$E$22:$E$23)*$B59)))</f>
        <v>0</v>
      </c>
      <c r="Z59" s="97">
        <f>IF(Option2="No",0,IF($A59&lt;ImplementationYear,0,IF($A59&gt;(ImplementationYear+(Appraisal_Period-1)),0,SUM('Travel time'!$E$20:$E$21)*$B59)))</f>
        <v>0</v>
      </c>
      <c r="AA59" s="97">
        <f>IF(Option2="No",0,IF($A59&lt;ImplementationYear,0,IF($A59&gt;(ImplementationYear+(Appraisal_Period-1)),0,SUM(Quality!$E$22:$E$23)*$B59)))</f>
        <v>0</v>
      </c>
      <c r="AB59" s="97">
        <f>IF(Option2="No",0,IF($A59&lt;ImplementationYear,0,IF($A59&gt;(ImplementationYear+(Appraisal_Period-1)),0,SUM(Quality!$E$20:$E$21)*$B59)))</f>
        <v>0</v>
      </c>
      <c r="AC59" s="97">
        <f>IF(Option2="No",0,IF($A59&lt;ImplementationYear,0,IF($A59&gt;(ImplementationYear+(Appraisal_Period-1)),0,'Mode change'!$E$36*$B59)))</f>
        <v>0</v>
      </c>
      <c r="AD59" s="97">
        <f>IF(Option2="No",0,IF($A59&lt;ImplementationYear,0,IF($A59&gt;(ImplementationYear+(Appraisal_Period-1)),0,'Mode change'!$E$37*$B59)))</f>
        <v>0</v>
      </c>
      <c r="AE59" s="97">
        <f>IF(Option2="No",0,IF($A59&lt;ImplementationYear,0,IF($A59&gt;(ImplementationYear+(Appraisal_Period-1)),0,'Road safety'!$E$22*$B59)))</f>
        <v>0</v>
      </c>
      <c r="AF59" s="97">
        <f>IF(Option2="No",0,IF($A59&lt;ImplementationYear,0,IF($A59&gt;(ImplementationYear+(Appraisal_Period-1)),0,'Reduction in car usage'!$E$46*$B59)))</f>
        <v>0</v>
      </c>
      <c r="AG59" s="97">
        <f>IF(Option2="No",0,IF($A59&lt;ImplementationYear,0,IF($A59&gt;(ImplementationYear+(Appraisal_Period-1)),0,'Reduction in car usage'!$E$47*$B59)))</f>
        <v>0</v>
      </c>
      <c r="AH59" s="97">
        <f>IF(Option2="No",0,IF($A59&lt;ImplementationYear,0,IF($A59&gt;(ImplementationYear+(Appraisal_Period-1)),0,'Reduction in car usage'!$E$48*$B59)))</f>
        <v>0</v>
      </c>
      <c r="AJ59" s="94">
        <f>IF(Option3="No",0,IF($A59=ImplementationYear,('Project details'!$P$10-'Project details'!$D$10)*VLOOKUP(Year_cost_estimate,'Time-series parameters'!$B$11:$C$89,2,FALSE)*$B59*(1+Contingency),0))</f>
        <v>0</v>
      </c>
      <c r="AK59" s="94">
        <f>IF(Option3="No",0,IF($A59&lt;ImplementationYear,0,IF($A59&gt;(ImplementationYear+(Appraisal_Period-1)),0,('Project details'!$P$11-'Project details'!$D$11)*VLOOKUP(Year_cost_estimate,'Time-series parameters'!$B$11:$C$89,2,0))*$B59))</f>
        <v>0</v>
      </c>
      <c r="AL59" s="94">
        <f>IF(Option3="No",0,IF($A59=ImplementationYear,('Project details'!$P$12-'Project details'!$D$12)*VLOOKUP(Year_cost_estimate,'Time-series parameters'!$B$11:$C$89,2,FALSE)*$B59,0))</f>
        <v>0</v>
      </c>
      <c r="AM59" s="97">
        <f>IF(Option3="No",0,IF($A59&lt;ImplementationYear,0,IF($A59&gt;(ImplementationYear+(Appraisal_Period-1)),0,Health!$F$21*$B59)))</f>
        <v>0</v>
      </c>
      <c r="AN59" s="97">
        <f>IF(Option3="No",0,IF($A59&lt;ImplementationYear,0,IF($A59&gt;(ImplementationYear+(Appraisal_Period-1)),0,Health!$F$22*$B59)))</f>
        <v>0</v>
      </c>
      <c r="AO59" s="97">
        <f>IF(Option3="No",0,IF($A59&lt;ImplementationYear,0,IF($A59&gt;(ImplementationYear+(Appraisal_Period-1)),0,SUM('Travel time'!$F$22:$F$23)*$B59)))</f>
        <v>0</v>
      </c>
      <c r="AP59" s="97">
        <f>IF(Option3="No",0,IF($A59&lt;ImplementationYear,0,IF($A59&gt;(ImplementationYear+(Appraisal_Period-1)),0,SUM('Travel time'!$F$20:$F$21)*$B59)))</f>
        <v>0</v>
      </c>
      <c r="AQ59" s="97">
        <f>IF(Option3="No",0,IF($A59&lt;ImplementationYear,0,IF($A59&gt;(ImplementationYear+(Appraisal_Period-1)),0,SUM(Quality!$F$22:$F$23)*$B59)))</f>
        <v>0</v>
      </c>
      <c r="AR59" s="97">
        <f>IF(Option3="No",0,IF($A59&lt;ImplementationYear,0,IF($A59&gt;(ImplementationYear+(Appraisal_Period-1)),0,SUM(Quality!$F$20:$F$21)*$B59)))</f>
        <v>0</v>
      </c>
      <c r="AS59" s="97">
        <f>IF(Option3="No",0,IF($A59&lt;ImplementationYear,0,IF($A59&gt;(ImplementationYear+(Appraisal_Period-1)),0,'Mode change'!$F$36*$B59)))</f>
        <v>0</v>
      </c>
      <c r="AT59" s="97">
        <f>IF(Option3="No",0,IF($A59&lt;ImplementationYear,0,IF($A59&gt;(ImplementationYear+(Appraisal_Period-1)),0,'Mode change'!$F$37*$B59)))</f>
        <v>0</v>
      </c>
      <c r="AU59" s="97">
        <f>IF(Option3="No",0,IF($A59&lt;ImplementationYear,0,IF($A59&gt;(ImplementationYear+(Appraisal_Period-1)),0,'Road safety'!$F$22*$B59)))</f>
        <v>0</v>
      </c>
      <c r="AV59" s="97">
        <f>IF(Option3="No",0,IF($A59&lt;ImplementationYear,0,IF($A59&gt;(ImplementationYear+(Appraisal_Period-1)),0,'Reduction in car usage'!$F$46*$B59)))</f>
        <v>0</v>
      </c>
      <c r="AW59" s="97">
        <f>IF(Option3="No",0,IF($A59&lt;ImplementationYear,0,IF($A59&gt;(ImplementationYear+(Appraisal_Period-1)),0,'Reduction in car usage'!$F$47*$B59)))</f>
        <v>0</v>
      </c>
      <c r="AX59" s="97">
        <f>IF(Option3="No",0,IF($A59&lt;ImplementationYear,0,IF($A59&gt;(ImplementationYear+(Appraisal_Period-1)),0,'Reduction in car usage'!$F$48*$B59)))</f>
        <v>0</v>
      </c>
    </row>
    <row r="60" spans="1:50">
      <c r="A60" s="335">
        <v>2055</v>
      </c>
      <c r="B60" s="62">
        <f>VLOOKUP($A60,'Time-series parameters'!$E$11:$H$89,4,FALSE)</f>
        <v>0.16593356876394993</v>
      </c>
      <c r="C60" s="89"/>
      <c r="D60" s="94">
        <f>IF(Option1="No",0,IF($A60=ImplementationYear,('Project details'!$H$10-'Project details'!$D$10)*VLOOKUP(Year_cost_estimate,'Time-series parameters'!$B$11:$C$89,2,FALSE)*$B60*(1+Contingency),0))</f>
        <v>0</v>
      </c>
      <c r="E60" s="94">
        <f>IF(Option1="No",0,IF($A60&lt;ImplementationYear,0,IF($A60&gt;(ImplementationYear+(Appraisal_Period-1)),0,('Project details'!$H$11-'Project details'!$D$11)*VLOOKUP(Year_cost_estimate,'Time-series parameters'!$B$11:$C$89,2,0))*$B60))</f>
        <v>0</v>
      </c>
      <c r="F60" s="94">
        <f>IF(Option1="No",0,IF($A60=ImplementationYear,('Project details'!$H$12-'Project details'!$D$12)*VLOOKUP(Year_cost_estimate,'Time-series parameters'!$B$11:$C$89,2,FALSE)*$B60,0))</f>
        <v>0</v>
      </c>
      <c r="G60" s="97">
        <f>IF(Option1="No",0,IF($A60&lt;ImplementationYear,0,IF($A60&gt;(ImplementationYear+(Appraisal_Period-1)),0,Health!$D$21*$B60)))</f>
        <v>0</v>
      </c>
      <c r="H60" s="97">
        <f>IF(Option1="No",0,IF($A60&lt;ImplementationYear,0,IF($A60&gt;(ImplementationYear+(Appraisal_Period-1)),0,Health!$D$22*$B60)))</f>
        <v>0</v>
      </c>
      <c r="I60" s="97">
        <f>IF(Option1="No",0,IF($A60&lt;ImplementationYear,0,IF($A60&gt;(ImplementationYear+(Appraisal_Period-1)),0,SUM('Travel time'!$D$22:$D$23)*$B60)))</f>
        <v>0</v>
      </c>
      <c r="J60" s="97">
        <f>IF(Option1="No",0,IF($A60&lt;ImplementationYear,0,IF($A60&gt;(ImplementationYear+(Appraisal_Period-1)),0,SUM('Travel time'!$D$20:$D$21)*$B60)))</f>
        <v>0</v>
      </c>
      <c r="K60" s="97">
        <f>IF(Option1="No",0,IF($A60&lt;ImplementationYear,0,IF($A60&gt;(ImplementationYear+(Appraisal_Period-1)),0,SUM(Quality!$D$22:$D$23)*$B60)))</f>
        <v>0</v>
      </c>
      <c r="L60" s="97">
        <f>IF(Option1="No",0,IF($A60&lt;ImplementationYear,0,IF($A60&gt;(ImplementationYear+(Appraisal_Period-1)),0,SUM(Quality!$D$20:$D$21)*$B60)))</f>
        <v>0</v>
      </c>
      <c r="M60" s="97">
        <f>IF(Option1="No",0,IF($A60&lt;ImplementationYear,0,IF($A60&gt;(ImplementationYear+(Appraisal_Period-1)),0,'Mode change'!$D$36*$B60)))</f>
        <v>0</v>
      </c>
      <c r="N60" s="97">
        <f>IF(Option1="No",0,IF($A60&lt;ImplementationYear,0,IF($A60&gt;(ImplementationYear+(Appraisal_Period-1)),0,'Mode change'!$D$37*$B60)))</f>
        <v>0</v>
      </c>
      <c r="O60" s="97">
        <f>IF(Option1="No",0,IF($A60&lt;ImplementationYear,0,IF($A60&gt;(ImplementationYear+(Appraisal_Period-1)),0,'Road safety'!$D$22*$B60)))</f>
        <v>0</v>
      </c>
      <c r="P60" s="97">
        <f>IF(Option1="No",0,IF($A60&lt;ImplementationYear,0,IF($A60&gt;(ImplementationYear+(Appraisal_Period-1)),0,'Reduction in car usage'!$D$46*$B60)))</f>
        <v>0</v>
      </c>
      <c r="Q60" s="97">
        <f>IF(Option1="No",0,IF($A60&lt;ImplementationYear,0,IF($A60&gt;(ImplementationYear+(Appraisal_Period-1)),0,'Reduction in car usage'!$D$47*$B60)))</f>
        <v>0</v>
      </c>
      <c r="R60" s="97">
        <f>IF(Option1="No",0,IF($A60&lt;ImplementationYear,0,IF($A60&gt;(ImplementationYear+(Appraisal_Period-1)),0,'Reduction in car usage'!$D$48*$B60)))</f>
        <v>0</v>
      </c>
      <c r="S60" s="92"/>
      <c r="T60" s="94">
        <f>IF(Option2="No",0,IF($A60=ImplementationYear,('Project details'!$L$10-'Project details'!$D$10)*VLOOKUP(Year_cost_estimate,'Time-series parameters'!$B$11:$C$89,2,FALSE)*$B60*(1+Contingency),0))</f>
        <v>0</v>
      </c>
      <c r="U60" s="94">
        <f>IF(Option2="No",0,IF($A60&lt;ImplementationYear,0,IF($A60&gt;(ImplementationYear+(Appraisal_Period-1)),0,('Project details'!$L$11-'Project details'!$D$11)*VLOOKUP(Year_cost_estimate,'Time-series parameters'!$B$11:$C$89,2,0))*$B60))</f>
        <v>0</v>
      </c>
      <c r="V60" s="94">
        <f>IF(Option2="No",0,IF($A60=ImplementationYear,('Project details'!$L$12-'Project details'!$D$12)*VLOOKUP(Year_cost_estimate,'Time-series parameters'!$B$11:$C$89,2,FALSE)*$B60,0))</f>
        <v>0</v>
      </c>
      <c r="W60" s="97">
        <f>IF(Option2="No",0,IF($A60&lt;ImplementationYear,0,IF($A60&gt;(ImplementationYear+(Appraisal_Period-1)),0,Health!$E$21*$B60)))</f>
        <v>0</v>
      </c>
      <c r="X60" s="97">
        <f>IF(Option2="No",0,IF($A60&lt;ImplementationYear,0,IF($A60&gt;(ImplementationYear+(Appraisal_Period-1)),0,Health!$E$22*$B60)))</f>
        <v>0</v>
      </c>
      <c r="Y60" s="97">
        <f>IF(Option2="No",0,IF($A60&lt;ImplementationYear,0,IF($A60&gt;(ImplementationYear+(Appraisal_Period-1)),0,SUM('Travel time'!$E$22:$E$23)*$B60)))</f>
        <v>0</v>
      </c>
      <c r="Z60" s="97">
        <f>IF(Option2="No",0,IF($A60&lt;ImplementationYear,0,IF($A60&gt;(ImplementationYear+(Appraisal_Period-1)),0,SUM('Travel time'!$E$20:$E$21)*$B60)))</f>
        <v>0</v>
      </c>
      <c r="AA60" s="97">
        <f>IF(Option2="No",0,IF($A60&lt;ImplementationYear,0,IF($A60&gt;(ImplementationYear+(Appraisal_Period-1)),0,SUM(Quality!$E$22:$E$23)*$B60)))</f>
        <v>0</v>
      </c>
      <c r="AB60" s="97">
        <f>IF(Option2="No",0,IF($A60&lt;ImplementationYear,0,IF($A60&gt;(ImplementationYear+(Appraisal_Period-1)),0,SUM(Quality!$E$20:$E$21)*$B60)))</f>
        <v>0</v>
      </c>
      <c r="AC60" s="97">
        <f>IF(Option2="No",0,IF($A60&lt;ImplementationYear,0,IF($A60&gt;(ImplementationYear+(Appraisal_Period-1)),0,'Mode change'!$E$36*$B60)))</f>
        <v>0</v>
      </c>
      <c r="AD60" s="97">
        <f>IF(Option2="No",0,IF($A60&lt;ImplementationYear,0,IF($A60&gt;(ImplementationYear+(Appraisal_Period-1)),0,'Mode change'!$E$37*$B60)))</f>
        <v>0</v>
      </c>
      <c r="AE60" s="97">
        <f>IF(Option2="No",0,IF($A60&lt;ImplementationYear,0,IF($A60&gt;(ImplementationYear+(Appraisal_Period-1)),0,'Road safety'!$E$22*$B60)))</f>
        <v>0</v>
      </c>
      <c r="AF60" s="97">
        <f>IF(Option2="No",0,IF($A60&lt;ImplementationYear,0,IF($A60&gt;(ImplementationYear+(Appraisal_Period-1)),0,'Reduction in car usage'!$E$46*$B60)))</f>
        <v>0</v>
      </c>
      <c r="AG60" s="97">
        <f>IF(Option2="No",0,IF($A60&lt;ImplementationYear,0,IF($A60&gt;(ImplementationYear+(Appraisal_Period-1)),0,'Reduction in car usage'!$E$47*$B60)))</f>
        <v>0</v>
      </c>
      <c r="AH60" s="97">
        <f>IF(Option2="No",0,IF($A60&lt;ImplementationYear,0,IF($A60&gt;(ImplementationYear+(Appraisal_Period-1)),0,'Reduction in car usage'!$E$48*$B60)))</f>
        <v>0</v>
      </c>
      <c r="AJ60" s="94">
        <f>IF(Option3="No",0,IF($A60=ImplementationYear,('Project details'!$P$10-'Project details'!$D$10)*VLOOKUP(Year_cost_estimate,'Time-series parameters'!$B$11:$C$89,2,FALSE)*$B60*(1+Contingency),0))</f>
        <v>0</v>
      </c>
      <c r="AK60" s="94">
        <f>IF(Option3="No",0,IF($A60&lt;ImplementationYear,0,IF($A60&gt;(ImplementationYear+(Appraisal_Period-1)),0,('Project details'!$P$11-'Project details'!$D$11)*VLOOKUP(Year_cost_estimate,'Time-series parameters'!$B$11:$C$89,2,0))*$B60))</f>
        <v>0</v>
      </c>
      <c r="AL60" s="94">
        <f>IF(Option3="No",0,IF($A60=ImplementationYear,('Project details'!$P$12-'Project details'!$D$12)*VLOOKUP(Year_cost_estimate,'Time-series parameters'!$B$11:$C$89,2,FALSE)*$B60,0))</f>
        <v>0</v>
      </c>
      <c r="AM60" s="97">
        <f>IF(Option3="No",0,IF($A60&lt;ImplementationYear,0,IF($A60&gt;(ImplementationYear+(Appraisal_Period-1)),0,Health!$F$21*$B60)))</f>
        <v>0</v>
      </c>
      <c r="AN60" s="97">
        <f>IF(Option3="No",0,IF($A60&lt;ImplementationYear,0,IF($A60&gt;(ImplementationYear+(Appraisal_Period-1)),0,Health!$F$22*$B60)))</f>
        <v>0</v>
      </c>
      <c r="AO60" s="97">
        <f>IF(Option3="No",0,IF($A60&lt;ImplementationYear,0,IF($A60&gt;(ImplementationYear+(Appraisal_Period-1)),0,SUM('Travel time'!$F$22:$F$23)*$B60)))</f>
        <v>0</v>
      </c>
      <c r="AP60" s="97">
        <f>IF(Option3="No",0,IF($A60&lt;ImplementationYear,0,IF($A60&gt;(ImplementationYear+(Appraisal_Period-1)),0,SUM('Travel time'!$F$20:$F$21)*$B60)))</f>
        <v>0</v>
      </c>
      <c r="AQ60" s="97">
        <f>IF(Option3="No",0,IF($A60&lt;ImplementationYear,0,IF($A60&gt;(ImplementationYear+(Appraisal_Period-1)),0,SUM(Quality!$F$22:$F$23)*$B60)))</f>
        <v>0</v>
      </c>
      <c r="AR60" s="97">
        <f>IF(Option3="No",0,IF($A60&lt;ImplementationYear,0,IF($A60&gt;(ImplementationYear+(Appraisal_Period-1)),0,SUM(Quality!$F$20:$F$21)*$B60)))</f>
        <v>0</v>
      </c>
      <c r="AS60" s="97">
        <f>IF(Option3="No",0,IF($A60&lt;ImplementationYear,0,IF($A60&gt;(ImplementationYear+(Appraisal_Period-1)),0,'Mode change'!$F$36*$B60)))</f>
        <v>0</v>
      </c>
      <c r="AT60" s="97">
        <f>IF(Option3="No",0,IF($A60&lt;ImplementationYear,0,IF($A60&gt;(ImplementationYear+(Appraisal_Period-1)),0,'Mode change'!$F$37*$B60)))</f>
        <v>0</v>
      </c>
      <c r="AU60" s="97">
        <f>IF(Option3="No",0,IF($A60&lt;ImplementationYear,0,IF($A60&gt;(ImplementationYear+(Appraisal_Period-1)),0,'Road safety'!$F$22*$B60)))</f>
        <v>0</v>
      </c>
      <c r="AV60" s="97">
        <f>IF(Option3="No",0,IF($A60&lt;ImplementationYear,0,IF($A60&gt;(ImplementationYear+(Appraisal_Period-1)),0,'Reduction in car usage'!$F$46*$B60)))</f>
        <v>0</v>
      </c>
      <c r="AW60" s="97">
        <f>IF(Option3="No",0,IF($A60&lt;ImplementationYear,0,IF($A60&gt;(ImplementationYear+(Appraisal_Period-1)),0,'Reduction in car usage'!$F$47*$B60)))</f>
        <v>0</v>
      </c>
      <c r="AX60" s="97">
        <f>IF(Option3="No",0,IF($A60&lt;ImplementationYear,0,IF($A60&gt;(ImplementationYear+(Appraisal_Period-1)),0,'Reduction in car usage'!$F$48*$B60)))</f>
        <v>0</v>
      </c>
    </row>
    <row r="61" spans="1:50">
      <c r="A61" s="335">
        <v>2056</v>
      </c>
      <c r="B61" s="62">
        <f>VLOOKUP($A61,'Time-series parameters'!$E$11:$H$89,4,FALSE)</f>
        <v>0.15929622601339194</v>
      </c>
      <c r="C61" s="89"/>
      <c r="D61" s="94">
        <f>IF(Option1="No",0,IF($A61=ImplementationYear,('Project details'!$H$10-'Project details'!$D$10)*VLOOKUP(Year_cost_estimate,'Time-series parameters'!$B$11:$C$89,2,FALSE)*$B61*(1+Contingency),0))</f>
        <v>0</v>
      </c>
      <c r="E61" s="94">
        <f>IF(Option1="No",0,IF($A61&lt;ImplementationYear,0,IF($A61&gt;(ImplementationYear+(Appraisal_Period-1)),0,('Project details'!$H$11-'Project details'!$D$11)*VLOOKUP(Year_cost_estimate,'Time-series parameters'!$B$11:$C$89,2,0))*$B61))</f>
        <v>0</v>
      </c>
      <c r="F61" s="94">
        <f>IF(Option1="No",0,IF($A61=ImplementationYear,('Project details'!$H$12-'Project details'!$D$12)*VLOOKUP(Year_cost_estimate,'Time-series parameters'!$B$11:$C$89,2,FALSE)*$B61,0))</f>
        <v>0</v>
      </c>
      <c r="G61" s="97">
        <f>IF(Option1="No",0,IF($A61&lt;ImplementationYear,0,IF($A61&gt;(ImplementationYear+(Appraisal_Period-1)),0,Health!$D$21*$B61)))</f>
        <v>0</v>
      </c>
      <c r="H61" s="97">
        <f>IF(Option1="No",0,IF($A61&lt;ImplementationYear,0,IF($A61&gt;(ImplementationYear+(Appraisal_Period-1)),0,Health!$D$22*$B61)))</f>
        <v>0</v>
      </c>
      <c r="I61" s="97">
        <f>IF(Option1="No",0,IF($A61&lt;ImplementationYear,0,IF($A61&gt;(ImplementationYear+(Appraisal_Period-1)),0,SUM('Travel time'!$D$22:$D$23)*$B61)))</f>
        <v>0</v>
      </c>
      <c r="J61" s="97">
        <f>IF(Option1="No",0,IF($A61&lt;ImplementationYear,0,IF($A61&gt;(ImplementationYear+(Appraisal_Period-1)),0,SUM('Travel time'!$D$20:$D$21)*$B61)))</f>
        <v>0</v>
      </c>
      <c r="K61" s="97">
        <f>IF(Option1="No",0,IF($A61&lt;ImplementationYear,0,IF($A61&gt;(ImplementationYear+(Appraisal_Period-1)),0,SUM(Quality!$D$22:$D$23)*$B61)))</f>
        <v>0</v>
      </c>
      <c r="L61" s="97">
        <f>IF(Option1="No",0,IF($A61&lt;ImplementationYear,0,IF($A61&gt;(ImplementationYear+(Appraisal_Period-1)),0,SUM(Quality!$D$20:$D$21)*$B61)))</f>
        <v>0</v>
      </c>
      <c r="M61" s="97">
        <f>IF(Option1="No",0,IF($A61&lt;ImplementationYear,0,IF($A61&gt;(ImplementationYear+(Appraisal_Period-1)),0,'Mode change'!$D$36*$B61)))</f>
        <v>0</v>
      </c>
      <c r="N61" s="97">
        <f>IF(Option1="No",0,IF($A61&lt;ImplementationYear,0,IF($A61&gt;(ImplementationYear+(Appraisal_Period-1)),0,'Mode change'!$D$37*$B61)))</f>
        <v>0</v>
      </c>
      <c r="O61" s="97">
        <f>IF(Option1="No",0,IF($A61&lt;ImplementationYear,0,IF($A61&gt;(ImplementationYear+(Appraisal_Period-1)),0,'Road safety'!$D$22*$B61)))</f>
        <v>0</v>
      </c>
      <c r="P61" s="97">
        <f>IF(Option1="No",0,IF($A61&lt;ImplementationYear,0,IF($A61&gt;(ImplementationYear+(Appraisal_Period-1)),0,'Reduction in car usage'!$D$46*$B61)))</f>
        <v>0</v>
      </c>
      <c r="Q61" s="97">
        <f>IF(Option1="No",0,IF($A61&lt;ImplementationYear,0,IF($A61&gt;(ImplementationYear+(Appraisal_Period-1)),0,'Reduction in car usage'!$D$47*$B61)))</f>
        <v>0</v>
      </c>
      <c r="R61" s="97">
        <f>IF(Option1="No",0,IF($A61&lt;ImplementationYear,0,IF($A61&gt;(ImplementationYear+(Appraisal_Period-1)),0,'Reduction in car usage'!$D$48*$B61)))</f>
        <v>0</v>
      </c>
      <c r="S61" s="92"/>
      <c r="T61" s="94">
        <f>IF(Option2="No",0,IF($A61=ImplementationYear,('Project details'!$L$10-'Project details'!$D$10)*VLOOKUP(Year_cost_estimate,'Time-series parameters'!$B$11:$C$89,2,FALSE)*$B61*(1+Contingency),0))</f>
        <v>0</v>
      </c>
      <c r="U61" s="94">
        <f>IF(Option2="No",0,IF($A61&lt;ImplementationYear,0,IF($A61&gt;(ImplementationYear+(Appraisal_Period-1)),0,('Project details'!$L$11-'Project details'!$D$11)*VLOOKUP(Year_cost_estimate,'Time-series parameters'!$B$11:$C$89,2,0))*$B61))</f>
        <v>0</v>
      </c>
      <c r="V61" s="94">
        <f>IF(Option2="No",0,IF($A61=ImplementationYear,('Project details'!$L$12-'Project details'!$D$12)*VLOOKUP(Year_cost_estimate,'Time-series parameters'!$B$11:$C$89,2,FALSE)*$B61,0))</f>
        <v>0</v>
      </c>
      <c r="W61" s="97">
        <f>IF(Option2="No",0,IF($A61&lt;ImplementationYear,0,IF($A61&gt;(ImplementationYear+(Appraisal_Period-1)),0,Health!$E$21*$B61)))</f>
        <v>0</v>
      </c>
      <c r="X61" s="97">
        <f>IF(Option2="No",0,IF($A61&lt;ImplementationYear,0,IF($A61&gt;(ImplementationYear+(Appraisal_Period-1)),0,Health!$E$22*$B61)))</f>
        <v>0</v>
      </c>
      <c r="Y61" s="97">
        <f>IF(Option2="No",0,IF($A61&lt;ImplementationYear,0,IF($A61&gt;(ImplementationYear+(Appraisal_Period-1)),0,SUM('Travel time'!$E$22:$E$23)*$B61)))</f>
        <v>0</v>
      </c>
      <c r="Z61" s="97">
        <f>IF(Option2="No",0,IF($A61&lt;ImplementationYear,0,IF($A61&gt;(ImplementationYear+(Appraisal_Period-1)),0,SUM('Travel time'!$E$20:$E$21)*$B61)))</f>
        <v>0</v>
      </c>
      <c r="AA61" s="97">
        <f>IF(Option2="No",0,IF($A61&lt;ImplementationYear,0,IF($A61&gt;(ImplementationYear+(Appraisal_Period-1)),0,SUM(Quality!$E$22:$E$23)*$B61)))</f>
        <v>0</v>
      </c>
      <c r="AB61" s="97">
        <f>IF(Option2="No",0,IF($A61&lt;ImplementationYear,0,IF($A61&gt;(ImplementationYear+(Appraisal_Period-1)),0,SUM(Quality!$E$20:$E$21)*$B61)))</f>
        <v>0</v>
      </c>
      <c r="AC61" s="97">
        <f>IF(Option2="No",0,IF($A61&lt;ImplementationYear,0,IF($A61&gt;(ImplementationYear+(Appraisal_Period-1)),0,'Mode change'!$E$36*$B61)))</f>
        <v>0</v>
      </c>
      <c r="AD61" s="97">
        <f>IF(Option2="No",0,IF($A61&lt;ImplementationYear,0,IF($A61&gt;(ImplementationYear+(Appraisal_Period-1)),0,'Mode change'!$E$37*$B61)))</f>
        <v>0</v>
      </c>
      <c r="AE61" s="97">
        <f>IF(Option2="No",0,IF($A61&lt;ImplementationYear,0,IF($A61&gt;(ImplementationYear+(Appraisal_Period-1)),0,'Road safety'!$E$22*$B61)))</f>
        <v>0</v>
      </c>
      <c r="AF61" s="97">
        <f>IF(Option2="No",0,IF($A61&lt;ImplementationYear,0,IF($A61&gt;(ImplementationYear+(Appraisal_Period-1)),0,'Reduction in car usage'!$E$46*$B61)))</f>
        <v>0</v>
      </c>
      <c r="AG61" s="97">
        <f>IF(Option2="No",0,IF($A61&lt;ImplementationYear,0,IF($A61&gt;(ImplementationYear+(Appraisal_Period-1)),0,'Reduction in car usage'!$E$47*$B61)))</f>
        <v>0</v>
      </c>
      <c r="AH61" s="97">
        <f>IF(Option2="No",0,IF($A61&lt;ImplementationYear,0,IF($A61&gt;(ImplementationYear+(Appraisal_Period-1)),0,'Reduction in car usage'!$E$48*$B61)))</f>
        <v>0</v>
      </c>
      <c r="AJ61" s="94">
        <f>IF(Option3="No",0,IF($A61=ImplementationYear,('Project details'!$P$10-'Project details'!$D$10)*VLOOKUP(Year_cost_estimate,'Time-series parameters'!$B$11:$C$89,2,FALSE)*$B61*(1+Contingency),0))</f>
        <v>0</v>
      </c>
      <c r="AK61" s="94">
        <f>IF(Option3="No",0,IF($A61&lt;ImplementationYear,0,IF($A61&gt;(ImplementationYear+(Appraisal_Period-1)),0,('Project details'!$P$11-'Project details'!$D$11)*VLOOKUP(Year_cost_estimate,'Time-series parameters'!$B$11:$C$89,2,0))*$B61))</f>
        <v>0</v>
      </c>
      <c r="AL61" s="94">
        <f>IF(Option3="No",0,IF($A61=ImplementationYear,('Project details'!$P$12-'Project details'!$D$12)*VLOOKUP(Year_cost_estimate,'Time-series parameters'!$B$11:$C$89,2,FALSE)*$B61,0))</f>
        <v>0</v>
      </c>
      <c r="AM61" s="97">
        <f>IF(Option3="No",0,IF($A61&lt;ImplementationYear,0,IF($A61&gt;(ImplementationYear+(Appraisal_Period-1)),0,Health!$F$21*$B61)))</f>
        <v>0</v>
      </c>
      <c r="AN61" s="97">
        <f>IF(Option3="No",0,IF($A61&lt;ImplementationYear,0,IF($A61&gt;(ImplementationYear+(Appraisal_Period-1)),0,Health!$F$22*$B61)))</f>
        <v>0</v>
      </c>
      <c r="AO61" s="97">
        <f>IF(Option3="No",0,IF($A61&lt;ImplementationYear,0,IF($A61&gt;(ImplementationYear+(Appraisal_Period-1)),0,SUM('Travel time'!$F$22:$F$23)*$B61)))</f>
        <v>0</v>
      </c>
      <c r="AP61" s="97">
        <f>IF(Option3="No",0,IF($A61&lt;ImplementationYear,0,IF($A61&gt;(ImplementationYear+(Appraisal_Period-1)),0,SUM('Travel time'!$F$20:$F$21)*$B61)))</f>
        <v>0</v>
      </c>
      <c r="AQ61" s="97">
        <f>IF(Option3="No",0,IF($A61&lt;ImplementationYear,0,IF($A61&gt;(ImplementationYear+(Appraisal_Period-1)),0,SUM(Quality!$F$22:$F$23)*$B61)))</f>
        <v>0</v>
      </c>
      <c r="AR61" s="97">
        <f>IF(Option3="No",0,IF($A61&lt;ImplementationYear,0,IF($A61&gt;(ImplementationYear+(Appraisal_Period-1)),0,SUM(Quality!$F$20:$F$21)*$B61)))</f>
        <v>0</v>
      </c>
      <c r="AS61" s="97">
        <f>IF(Option3="No",0,IF($A61&lt;ImplementationYear,0,IF($A61&gt;(ImplementationYear+(Appraisal_Period-1)),0,'Mode change'!$F$36*$B61)))</f>
        <v>0</v>
      </c>
      <c r="AT61" s="97">
        <f>IF(Option3="No",0,IF($A61&lt;ImplementationYear,0,IF($A61&gt;(ImplementationYear+(Appraisal_Period-1)),0,'Mode change'!$F$37*$B61)))</f>
        <v>0</v>
      </c>
      <c r="AU61" s="97">
        <f>IF(Option3="No",0,IF($A61&lt;ImplementationYear,0,IF($A61&gt;(ImplementationYear+(Appraisal_Period-1)),0,'Road safety'!$F$22*$B61)))</f>
        <v>0</v>
      </c>
      <c r="AV61" s="97">
        <f>IF(Option3="No",0,IF($A61&lt;ImplementationYear,0,IF($A61&gt;(ImplementationYear+(Appraisal_Period-1)),0,'Reduction in car usage'!$F$46*$B61)))</f>
        <v>0</v>
      </c>
      <c r="AW61" s="97">
        <f>IF(Option3="No",0,IF($A61&lt;ImplementationYear,0,IF($A61&gt;(ImplementationYear+(Appraisal_Period-1)),0,'Reduction in car usage'!$F$47*$B61)))</f>
        <v>0</v>
      </c>
      <c r="AX61" s="97">
        <f>IF(Option3="No",0,IF($A61&lt;ImplementationYear,0,IF($A61&gt;(ImplementationYear+(Appraisal_Period-1)),0,'Reduction in car usage'!$F$48*$B61)))</f>
        <v>0</v>
      </c>
    </row>
    <row r="62" spans="1:50">
      <c r="A62" s="335">
        <v>2057</v>
      </c>
      <c r="B62" s="62">
        <f>VLOOKUP($A62,'Time-series parameters'!$E$11:$H$89,4,FALSE)</f>
        <v>0.15292437697285627</v>
      </c>
      <c r="C62" s="89"/>
      <c r="D62" s="94">
        <f>IF(Option1="No",0,IF($A62=ImplementationYear,('Project details'!$H$10-'Project details'!$D$10)*VLOOKUP(Year_cost_estimate,'Time-series parameters'!$B$11:$C$89,2,FALSE)*$B62*(1+Contingency),0))</f>
        <v>0</v>
      </c>
      <c r="E62" s="94">
        <f>IF(Option1="No",0,IF($A62&lt;ImplementationYear,0,IF($A62&gt;(ImplementationYear+(Appraisal_Period-1)),0,('Project details'!$H$11-'Project details'!$D$11)*VLOOKUP(Year_cost_estimate,'Time-series parameters'!$B$11:$C$89,2,0))*$B62))</f>
        <v>0</v>
      </c>
      <c r="F62" s="94">
        <f>IF(Option1="No",0,IF($A62=ImplementationYear,('Project details'!$H$12-'Project details'!$D$12)*VLOOKUP(Year_cost_estimate,'Time-series parameters'!$B$11:$C$89,2,FALSE)*$B62,0))</f>
        <v>0</v>
      </c>
      <c r="G62" s="97">
        <f>IF(Option1="No",0,IF($A62&lt;ImplementationYear,0,IF($A62&gt;(ImplementationYear+(Appraisal_Period-1)),0,Health!$D$21*$B62)))</f>
        <v>0</v>
      </c>
      <c r="H62" s="97">
        <f>IF(Option1="No",0,IF($A62&lt;ImplementationYear,0,IF($A62&gt;(ImplementationYear+(Appraisal_Period-1)),0,Health!$D$22*$B62)))</f>
        <v>0</v>
      </c>
      <c r="I62" s="97">
        <f>IF(Option1="No",0,IF($A62&lt;ImplementationYear,0,IF($A62&gt;(ImplementationYear+(Appraisal_Period-1)),0,SUM('Travel time'!$D$22:$D$23)*$B62)))</f>
        <v>0</v>
      </c>
      <c r="J62" s="97">
        <f>IF(Option1="No",0,IF($A62&lt;ImplementationYear,0,IF($A62&gt;(ImplementationYear+(Appraisal_Period-1)),0,SUM('Travel time'!$D$20:$D$21)*$B62)))</f>
        <v>0</v>
      </c>
      <c r="K62" s="97">
        <f>IF(Option1="No",0,IF($A62&lt;ImplementationYear,0,IF($A62&gt;(ImplementationYear+(Appraisal_Period-1)),0,SUM(Quality!$D$22:$D$23)*$B62)))</f>
        <v>0</v>
      </c>
      <c r="L62" s="97">
        <f>IF(Option1="No",0,IF($A62&lt;ImplementationYear,0,IF($A62&gt;(ImplementationYear+(Appraisal_Period-1)),0,SUM(Quality!$D$20:$D$21)*$B62)))</f>
        <v>0</v>
      </c>
      <c r="M62" s="97">
        <f>IF(Option1="No",0,IF($A62&lt;ImplementationYear,0,IF($A62&gt;(ImplementationYear+(Appraisal_Period-1)),0,'Mode change'!$D$36*$B62)))</f>
        <v>0</v>
      </c>
      <c r="N62" s="97">
        <f>IF(Option1="No",0,IF($A62&lt;ImplementationYear,0,IF($A62&gt;(ImplementationYear+(Appraisal_Period-1)),0,'Mode change'!$D$37*$B62)))</f>
        <v>0</v>
      </c>
      <c r="O62" s="97">
        <f>IF(Option1="No",0,IF($A62&lt;ImplementationYear,0,IF($A62&gt;(ImplementationYear+(Appraisal_Period-1)),0,'Road safety'!$D$22*$B62)))</f>
        <v>0</v>
      </c>
      <c r="P62" s="97">
        <f>IF(Option1="No",0,IF($A62&lt;ImplementationYear,0,IF($A62&gt;(ImplementationYear+(Appraisal_Period-1)),0,'Reduction in car usage'!$D$46*$B62)))</f>
        <v>0</v>
      </c>
      <c r="Q62" s="97">
        <f>IF(Option1="No",0,IF($A62&lt;ImplementationYear,0,IF($A62&gt;(ImplementationYear+(Appraisal_Period-1)),0,'Reduction in car usage'!$D$47*$B62)))</f>
        <v>0</v>
      </c>
      <c r="R62" s="97">
        <f>IF(Option1="No",0,IF($A62&lt;ImplementationYear,0,IF($A62&gt;(ImplementationYear+(Appraisal_Period-1)),0,'Reduction in car usage'!$D$48*$B62)))</f>
        <v>0</v>
      </c>
      <c r="S62" s="92"/>
      <c r="T62" s="94">
        <f>IF(Option2="No",0,IF($A62=ImplementationYear,('Project details'!$L$10-'Project details'!$D$10)*VLOOKUP(Year_cost_estimate,'Time-series parameters'!$B$11:$C$89,2,FALSE)*$B62*(1+Contingency),0))</f>
        <v>0</v>
      </c>
      <c r="U62" s="94">
        <f>IF(Option2="No",0,IF($A62&lt;ImplementationYear,0,IF($A62&gt;(ImplementationYear+(Appraisal_Period-1)),0,('Project details'!$L$11-'Project details'!$D$11)*VLOOKUP(Year_cost_estimate,'Time-series parameters'!$B$11:$C$89,2,0))*$B62))</f>
        <v>0</v>
      </c>
      <c r="V62" s="94">
        <f>IF(Option2="No",0,IF($A62=ImplementationYear,('Project details'!$L$12-'Project details'!$D$12)*VLOOKUP(Year_cost_estimate,'Time-series parameters'!$B$11:$C$89,2,FALSE)*$B62,0))</f>
        <v>0</v>
      </c>
      <c r="W62" s="97">
        <f>IF(Option2="No",0,IF($A62&lt;ImplementationYear,0,IF($A62&gt;(ImplementationYear+(Appraisal_Period-1)),0,Health!$E$21*$B62)))</f>
        <v>0</v>
      </c>
      <c r="X62" s="97">
        <f>IF(Option2="No",0,IF($A62&lt;ImplementationYear,0,IF($A62&gt;(ImplementationYear+(Appraisal_Period-1)),0,Health!$E$22*$B62)))</f>
        <v>0</v>
      </c>
      <c r="Y62" s="97">
        <f>IF(Option2="No",0,IF($A62&lt;ImplementationYear,0,IF($A62&gt;(ImplementationYear+(Appraisal_Period-1)),0,SUM('Travel time'!$E$22:$E$23)*$B62)))</f>
        <v>0</v>
      </c>
      <c r="Z62" s="97">
        <f>IF(Option2="No",0,IF($A62&lt;ImplementationYear,0,IF($A62&gt;(ImplementationYear+(Appraisal_Period-1)),0,SUM('Travel time'!$E$20:$E$21)*$B62)))</f>
        <v>0</v>
      </c>
      <c r="AA62" s="97">
        <f>IF(Option2="No",0,IF($A62&lt;ImplementationYear,0,IF($A62&gt;(ImplementationYear+(Appraisal_Period-1)),0,SUM(Quality!$E$22:$E$23)*$B62)))</f>
        <v>0</v>
      </c>
      <c r="AB62" s="97">
        <f>IF(Option2="No",0,IF($A62&lt;ImplementationYear,0,IF($A62&gt;(ImplementationYear+(Appraisal_Period-1)),0,SUM(Quality!$E$20:$E$21)*$B62)))</f>
        <v>0</v>
      </c>
      <c r="AC62" s="97">
        <f>IF(Option2="No",0,IF($A62&lt;ImplementationYear,0,IF($A62&gt;(ImplementationYear+(Appraisal_Period-1)),0,'Mode change'!$E$36*$B62)))</f>
        <v>0</v>
      </c>
      <c r="AD62" s="97">
        <f>IF(Option2="No",0,IF($A62&lt;ImplementationYear,0,IF($A62&gt;(ImplementationYear+(Appraisal_Period-1)),0,'Mode change'!$E$37*$B62)))</f>
        <v>0</v>
      </c>
      <c r="AE62" s="97">
        <f>IF(Option2="No",0,IF($A62&lt;ImplementationYear,0,IF($A62&gt;(ImplementationYear+(Appraisal_Period-1)),0,'Road safety'!$E$22*$B62)))</f>
        <v>0</v>
      </c>
      <c r="AF62" s="97">
        <f>IF(Option2="No",0,IF($A62&lt;ImplementationYear,0,IF($A62&gt;(ImplementationYear+(Appraisal_Period-1)),0,'Reduction in car usage'!$E$46*$B62)))</f>
        <v>0</v>
      </c>
      <c r="AG62" s="97">
        <f>IF(Option2="No",0,IF($A62&lt;ImplementationYear,0,IF($A62&gt;(ImplementationYear+(Appraisal_Period-1)),0,'Reduction in car usage'!$E$47*$B62)))</f>
        <v>0</v>
      </c>
      <c r="AH62" s="97">
        <f>IF(Option2="No",0,IF($A62&lt;ImplementationYear,0,IF($A62&gt;(ImplementationYear+(Appraisal_Period-1)),0,'Reduction in car usage'!$E$48*$B62)))</f>
        <v>0</v>
      </c>
      <c r="AJ62" s="94">
        <f>IF(Option3="No",0,IF($A62=ImplementationYear,('Project details'!$P$10-'Project details'!$D$10)*VLOOKUP(Year_cost_estimate,'Time-series parameters'!$B$11:$C$89,2,FALSE)*$B62*(1+Contingency),0))</f>
        <v>0</v>
      </c>
      <c r="AK62" s="94">
        <f>IF(Option3="No",0,IF($A62&lt;ImplementationYear,0,IF($A62&gt;(ImplementationYear+(Appraisal_Period-1)),0,('Project details'!$P$11-'Project details'!$D$11)*VLOOKUP(Year_cost_estimate,'Time-series parameters'!$B$11:$C$89,2,0))*$B62))</f>
        <v>0</v>
      </c>
      <c r="AL62" s="94">
        <f>IF(Option3="No",0,IF($A62=ImplementationYear,('Project details'!$P$12-'Project details'!$D$12)*VLOOKUP(Year_cost_estimate,'Time-series parameters'!$B$11:$C$89,2,FALSE)*$B62,0))</f>
        <v>0</v>
      </c>
      <c r="AM62" s="97">
        <f>IF(Option3="No",0,IF($A62&lt;ImplementationYear,0,IF($A62&gt;(ImplementationYear+(Appraisal_Period-1)),0,Health!$F$21*$B62)))</f>
        <v>0</v>
      </c>
      <c r="AN62" s="97">
        <f>IF(Option3="No",0,IF($A62&lt;ImplementationYear,0,IF($A62&gt;(ImplementationYear+(Appraisal_Period-1)),0,Health!$F$22*$B62)))</f>
        <v>0</v>
      </c>
      <c r="AO62" s="97">
        <f>IF(Option3="No",0,IF($A62&lt;ImplementationYear,0,IF($A62&gt;(ImplementationYear+(Appraisal_Period-1)),0,SUM('Travel time'!$F$22:$F$23)*$B62)))</f>
        <v>0</v>
      </c>
      <c r="AP62" s="97">
        <f>IF(Option3="No",0,IF($A62&lt;ImplementationYear,0,IF($A62&gt;(ImplementationYear+(Appraisal_Period-1)),0,SUM('Travel time'!$F$20:$F$21)*$B62)))</f>
        <v>0</v>
      </c>
      <c r="AQ62" s="97">
        <f>IF(Option3="No",0,IF($A62&lt;ImplementationYear,0,IF($A62&gt;(ImplementationYear+(Appraisal_Period-1)),0,SUM(Quality!$F$22:$F$23)*$B62)))</f>
        <v>0</v>
      </c>
      <c r="AR62" s="97">
        <f>IF(Option3="No",0,IF($A62&lt;ImplementationYear,0,IF($A62&gt;(ImplementationYear+(Appraisal_Period-1)),0,SUM(Quality!$F$20:$F$21)*$B62)))</f>
        <v>0</v>
      </c>
      <c r="AS62" s="97">
        <f>IF(Option3="No",0,IF($A62&lt;ImplementationYear,0,IF($A62&gt;(ImplementationYear+(Appraisal_Period-1)),0,'Mode change'!$F$36*$B62)))</f>
        <v>0</v>
      </c>
      <c r="AT62" s="97">
        <f>IF(Option3="No",0,IF($A62&lt;ImplementationYear,0,IF($A62&gt;(ImplementationYear+(Appraisal_Period-1)),0,'Mode change'!$F$37*$B62)))</f>
        <v>0</v>
      </c>
      <c r="AU62" s="97">
        <f>IF(Option3="No",0,IF($A62&lt;ImplementationYear,0,IF($A62&gt;(ImplementationYear+(Appraisal_Period-1)),0,'Road safety'!$F$22*$B62)))</f>
        <v>0</v>
      </c>
      <c r="AV62" s="97">
        <f>IF(Option3="No",0,IF($A62&lt;ImplementationYear,0,IF($A62&gt;(ImplementationYear+(Appraisal_Period-1)),0,'Reduction in car usage'!$F$46*$B62)))</f>
        <v>0</v>
      </c>
      <c r="AW62" s="97">
        <f>IF(Option3="No",0,IF($A62&lt;ImplementationYear,0,IF($A62&gt;(ImplementationYear+(Appraisal_Period-1)),0,'Reduction in car usage'!$F$47*$B62)))</f>
        <v>0</v>
      </c>
      <c r="AX62" s="97">
        <f>IF(Option3="No",0,IF($A62&lt;ImplementationYear,0,IF($A62&gt;(ImplementationYear+(Appraisal_Period-1)),0,'Reduction in car usage'!$F$48*$B62)))</f>
        <v>0</v>
      </c>
    </row>
    <row r="63" spans="1:50">
      <c r="A63" s="335">
        <v>2058</v>
      </c>
      <c r="B63" s="62">
        <f>VLOOKUP($A63,'Time-series parameters'!$E$11:$H$89,4,FALSE)</f>
        <v>0.14680740189394201</v>
      </c>
      <c r="C63" s="89"/>
      <c r="D63" s="94">
        <f>IF(Option1="No",0,IF($A63=ImplementationYear,('Project details'!$H$10-'Project details'!$D$10)*VLOOKUP(Year_cost_estimate,'Time-series parameters'!$B$11:$C$89,2,FALSE)*$B63*(1+Contingency),0))</f>
        <v>0</v>
      </c>
      <c r="E63" s="94">
        <f>IF(Option1="No",0,IF($A63&lt;ImplementationYear,0,IF($A63&gt;(ImplementationYear+(Appraisal_Period-1)),0,('Project details'!$H$11-'Project details'!$D$11)*VLOOKUP(Year_cost_estimate,'Time-series parameters'!$B$11:$C$89,2,0))*$B63))</f>
        <v>0</v>
      </c>
      <c r="F63" s="94">
        <f>IF(Option1="No",0,IF($A63=ImplementationYear,('Project details'!$H$12-'Project details'!$D$12)*VLOOKUP(Year_cost_estimate,'Time-series parameters'!$B$11:$C$89,2,FALSE)*$B63,0))</f>
        <v>0</v>
      </c>
      <c r="G63" s="97">
        <f>IF(Option1="No",0,IF($A63&lt;ImplementationYear,0,IF($A63&gt;(ImplementationYear+(Appraisal_Period-1)),0,Health!$D$21*$B63)))</f>
        <v>0</v>
      </c>
      <c r="H63" s="97">
        <f>IF(Option1="No",0,IF($A63&lt;ImplementationYear,0,IF($A63&gt;(ImplementationYear+(Appraisal_Period-1)),0,Health!$D$22*$B63)))</f>
        <v>0</v>
      </c>
      <c r="I63" s="97">
        <f>IF(Option1="No",0,IF($A63&lt;ImplementationYear,0,IF($A63&gt;(ImplementationYear+(Appraisal_Period-1)),0,SUM('Travel time'!$D$22:$D$23)*$B63)))</f>
        <v>0</v>
      </c>
      <c r="J63" s="97">
        <f>IF(Option1="No",0,IF($A63&lt;ImplementationYear,0,IF($A63&gt;(ImplementationYear+(Appraisal_Period-1)),0,SUM('Travel time'!$D$20:$D$21)*$B63)))</f>
        <v>0</v>
      </c>
      <c r="K63" s="97">
        <f>IF(Option1="No",0,IF($A63&lt;ImplementationYear,0,IF($A63&gt;(ImplementationYear+(Appraisal_Period-1)),0,SUM(Quality!$D$22:$D$23)*$B63)))</f>
        <v>0</v>
      </c>
      <c r="L63" s="97">
        <f>IF(Option1="No",0,IF($A63&lt;ImplementationYear,0,IF($A63&gt;(ImplementationYear+(Appraisal_Period-1)),0,SUM(Quality!$D$20:$D$21)*$B63)))</f>
        <v>0</v>
      </c>
      <c r="M63" s="97">
        <f>IF(Option1="No",0,IF($A63&lt;ImplementationYear,0,IF($A63&gt;(ImplementationYear+(Appraisal_Period-1)),0,'Mode change'!$D$36*$B63)))</f>
        <v>0</v>
      </c>
      <c r="N63" s="97">
        <f>IF(Option1="No",0,IF($A63&lt;ImplementationYear,0,IF($A63&gt;(ImplementationYear+(Appraisal_Period-1)),0,'Mode change'!$D$37*$B63)))</f>
        <v>0</v>
      </c>
      <c r="O63" s="97">
        <f>IF(Option1="No",0,IF($A63&lt;ImplementationYear,0,IF($A63&gt;(ImplementationYear+(Appraisal_Period-1)),0,'Road safety'!$D$22*$B63)))</f>
        <v>0</v>
      </c>
      <c r="P63" s="97">
        <f>IF(Option1="No",0,IF($A63&lt;ImplementationYear,0,IF($A63&gt;(ImplementationYear+(Appraisal_Period-1)),0,'Reduction in car usage'!$D$46*$B63)))</f>
        <v>0</v>
      </c>
      <c r="Q63" s="97">
        <f>IF(Option1="No",0,IF($A63&lt;ImplementationYear,0,IF($A63&gt;(ImplementationYear+(Appraisal_Period-1)),0,'Reduction in car usage'!$D$47*$B63)))</f>
        <v>0</v>
      </c>
      <c r="R63" s="97">
        <f>IF(Option1="No",0,IF($A63&lt;ImplementationYear,0,IF($A63&gt;(ImplementationYear+(Appraisal_Period-1)),0,'Reduction in car usage'!$D$48*$B63)))</f>
        <v>0</v>
      </c>
      <c r="S63" s="92"/>
      <c r="T63" s="94">
        <f>IF(Option2="No",0,IF($A63=ImplementationYear,('Project details'!$L$10-'Project details'!$D$10)*VLOOKUP(Year_cost_estimate,'Time-series parameters'!$B$11:$C$89,2,FALSE)*$B63*(1+Contingency),0))</f>
        <v>0</v>
      </c>
      <c r="U63" s="94">
        <f>IF(Option2="No",0,IF($A63&lt;ImplementationYear,0,IF($A63&gt;(ImplementationYear+(Appraisal_Period-1)),0,('Project details'!$L$11-'Project details'!$D$11)*VLOOKUP(Year_cost_estimate,'Time-series parameters'!$B$11:$C$89,2,0))*$B63))</f>
        <v>0</v>
      </c>
      <c r="V63" s="94">
        <f>IF(Option2="No",0,IF($A63=ImplementationYear,('Project details'!$L$12-'Project details'!$D$12)*VLOOKUP(Year_cost_estimate,'Time-series parameters'!$B$11:$C$89,2,FALSE)*$B63,0))</f>
        <v>0</v>
      </c>
      <c r="W63" s="97">
        <f>IF(Option2="No",0,IF($A63&lt;ImplementationYear,0,IF($A63&gt;(ImplementationYear+(Appraisal_Period-1)),0,Health!$E$21*$B63)))</f>
        <v>0</v>
      </c>
      <c r="X63" s="97">
        <f>IF(Option2="No",0,IF($A63&lt;ImplementationYear,0,IF($A63&gt;(ImplementationYear+(Appraisal_Period-1)),0,Health!$E$22*$B63)))</f>
        <v>0</v>
      </c>
      <c r="Y63" s="97">
        <f>IF(Option2="No",0,IF($A63&lt;ImplementationYear,0,IF($A63&gt;(ImplementationYear+(Appraisal_Period-1)),0,SUM('Travel time'!$E$22:$E$23)*$B63)))</f>
        <v>0</v>
      </c>
      <c r="Z63" s="97">
        <f>IF(Option2="No",0,IF($A63&lt;ImplementationYear,0,IF($A63&gt;(ImplementationYear+(Appraisal_Period-1)),0,SUM('Travel time'!$E$20:$E$21)*$B63)))</f>
        <v>0</v>
      </c>
      <c r="AA63" s="97">
        <f>IF(Option2="No",0,IF($A63&lt;ImplementationYear,0,IF($A63&gt;(ImplementationYear+(Appraisal_Period-1)),0,SUM(Quality!$E$22:$E$23)*$B63)))</f>
        <v>0</v>
      </c>
      <c r="AB63" s="97">
        <f>IF(Option2="No",0,IF($A63&lt;ImplementationYear,0,IF($A63&gt;(ImplementationYear+(Appraisal_Period-1)),0,SUM(Quality!$E$20:$E$21)*$B63)))</f>
        <v>0</v>
      </c>
      <c r="AC63" s="97">
        <f>IF(Option2="No",0,IF($A63&lt;ImplementationYear,0,IF($A63&gt;(ImplementationYear+(Appraisal_Period-1)),0,'Mode change'!$E$36*$B63)))</f>
        <v>0</v>
      </c>
      <c r="AD63" s="97">
        <f>IF(Option2="No",0,IF($A63&lt;ImplementationYear,0,IF($A63&gt;(ImplementationYear+(Appraisal_Period-1)),0,'Mode change'!$E$37*$B63)))</f>
        <v>0</v>
      </c>
      <c r="AE63" s="97">
        <f>IF(Option2="No",0,IF($A63&lt;ImplementationYear,0,IF($A63&gt;(ImplementationYear+(Appraisal_Period-1)),0,'Road safety'!$E$22*$B63)))</f>
        <v>0</v>
      </c>
      <c r="AF63" s="97">
        <f>IF(Option2="No",0,IF($A63&lt;ImplementationYear,0,IF($A63&gt;(ImplementationYear+(Appraisal_Period-1)),0,'Reduction in car usage'!$E$46*$B63)))</f>
        <v>0</v>
      </c>
      <c r="AG63" s="97">
        <f>IF(Option2="No",0,IF($A63&lt;ImplementationYear,0,IF($A63&gt;(ImplementationYear+(Appraisal_Period-1)),0,'Reduction in car usage'!$E$47*$B63)))</f>
        <v>0</v>
      </c>
      <c r="AH63" s="97">
        <f>IF(Option2="No",0,IF($A63&lt;ImplementationYear,0,IF($A63&gt;(ImplementationYear+(Appraisal_Period-1)),0,'Reduction in car usage'!$E$48*$B63)))</f>
        <v>0</v>
      </c>
      <c r="AJ63" s="94">
        <f>IF(Option3="No",0,IF($A63=ImplementationYear,('Project details'!$P$10-'Project details'!$D$10)*VLOOKUP(Year_cost_estimate,'Time-series parameters'!$B$11:$C$89,2,FALSE)*$B63*(1+Contingency),0))</f>
        <v>0</v>
      </c>
      <c r="AK63" s="94">
        <f>IF(Option3="No",0,IF($A63&lt;ImplementationYear,0,IF($A63&gt;(ImplementationYear+(Appraisal_Period-1)),0,('Project details'!$P$11-'Project details'!$D$11)*VLOOKUP(Year_cost_estimate,'Time-series parameters'!$B$11:$C$89,2,0))*$B63))</f>
        <v>0</v>
      </c>
      <c r="AL63" s="94">
        <f>IF(Option3="No",0,IF($A63=ImplementationYear,('Project details'!$P$12-'Project details'!$D$12)*VLOOKUP(Year_cost_estimate,'Time-series parameters'!$B$11:$C$89,2,FALSE)*$B63,0))</f>
        <v>0</v>
      </c>
      <c r="AM63" s="97">
        <f>IF(Option3="No",0,IF($A63&lt;ImplementationYear,0,IF($A63&gt;(ImplementationYear+(Appraisal_Period-1)),0,Health!$F$21*$B63)))</f>
        <v>0</v>
      </c>
      <c r="AN63" s="97">
        <f>IF(Option3="No",0,IF($A63&lt;ImplementationYear,0,IF($A63&gt;(ImplementationYear+(Appraisal_Period-1)),0,Health!$F$22*$B63)))</f>
        <v>0</v>
      </c>
      <c r="AO63" s="97">
        <f>IF(Option3="No",0,IF($A63&lt;ImplementationYear,0,IF($A63&gt;(ImplementationYear+(Appraisal_Period-1)),0,SUM('Travel time'!$F$22:$F$23)*$B63)))</f>
        <v>0</v>
      </c>
      <c r="AP63" s="97">
        <f>IF(Option3="No",0,IF($A63&lt;ImplementationYear,0,IF($A63&gt;(ImplementationYear+(Appraisal_Period-1)),0,SUM('Travel time'!$F$20:$F$21)*$B63)))</f>
        <v>0</v>
      </c>
      <c r="AQ63" s="97">
        <f>IF(Option3="No",0,IF($A63&lt;ImplementationYear,0,IF($A63&gt;(ImplementationYear+(Appraisal_Period-1)),0,SUM(Quality!$F$22:$F$23)*$B63)))</f>
        <v>0</v>
      </c>
      <c r="AR63" s="97">
        <f>IF(Option3="No",0,IF($A63&lt;ImplementationYear,0,IF($A63&gt;(ImplementationYear+(Appraisal_Period-1)),0,SUM(Quality!$F$20:$F$21)*$B63)))</f>
        <v>0</v>
      </c>
      <c r="AS63" s="97">
        <f>IF(Option3="No",0,IF($A63&lt;ImplementationYear,0,IF($A63&gt;(ImplementationYear+(Appraisal_Period-1)),0,'Mode change'!$F$36*$B63)))</f>
        <v>0</v>
      </c>
      <c r="AT63" s="97">
        <f>IF(Option3="No",0,IF($A63&lt;ImplementationYear,0,IF($A63&gt;(ImplementationYear+(Appraisal_Period-1)),0,'Mode change'!$F$37*$B63)))</f>
        <v>0</v>
      </c>
      <c r="AU63" s="97">
        <f>IF(Option3="No",0,IF($A63&lt;ImplementationYear,0,IF($A63&gt;(ImplementationYear+(Appraisal_Period-1)),0,'Road safety'!$F$22*$B63)))</f>
        <v>0</v>
      </c>
      <c r="AV63" s="97">
        <f>IF(Option3="No",0,IF($A63&lt;ImplementationYear,0,IF($A63&gt;(ImplementationYear+(Appraisal_Period-1)),0,'Reduction in car usage'!$F$46*$B63)))</f>
        <v>0</v>
      </c>
      <c r="AW63" s="97">
        <f>IF(Option3="No",0,IF($A63&lt;ImplementationYear,0,IF($A63&gt;(ImplementationYear+(Appraisal_Period-1)),0,'Reduction in car usage'!$F$47*$B63)))</f>
        <v>0</v>
      </c>
      <c r="AX63" s="97">
        <f>IF(Option3="No",0,IF($A63&lt;ImplementationYear,0,IF($A63&gt;(ImplementationYear+(Appraisal_Period-1)),0,'Reduction in car usage'!$F$48*$B63)))</f>
        <v>0</v>
      </c>
    </row>
    <row r="64" spans="1:50">
      <c r="A64" s="335">
        <v>2059</v>
      </c>
      <c r="B64" s="62">
        <f>VLOOKUP($A64,'Time-series parameters'!$E$11:$H$89,4,FALSE)</f>
        <v>0.14093510581818433</v>
      </c>
      <c r="C64" s="89"/>
      <c r="D64" s="94">
        <f>IF(Option1="No",0,IF($A64=ImplementationYear,('Project details'!$H$10-'Project details'!$D$10)*VLOOKUP(Year_cost_estimate,'Time-series parameters'!$B$11:$C$89,2,FALSE)*$B64*(1+Contingency),0))</f>
        <v>0</v>
      </c>
      <c r="E64" s="94">
        <f>IF(Option1="No",0,IF($A64&lt;ImplementationYear,0,IF($A64&gt;(ImplementationYear+(Appraisal_Period-1)),0,('Project details'!$H$11-'Project details'!$D$11)*VLOOKUP(Year_cost_estimate,'Time-series parameters'!$B$11:$C$89,2,0))*$B64))</f>
        <v>0</v>
      </c>
      <c r="F64" s="94">
        <f>IF(Option1="No",0,IF($A64=ImplementationYear,('Project details'!$H$12-'Project details'!$D$12)*VLOOKUP(Year_cost_estimate,'Time-series parameters'!$B$11:$C$89,2,FALSE)*$B64,0))</f>
        <v>0</v>
      </c>
      <c r="G64" s="97">
        <f>IF(Option1="No",0,IF($A64&lt;ImplementationYear,0,IF($A64&gt;(ImplementationYear+(Appraisal_Period-1)),0,Health!$D$21*$B64)))</f>
        <v>0</v>
      </c>
      <c r="H64" s="97">
        <f>IF(Option1="No",0,IF($A64&lt;ImplementationYear,0,IF($A64&gt;(ImplementationYear+(Appraisal_Period-1)),0,Health!$D$22*$B64)))</f>
        <v>0</v>
      </c>
      <c r="I64" s="97">
        <f>IF(Option1="No",0,IF($A64&lt;ImplementationYear,0,IF($A64&gt;(ImplementationYear+(Appraisal_Period-1)),0,SUM('Travel time'!$D$22:$D$23)*$B64)))</f>
        <v>0</v>
      </c>
      <c r="J64" s="97">
        <f>IF(Option1="No",0,IF($A64&lt;ImplementationYear,0,IF($A64&gt;(ImplementationYear+(Appraisal_Period-1)),0,SUM('Travel time'!$D$20:$D$21)*$B64)))</f>
        <v>0</v>
      </c>
      <c r="K64" s="97">
        <f>IF(Option1="No",0,IF($A64&lt;ImplementationYear,0,IF($A64&gt;(ImplementationYear+(Appraisal_Period-1)),0,SUM(Quality!$D$22:$D$23)*$B64)))</f>
        <v>0</v>
      </c>
      <c r="L64" s="97">
        <f>IF(Option1="No",0,IF($A64&lt;ImplementationYear,0,IF($A64&gt;(ImplementationYear+(Appraisal_Period-1)),0,SUM(Quality!$D$20:$D$21)*$B64)))</f>
        <v>0</v>
      </c>
      <c r="M64" s="97">
        <f>IF(Option1="No",0,IF($A64&lt;ImplementationYear,0,IF($A64&gt;(ImplementationYear+(Appraisal_Period-1)),0,'Mode change'!$D$36*$B64)))</f>
        <v>0</v>
      </c>
      <c r="N64" s="97">
        <f>IF(Option1="No",0,IF($A64&lt;ImplementationYear,0,IF($A64&gt;(ImplementationYear+(Appraisal_Period-1)),0,'Mode change'!$D$37*$B64)))</f>
        <v>0</v>
      </c>
      <c r="O64" s="97">
        <f>IF(Option1="No",0,IF($A64&lt;ImplementationYear,0,IF($A64&gt;(ImplementationYear+(Appraisal_Period-1)),0,'Road safety'!$D$22*$B64)))</f>
        <v>0</v>
      </c>
      <c r="P64" s="97">
        <f>IF(Option1="No",0,IF($A64&lt;ImplementationYear,0,IF($A64&gt;(ImplementationYear+(Appraisal_Period-1)),0,'Reduction in car usage'!$D$46*$B64)))</f>
        <v>0</v>
      </c>
      <c r="Q64" s="97">
        <f>IF(Option1="No",0,IF($A64&lt;ImplementationYear,0,IF($A64&gt;(ImplementationYear+(Appraisal_Period-1)),0,'Reduction in car usage'!$D$47*$B64)))</f>
        <v>0</v>
      </c>
      <c r="R64" s="97">
        <f>IF(Option1="No",0,IF($A64&lt;ImplementationYear,0,IF($A64&gt;(ImplementationYear+(Appraisal_Period-1)),0,'Reduction in car usage'!$D$48*$B64)))</f>
        <v>0</v>
      </c>
      <c r="S64" s="92"/>
      <c r="T64" s="94">
        <f>IF(Option2="No",0,IF($A64=ImplementationYear,('Project details'!$L$10-'Project details'!$D$10)*VLOOKUP(Year_cost_estimate,'Time-series parameters'!$B$11:$C$89,2,FALSE)*$B64*(1+Contingency),0))</f>
        <v>0</v>
      </c>
      <c r="U64" s="94">
        <f>IF(Option2="No",0,IF($A64&lt;ImplementationYear,0,IF($A64&gt;(ImplementationYear+(Appraisal_Period-1)),0,('Project details'!$L$11-'Project details'!$D$11)*VLOOKUP(Year_cost_estimate,'Time-series parameters'!$B$11:$C$89,2,0))*$B64))</f>
        <v>0</v>
      </c>
      <c r="V64" s="94">
        <f>IF(Option2="No",0,IF($A64=ImplementationYear,('Project details'!$L$12-'Project details'!$D$12)*VLOOKUP(Year_cost_estimate,'Time-series parameters'!$B$11:$C$89,2,FALSE)*$B64,0))</f>
        <v>0</v>
      </c>
      <c r="W64" s="97">
        <f>IF(Option2="No",0,IF($A64&lt;ImplementationYear,0,IF($A64&gt;(ImplementationYear+(Appraisal_Period-1)),0,Health!$E$21*$B64)))</f>
        <v>0</v>
      </c>
      <c r="X64" s="97">
        <f>IF(Option2="No",0,IF($A64&lt;ImplementationYear,0,IF($A64&gt;(ImplementationYear+(Appraisal_Period-1)),0,Health!$E$22*$B64)))</f>
        <v>0</v>
      </c>
      <c r="Y64" s="97">
        <f>IF(Option2="No",0,IF($A64&lt;ImplementationYear,0,IF($A64&gt;(ImplementationYear+(Appraisal_Period-1)),0,SUM('Travel time'!$E$22:$E$23)*$B64)))</f>
        <v>0</v>
      </c>
      <c r="Z64" s="97">
        <f>IF(Option2="No",0,IF($A64&lt;ImplementationYear,0,IF($A64&gt;(ImplementationYear+(Appraisal_Period-1)),0,SUM('Travel time'!$E$20:$E$21)*$B64)))</f>
        <v>0</v>
      </c>
      <c r="AA64" s="97">
        <f>IF(Option2="No",0,IF($A64&lt;ImplementationYear,0,IF($A64&gt;(ImplementationYear+(Appraisal_Period-1)),0,SUM(Quality!$E$22:$E$23)*$B64)))</f>
        <v>0</v>
      </c>
      <c r="AB64" s="97">
        <f>IF(Option2="No",0,IF($A64&lt;ImplementationYear,0,IF($A64&gt;(ImplementationYear+(Appraisal_Period-1)),0,SUM(Quality!$E$20:$E$21)*$B64)))</f>
        <v>0</v>
      </c>
      <c r="AC64" s="97">
        <f>IF(Option2="No",0,IF($A64&lt;ImplementationYear,0,IF($A64&gt;(ImplementationYear+(Appraisal_Period-1)),0,'Mode change'!$E$36*$B64)))</f>
        <v>0</v>
      </c>
      <c r="AD64" s="97">
        <f>IF(Option2="No",0,IF($A64&lt;ImplementationYear,0,IF($A64&gt;(ImplementationYear+(Appraisal_Period-1)),0,'Mode change'!$E$37*$B64)))</f>
        <v>0</v>
      </c>
      <c r="AE64" s="97">
        <f>IF(Option2="No",0,IF($A64&lt;ImplementationYear,0,IF($A64&gt;(ImplementationYear+(Appraisal_Period-1)),0,'Road safety'!$E$22*$B64)))</f>
        <v>0</v>
      </c>
      <c r="AF64" s="97">
        <f>IF(Option2="No",0,IF($A64&lt;ImplementationYear,0,IF($A64&gt;(ImplementationYear+(Appraisal_Period-1)),0,'Reduction in car usage'!$E$46*$B64)))</f>
        <v>0</v>
      </c>
      <c r="AG64" s="97">
        <f>IF(Option2="No",0,IF($A64&lt;ImplementationYear,0,IF($A64&gt;(ImplementationYear+(Appraisal_Period-1)),0,'Reduction in car usage'!$E$47*$B64)))</f>
        <v>0</v>
      </c>
      <c r="AH64" s="97">
        <f>IF(Option2="No",0,IF($A64&lt;ImplementationYear,0,IF($A64&gt;(ImplementationYear+(Appraisal_Period-1)),0,'Reduction in car usage'!$E$48*$B64)))</f>
        <v>0</v>
      </c>
      <c r="AJ64" s="94">
        <f>IF(Option3="No",0,IF($A64=ImplementationYear,('Project details'!$P$10-'Project details'!$D$10)*VLOOKUP(Year_cost_estimate,'Time-series parameters'!$B$11:$C$89,2,FALSE)*$B64*(1+Contingency),0))</f>
        <v>0</v>
      </c>
      <c r="AK64" s="94">
        <f>IF(Option3="No",0,IF($A64&lt;ImplementationYear,0,IF($A64&gt;(ImplementationYear+(Appraisal_Period-1)),0,('Project details'!$P$11-'Project details'!$D$11)*VLOOKUP(Year_cost_estimate,'Time-series parameters'!$B$11:$C$89,2,0))*$B64))</f>
        <v>0</v>
      </c>
      <c r="AL64" s="94">
        <f>IF(Option3="No",0,IF($A64=ImplementationYear,('Project details'!$P$12-'Project details'!$D$12)*VLOOKUP(Year_cost_estimate,'Time-series parameters'!$B$11:$C$89,2,FALSE)*$B64,0))</f>
        <v>0</v>
      </c>
      <c r="AM64" s="97">
        <f>IF(Option3="No",0,IF($A64&lt;ImplementationYear,0,IF($A64&gt;(ImplementationYear+(Appraisal_Period-1)),0,Health!$F$21*$B64)))</f>
        <v>0</v>
      </c>
      <c r="AN64" s="97">
        <f>IF(Option3="No",0,IF($A64&lt;ImplementationYear,0,IF($A64&gt;(ImplementationYear+(Appraisal_Period-1)),0,Health!$F$22*$B64)))</f>
        <v>0</v>
      </c>
      <c r="AO64" s="97">
        <f>IF(Option3="No",0,IF($A64&lt;ImplementationYear,0,IF($A64&gt;(ImplementationYear+(Appraisal_Period-1)),0,SUM('Travel time'!$F$22:$F$23)*$B64)))</f>
        <v>0</v>
      </c>
      <c r="AP64" s="97">
        <f>IF(Option3="No",0,IF($A64&lt;ImplementationYear,0,IF($A64&gt;(ImplementationYear+(Appraisal_Period-1)),0,SUM('Travel time'!$F$20:$F$21)*$B64)))</f>
        <v>0</v>
      </c>
      <c r="AQ64" s="97">
        <f>IF(Option3="No",0,IF($A64&lt;ImplementationYear,0,IF($A64&gt;(ImplementationYear+(Appraisal_Period-1)),0,SUM(Quality!$F$22:$F$23)*$B64)))</f>
        <v>0</v>
      </c>
      <c r="AR64" s="97">
        <f>IF(Option3="No",0,IF($A64&lt;ImplementationYear,0,IF($A64&gt;(ImplementationYear+(Appraisal_Period-1)),0,SUM(Quality!$F$20:$F$21)*$B64)))</f>
        <v>0</v>
      </c>
      <c r="AS64" s="97">
        <f>IF(Option3="No",0,IF($A64&lt;ImplementationYear,0,IF($A64&gt;(ImplementationYear+(Appraisal_Period-1)),0,'Mode change'!$F$36*$B64)))</f>
        <v>0</v>
      </c>
      <c r="AT64" s="97">
        <f>IF(Option3="No",0,IF($A64&lt;ImplementationYear,0,IF($A64&gt;(ImplementationYear+(Appraisal_Period-1)),0,'Mode change'!$F$37*$B64)))</f>
        <v>0</v>
      </c>
      <c r="AU64" s="97">
        <f>IF(Option3="No",0,IF($A64&lt;ImplementationYear,0,IF($A64&gt;(ImplementationYear+(Appraisal_Period-1)),0,'Road safety'!$F$22*$B64)))</f>
        <v>0</v>
      </c>
      <c r="AV64" s="97">
        <f>IF(Option3="No",0,IF($A64&lt;ImplementationYear,0,IF($A64&gt;(ImplementationYear+(Appraisal_Period-1)),0,'Reduction in car usage'!$F$46*$B64)))</f>
        <v>0</v>
      </c>
      <c r="AW64" s="97">
        <f>IF(Option3="No",0,IF($A64&lt;ImplementationYear,0,IF($A64&gt;(ImplementationYear+(Appraisal_Period-1)),0,'Reduction in car usage'!$F$47*$B64)))</f>
        <v>0</v>
      </c>
      <c r="AX64" s="97">
        <f>IF(Option3="No",0,IF($A64&lt;ImplementationYear,0,IF($A64&gt;(ImplementationYear+(Appraisal_Period-1)),0,'Reduction in car usage'!$F$48*$B64)))</f>
        <v>0</v>
      </c>
    </row>
    <row r="65" spans="1:50">
      <c r="A65" s="335">
        <v>2060</v>
      </c>
      <c r="B65" s="62">
        <f>VLOOKUP($A65,'Time-series parameters'!$E$11:$H$89,4,FALSE)</f>
        <v>0.13529770158545695</v>
      </c>
      <c r="C65" s="89"/>
      <c r="D65" s="94">
        <f>IF(Option1="No",0,IF($A65=ImplementationYear,('Project details'!$H$10-'Project details'!$D$10)*VLOOKUP(Year_cost_estimate,'Time-series parameters'!$B$11:$C$89,2,FALSE)*$B65*(1+Contingency),0))</f>
        <v>0</v>
      </c>
      <c r="E65" s="94">
        <f>IF(Option1="No",0,IF($A65&lt;ImplementationYear,0,IF($A65&gt;(ImplementationYear+(Appraisal_Period-1)),0,('Project details'!$H$11-'Project details'!$D$11)*VLOOKUP(Year_cost_estimate,'Time-series parameters'!$B$11:$C$89,2,0))*$B65))</f>
        <v>0</v>
      </c>
      <c r="F65" s="94">
        <f>IF(Option1="No",0,IF($A65=ImplementationYear,('Project details'!$H$12-'Project details'!$D$12)*VLOOKUP(Year_cost_estimate,'Time-series parameters'!$B$11:$C$89,2,FALSE)*$B65,0))</f>
        <v>0</v>
      </c>
      <c r="G65" s="97">
        <f>IF(Option1="No",0,IF($A65&lt;ImplementationYear,0,IF($A65&gt;(ImplementationYear+(Appraisal_Period-1)),0,Health!$D$21*$B65)))</f>
        <v>0</v>
      </c>
      <c r="H65" s="97">
        <f>IF(Option1="No",0,IF($A65&lt;ImplementationYear,0,IF($A65&gt;(ImplementationYear+(Appraisal_Period-1)),0,Health!$D$22*$B65)))</f>
        <v>0</v>
      </c>
      <c r="I65" s="97">
        <f>IF(Option1="No",0,IF($A65&lt;ImplementationYear,0,IF($A65&gt;(ImplementationYear+(Appraisal_Period-1)),0,SUM('Travel time'!$D$22:$D$23)*$B65)))</f>
        <v>0</v>
      </c>
      <c r="J65" s="97">
        <f>IF(Option1="No",0,IF($A65&lt;ImplementationYear,0,IF($A65&gt;(ImplementationYear+(Appraisal_Period-1)),0,SUM('Travel time'!$D$20:$D$21)*$B65)))</f>
        <v>0</v>
      </c>
      <c r="K65" s="97">
        <f>IF(Option1="No",0,IF($A65&lt;ImplementationYear,0,IF($A65&gt;(ImplementationYear+(Appraisal_Period-1)),0,SUM(Quality!$D$22:$D$23)*$B65)))</f>
        <v>0</v>
      </c>
      <c r="L65" s="97">
        <f>IF(Option1="No",0,IF($A65&lt;ImplementationYear,0,IF($A65&gt;(ImplementationYear+(Appraisal_Period-1)),0,SUM(Quality!$D$20:$D$21)*$B65)))</f>
        <v>0</v>
      </c>
      <c r="M65" s="97">
        <f>IF(Option1="No",0,IF($A65&lt;ImplementationYear,0,IF($A65&gt;(ImplementationYear+(Appraisal_Period-1)),0,'Mode change'!$D$36*$B65)))</f>
        <v>0</v>
      </c>
      <c r="N65" s="97">
        <f>IF(Option1="No",0,IF($A65&lt;ImplementationYear,0,IF($A65&gt;(ImplementationYear+(Appraisal_Period-1)),0,'Mode change'!$D$37*$B65)))</f>
        <v>0</v>
      </c>
      <c r="O65" s="97">
        <f>IF(Option1="No",0,IF($A65&lt;ImplementationYear,0,IF($A65&gt;(ImplementationYear+(Appraisal_Period-1)),0,'Road safety'!$D$22*$B65)))</f>
        <v>0</v>
      </c>
      <c r="P65" s="97">
        <f>IF(Option1="No",0,IF($A65&lt;ImplementationYear,0,IF($A65&gt;(ImplementationYear+(Appraisal_Period-1)),0,'Reduction in car usage'!$D$46*$B65)))</f>
        <v>0</v>
      </c>
      <c r="Q65" s="97">
        <f>IF(Option1="No",0,IF($A65&lt;ImplementationYear,0,IF($A65&gt;(ImplementationYear+(Appraisal_Period-1)),0,'Reduction in car usage'!$D$47*$B65)))</f>
        <v>0</v>
      </c>
      <c r="R65" s="97">
        <f>IF(Option1="No",0,IF($A65&lt;ImplementationYear,0,IF($A65&gt;(ImplementationYear+(Appraisal_Period-1)),0,'Reduction in car usage'!$D$48*$B65)))</f>
        <v>0</v>
      </c>
      <c r="S65" s="92"/>
      <c r="T65" s="94">
        <f>IF(Option2="No",0,IF($A65=ImplementationYear,('Project details'!$L$10-'Project details'!$D$10)*VLOOKUP(Year_cost_estimate,'Time-series parameters'!$B$11:$C$89,2,FALSE)*$B65*(1+Contingency),0))</f>
        <v>0</v>
      </c>
      <c r="U65" s="94">
        <f>IF(Option2="No",0,IF($A65&lt;ImplementationYear,0,IF($A65&gt;(ImplementationYear+(Appraisal_Period-1)),0,('Project details'!$L$11-'Project details'!$D$11)*VLOOKUP(Year_cost_estimate,'Time-series parameters'!$B$11:$C$89,2,0))*$B65))</f>
        <v>0</v>
      </c>
      <c r="V65" s="94">
        <f>IF(Option2="No",0,IF($A65=ImplementationYear,('Project details'!$L$12-'Project details'!$D$12)*VLOOKUP(Year_cost_estimate,'Time-series parameters'!$B$11:$C$89,2,FALSE)*$B65,0))</f>
        <v>0</v>
      </c>
      <c r="W65" s="97">
        <f>IF(Option2="No",0,IF($A65&lt;ImplementationYear,0,IF($A65&gt;(ImplementationYear+(Appraisal_Period-1)),0,Health!$E$21*$B65)))</f>
        <v>0</v>
      </c>
      <c r="X65" s="97">
        <f>IF(Option2="No",0,IF($A65&lt;ImplementationYear,0,IF($A65&gt;(ImplementationYear+(Appraisal_Period-1)),0,Health!$E$22*$B65)))</f>
        <v>0</v>
      </c>
      <c r="Y65" s="97">
        <f>IF(Option2="No",0,IF($A65&lt;ImplementationYear,0,IF($A65&gt;(ImplementationYear+(Appraisal_Period-1)),0,SUM('Travel time'!$E$22:$E$23)*$B65)))</f>
        <v>0</v>
      </c>
      <c r="Z65" s="97">
        <f>IF(Option2="No",0,IF($A65&lt;ImplementationYear,0,IF($A65&gt;(ImplementationYear+(Appraisal_Period-1)),0,SUM('Travel time'!$E$20:$E$21)*$B65)))</f>
        <v>0</v>
      </c>
      <c r="AA65" s="97">
        <f>IF(Option2="No",0,IF($A65&lt;ImplementationYear,0,IF($A65&gt;(ImplementationYear+(Appraisal_Period-1)),0,SUM(Quality!$E$22:$E$23)*$B65)))</f>
        <v>0</v>
      </c>
      <c r="AB65" s="97">
        <f>IF(Option2="No",0,IF($A65&lt;ImplementationYear,0,IF($A65&gt;(ImplementationYear+(Appraisal_Period-1)),0,SUM(Quality!$E$20:$E$21)*$B65)))</f>
        <v>0</v>
      </c>
      <c r="AC65" s="97">
        <f>IF(Option2="No",0,IF($A65&lt;ImplementationYear,0,IF($A65&gt;(ImplementationYear+(Appraisal_Period-1)),0,'Mode change'!$E$36*$B65)))</f>
        <v>0</v>
      </c>
      <c r="AD65" s="97">
        <f>IF(Option2="No",0,IF($A65&lt;ImplementationYear,0,IF($A65&gt;(ImplementationYear+(Appraisal_Period-1)),0,'Mode change'!$E$37*$B65)))</f>
        <v>0</v>
      </c>
      <c r="AE65" s="97">
        <f>IF(Option2="No",0,IF($A65&lt;ImplementationYear,0,IF($A65&gt;(ImplementationYear+(Appraisal_Period-1)),0,'Road safety'!$E$22*$B65)))</f>
        <v>0</v>
      </c>
      <c r="AF65" s="97">
        <f>IF(Option2="No",0,IF($A65&lt;ImplementationYear,0,IF($A65&gt;(ImplementationYear+(Appraisal_Period-1)),0,'Reduction in car usage'!$E$46*$B65)))</f>
        <v>0</v>
      </c>
      <c r="AG65" s="97">
        <f>IF(Option2="No",0,IF($A65&lt;ImplementationYear,0,IF($A65&gt;(ImplementationYear+(Appraisal_Period-1)),0,'Reduction in car usage'!$E$47*$B65)))</f>
        <v>0</v>
      </c>
      <c r="AH65" s="97">
        <f>IF(Option2="No",0,IF($A65&lt;ImplementationYear,0,IF($A65&gt;(ImplementationYear+(Appraisal_Period-1)),0,'Reduction in car usage'!$E$48*$B65)))</f>
        <v>0</v>
      </c>
      <c r="AJ65" s="94">
        <f>IF(Option3="No",0,IF($A65=ImplementationYear,('Project details'!$P$10-'Project details'!$D$10)*VLOOKUP(Year_cost_estimate,'Time-series parameters'!$B$11:$C$89,2,FALSE)*$B65*(1+Contingency),0))</f>
        <v>0</v>
      </c>
      <c r="AK65" s="94">
        <f>IF(Option3="No",0,IF($A65&lt;ImplementationYear,0,IF($A65&gt;(ImplementationYear+(Appraisal_Period-1)),0,('Project details'!$P$11-'Project details'!$D$11)*VLOOKUP(Year_cost_estimate,'Time-series parameters'!$B$11:$C$89,2,0))*$B65))</f>
        <v>0</v>
      </c>
      <c r="AL65" s="94">
        <f>IF(Option3="No",0,IF($A65=ImplementationYear,('Project details'!$P$12-'Project details'!$D$12)*VLOOKUP(Year_cost_estimate,'Time-series parameters'!$B$11:$C$89,2,FALSE)*$B65,0))</f>
        <v>0</v>
      </c>
      <c r="AM65" s="97">
        <f>IF(Option3="No",0,IF($A65&lt;ImplementationYear,0,IF($A65&gt;(ImplementationYear+(Appraisal_Period-1)),0,Health!$F$21*$B65)))</f>
        <v>0</v>
      </c>
      <c r="AN65" s="97">
        <f>IF(Option3="No",0,IF($A65&lt;ImplementationYear,0,IF($A65&gt;(ImplementationYear+(Appraisal_Period-1)),0,Health!$F$22*$B65)))</f>
        <v>0</v>
      </c>
      <c r="AO65" s="97">
        <f>IF(Option3="No",0,IF($A65&lt;ImplementationYear,0,IF($A65&gt;(ImplementationYear+(Appraisal_Period-1)),0,SUM('Travel time'!$F$22:$F$23)*$B65)))</f>
        <v>0</v>
      </c>
      <c r="AP65" s="97">
        <f>IF(Option3="No",0,IF($A65&lt;ImplementationYear,0,IF($A65&gt;(ImplementationYear+(Appraisal_Period-1)),0,SUM('Travel time'!$F$20:$F$21)*$B65)))</f>
        <v>0</v>
      </c>
      <c r="AQ65" s="97">
        <f>IF(Option3="No",0,IF($A65&lt;ImplementationYear,0,IF($A65&gt;(ImplementationYear+(Appraisal_Period-1)),0,SUM(Quality!$F$22:$F$23)*$B65)))</f>
        <v>0</v>
      </c>
      <c r="AR65" s="97">
        <f>IF(Option3="No",0,IF($A65&lt;ImplementationYear,0,IF($A65&gt;(ImplementationYear+(Appraisal_Period-1)),0,SUM(Quality!$F$20:$F$21)*$B65)))</f>
        <v>0</v>
      </c>
      <c r="AS65" s="97">
        <f>IF(Option3="No",0,IF($A65&lt;ImplementationYear,0,IF($A65&gt;(ImplementationYear+(Appraisal_Period-1)),0,'Mode change'!$F$36*$B65)))</f>
        <v>0</v>
      </c>
      <c r="AT65" s="97">
        <f>IF(Option3="No",0,IF($A65&lt;ImplementationYear,0,IF($A65&gt;(ImplementationYear+(Appraisal_Period-1)),0,'Mode change'!$F$37*$B65)))</f>
        <v>0</v>
      </c>
      <c r="AU65" s="97">
        <f>IF(Option3="No",0,IF($A65&lt;ImplementationYear,0,IF($A65&gt;(ImplementationYear+(Appraisal_Period-1)),0,'Road safety'!$F$22*$B65)))</f>
        <v>0</v>
      </c>
      <c r="AV65" s="97">
        <f>IF(Option3="No",0,IF($A65&lt;ImplementationYear,0,IF($A65&gt;(ImplementationYear+(Appraisal_Period-1)),0,'Reduction in car usage'!$F$46*$B65)))</f>
        <v>0</v>
      </c>
      <c r="AW65" s="97">
        <f>IF(Option3="No",0,IF($A65&lt;ImplementationYear,0,IF($A65&gt;(ImplementationYear+(Appraisal_Period-1)),0,'Reduction in car usage'!$F$47*$B65)))</f>
        <v>0</v>
      </c>
      <c r="AX65" s="97">
        <f>IF(Option3="No",0,IF($A65&lt;ImplementationYear,0,IF($A65&gt;(ImplementationYear+(Appraisal_Period-1)),0,'Reduction in car usage'!$F$48*$B65)))</f>
        <v>0</v>
      </c>
    </row>
    <row r="66" spans="1:50">
      <c r="A66" s="335">
        <v>2061</v>
      </c>
      <c r="B66" s="62">
        <f>VLOOKUP($A66,'Time-series parameters'!$E$11:$H$89,4,FALSE)</f>
        <v>0.12988579352203866</v>
      </c>
      <c r="C66" s="89"/>
      <c r="D66" s="94">
        <f>IF(Option1="No",0,IF($A66=ImplementationYear,('Project details'!$H$10-'Project details'!$D$10)*VLOOKUP(Year_cost_estimate,'Time-series parameters'!$B$11:$C$89,2,FALSE)*$B66*(1+Contingency),0))</f>
        <v>0</v>
      </c>
      <c r="E66" s="94">
        <f>IF(Option1="No",0,IF($A66&lt;ImplementationYear,0,IF($A66&gt;(ImplementationYear+(Appraisal_Period-1)),0,('Project details'!$H$11-'Project details'!$D$11)*VLOOKUP(Year_cost_estimate,'Time-series parameters'!$B$11:$C$89,2,0))*$B66))</f>
        <v>0</v>
      </c>
      <c r="F66" s="94">
        <f>IF(Option1="No",0,IF($A66=ImplementationYear,('Project details'!$H$12-'Project details'!$D$12)*VLOOKUP(Year_cost_estimate,'Time-series parameters'!$B$11:$C$89,2,FALSE)*$B66,0))</f>
        <v>0</v>
      </c>
      <c r="G66" s="97">
        <f>IF(Option1="No",0,IF($A66&lt;ImplementationYear,0,IF($A66&gt;(ImplementationYear+(Appraisal_Period-1)),0,Health!$D$21*$B66)))</f>
        <v>0</v>
      </c>
      <c r="H66" s="97">
        <f>IF(Option1="No",0,IF($A66&lt;ImplementationYear,0,IF($A66&gt;(ImplementationYear+(Appraisal_Period-1)),0,Health!$D$22*$B66)))</f>
        <v>0</v>
      </c>
      <c r="I66" s="97">
        <f>IF(Option1="No",0,IF($A66&lt;ImplementationYear,0,IF($A66&gt;(ImplementationYear+(Appraisal_Period-1)),0,SUM('Travel time'!$D$22:$D$23)*$B66)))</f>
        <v>0</v>
      </c>
      <c r="J66" s="97">
        <f>IF(Option1="No",0,IF($A66&lt;ImplementationYear,0,IF($A66&gt;(ImplementationYear+(Appraisal_Period-1)),0,SUM('Travel time'!$D$20:$D$21)*$B66)))</f>
        <v>0</v>
      </c>
      <c r="K66" s="97">
        <f>IF(Option1="No",0,IF($A66&lt;ImplementationYear,0,IF($A66&gt;(ImplementationYear+(Appraisal_Period-1)),0,SUM(Quality!$D$22:$D$23)*$B66)))</f>
        <v>0</v>
      </c>
      <c r="L66" s="97">
        <f>IF(Option1="No",0,IF($A66&lt;ImplementationYear,0,IF($A66&gt;(ImplementationYear+(Appraisal_Period-1)),0,SUM(Quality!$D$20:$D$21)*$B66)))</f>
        <v>0</v>
      </c>
      <c r="M66" s="97">
        <f>IF(Option1="No",0,IF($A66&lt;ImplementationYear,0,IF($A66&gt;(ImplementationYear+(Appraisal_Period-1)),0,'Mode change'!$D$36*$B66)))</f>
        <v>0</v>
      </c>
      <c r="N66" s="97">
        <f>IF(Option1="No",0,IF($A66&lt;ImplementationYear,0,IF($A66&gt;(ImplementationYear+(Appraisal_Period-1)),0,'Mode change'!$D$37*$B66)))</f>
        <v>0</v>
      </c>
      <c r="O66" s="97">
        <f>IF(Option1="No",0,IF($A66&lt;ImplementationYear,0,IF($A66&gt;(ImplementationYear+(Appraisal_Period-1)),0,'Road safety'!$D$22*$B66)))</f>
        <v>0</v>
      </c>
      <c r="P66" s="97">
        <f>IF(Option1="No",0,IF($A66&lt;ImplementationYear,0,IF($A66&gt;(ImplementationYear+(Appraisal_Period-1)),0,'Reduction in car usage'!$D$46*$B66)))</f>
        <v>0</v>
      </c>
      <c r="Q66" s="97">
        <f>IF(Option1="No",0,IF($A66&lt;ImplementationYear,0,IF($A66&gt;(ImplementationYear+(Appraisal_Period-1)),0,'Reduction in car usage'!$D$47*$B66)))</f>
        <v>0</v>
      </c>
      <c r="R66" s="97">
        <f>IF(Option1="No",0,IF($A66&lt;ImplementationYear,0,IF($A66&gt;(ImplementationYear+(Appraisal_Period-1)),0,'Reduction in car usage'!$D$48*$B66)))</f>
        <v>0</v>
      </c>
      <c r="S66" s="92"/>
      <c r="T66" s="94">
        <f>IF(Option2="No",0,IF($A66=ImplementationYear,('Project details'!$L$10-'Project details'!$D$10)*VLOOKUP(Year_cost_estimate,'Time-series parameters'!$B$11:$C$89,2,FALSE)*$B66*(1+Contingency),0))</f>
        <v>0</v>
      </c>
      <c r="U66" s="94">
        <f>IF(Option2="No",0,IF($A66&lt;ImplementationYear,0,IF($A66&gt;(ImplementationYear+(Appraisal_Period-1)),0,('Project details'!$L$11-'Project details'!$D$11)*VLOOKUP(Year_cost_estimate,'Time-series parameters'!$B$11:$C$89,2,0))*$B66))</f>
        <v>0</v>
      </c>
      <c r="V66" s="94">
        <f>IF(Option2="No",0,IF($A66=ImplementationYear,('Project details'!$L$12-'Project details'!$D$12)*VLOOKUP(Year_cost_estimate,'Time-series parameters'!$B$11:$C$89,2,FALSE)*$B66,0))</f>
        <v>0</v>
      </c>
      <c r="W66" s="97">
        <f>IF(Option2="No",0,IF($A66&lt;ImplementationYear,0,IF($A66&gt;(ImplementationYear+(Appraisal_Period-1)),0,Health!$E$21*$B66)))</f>
        <v>0</v>
      </c>
      <c r="X66" s="97">
        <f>IF(Option2="No",0,IF($A66&lt;ImplementationYear,0,IF($A66&gt;(ImplementationYear+(Appraisal_Period-1)),0,Health!$E$22*$B66)))</f>
        <v>0</v>
      </c>
      <c r="Y66" s="97">
        <f>IF(Option2="No",0,IF($A66&lt;ImplementationYear,0,IF($A66&gt;(ImplementationYear+(Appraisal_Period-1)),0,SUM('Travel time'!$E$22:$E$23)*$B66)))</f>
        <v>0</v>
      </c>
      <c r="Z66" s="97">
        <f>IF(Option2="No",0,IF($A66&lt;ImplementationYear,0,IF($A66&gt;(ImplementationYear+(Appraisal_Period-1)),0,SUM('Travel time'!$E$20:$E$21)*$B66)))</f>
        <v>0</v>
      </c>
      <c r="AA66" s="97">
        <f>IF(Option2="No",0,IF($A66&lt;ImplementationYear,0,IF($A66&gt;(ImplementationYear+(Appraisal_Period-1)),0,SUM(Quality!$E$22:$E$23)*$B66)))</f>
        <v>0</v>
      </c>
      <c r="AB66" s="97">
        <f>IF(Option2="No",0,IF($A66&lt;ImplementationYear,0,IF($A66&gt;(ImplementationYear+(Appraisal_Period-1)),0,SUM(Quality!$E$20:$E$21)*$B66)))</f>
        <v>0</v>
      </c>
      <c r="AC66" s="97">
        <f>IF(Option2="No",0,IF($A66&lt;ImplementationYear,0,IF($A66&gt;(ImplementationYear+(Appraisal_Period-1)),0,'Mode change'!$E$36*$B66)))</f>
        <v>0</v>
      </c>
      <c r="AD66" s="97">
        <f>IF(Option2="No",0,IF($A66&lt;ImplementationYear,0,IF($A66&gt;(ImplementationYear+(Appraisal_Period-1)),0,'Mode change'!$E$37*$B66)))</f>
        <v>0</v>
      </c>
      <c r="AE66" s="97">
        <f>IF(Option2="No",0,IF($A66&lt;ImplementationYear,0,IF($A66&gt;(ImplementationYear+(Appraisal_Period-1)),0,'Road safety'!$E$22*$B66)))</f>
        <v>0</v>
      </c>
      <c r="AF66" s="97">
        <f>IF(Option2="No",0,IF($A66&lt;ImplementationYear,0,IF($A66&gt;(ImplementationYear+(Appraisal_Period-1)),0,'Reduction in car usage'!$E$46*$B66)))</f>
        <v>0</v>
      </c>
      <c r="AG66" s="97">
        <f>IF(Option2="No",0,IF($A66&lt;ImplementationYear,0,IF($A66&gt;(ImplementationYear+(Appraisal_Period-1)),0,'Reduction in car usage'!$E$47*$B66)))</f>
        <v>0</v>
      </c>
      <c r="AH66" s="97">
        <f>IF(Option2="No",0,IF($A66&lt;ImplementationYear,0,IF($A66&gt;(ImplementationYear+(Appraisal_Period-1)),0,'Reduction in car usage'!$E$48*$B66)))</f>
        <v>0</v>
      </c>
      <c r="AJ66" s="94">
        <f>IF(Option3="No",0,IF($A66=ImplementationYear,('Project details'!$P$10-'Project details'!$D$10)*VLOOKUP(Year_cost_estimate,'Time-series parameters'!$B$11:$C$89,2,FALSE)*$B66*(1+Contingency),0))</f>
        <v>0</v>
      </c>
      <c r="AK66" s="94">
        <f>IF(Option3="No",0,IF($A66&lt;ImplementationYear,0,IF($A66&gt;(ImplementationYear+(Appraisal_Period-1)),0,('Project details'!$P$11-'Project details'!$D$11)*VLOOKUP(Year_cost_estimate,'Time-series parameters'!$B$11:$C$89,2,0))*$B66))</f>
        <v>0</v>
      </c>
      <c r="AL66" s="94">
        <f>IF(Option3="No",0,IF($A66=ImplementationYear,('Project details'!$P$12-'Project details'!$D$12)*VLOOKUP(Year_cost_estimate,'Time-series parameters'!$B$11:$C$89,2,FALSE)*$B66,0))</f>
        <v>0</v>
      </c>
      <c r="AM66" s="97">
        <f>IF(Option3="No",0,IF($A66&lt;ImplementationYear,0,IF($A66&gt;(ImplementationYear+(Appraisal_Period-1)),0,Health!$F$21*$B66)))</f>
        <v>0</v>
      </c>
      <c r="AN66" s="97">
        <f>IF(Option3="No",0,IF($A66&lt;ImplementationYear,0,IF($A66&gt;(ImplementationYear+(Appraisal_Period-1)),0,Health!$F$22*$B66)))</f>
        <v>0</v>
      </c>
      <c r="AO66" s="97">
        <f>IF(Option3="No",0,IF($A66&lt;ImplementationYear,0,IF($A66&gt;(ImplementationYear+(Appraisal_Period-1)),0,SUM('Travel time'!$F$22:$F$23)*$B66)))</f>
        <v>0</v>
      </c>
      <c r="AP66" s="97">
        <f>IF(Option3="No",0,IF($A66&lt;ImplementationYear,0,IF($A66&gt;(ImplementationYear+(Appraisal_Period-1)),0,SUM('Travel time'!$F$20:$F$21)*$B66)))</f>
        <v>0</v>
      </c>
      <c r="AQ66" s="97">
        <f>IF(Option3="No",0,IF($A66&lt;ImplementationYear,0,IF($A66&gt;(ImplementationYear+(Appraisal_Period-1)),0,SUM(Quality!$F$22:$F$23)*$B66)))</f>
        <v>0</v>
      </c>
      <c r="AR66" s="97">
        <f>IF(Option3="No",0,IF($A66&lt;ImplementationYear,0,IF($A66&gt;(ImplementationYear+(Appraisal_Period-1)),0,SUM(Quality!$F$20:$F$21)*$B66)))</f>
        <v>0</v>
      </c>
      <c r="AS66" s="97">
        <f>IF(Option3="No",0,IF($A66&lt;ImplementationYear,0,IF($A66&gt;(ImplementationYear+(Appraisal_Period-1)),0,'Mode change'!$F$36*$B66)))</f>
        <v>0</v>
      </c>
      <c r="AT66" s="97">
        <f>IF(Option3="No",0,IF($A66&lt;ImplementationYear,0,IF($A66&gt;(ImplementationYear+(Appraisal_Period-1)),0,'Mode change'!$F$37*$B66)))</f>
        <v>0</v>
      </c>
      <c r="AU66" s="97">
        <f>IF(Option3="No",0,IF($A66&lt;ImplementationYear,0,IF($A66&gt;(ImplementationYear+(Appraisal_Period-1)),0,'Road safety'!$F$22*$B66)))</f>
        <v>0</v>
      </c>
      <c r="AV66" s="97">
        <f>IF(Option3="No",0,IF($A66&lt;ImplementationYear,0,IF($A66&gt;(ImplementationYear+(Appraisal_Period-1)),0,'Reduction in car usage'!$F$46*$B66)))</f>
        <v>0</v>
      </c>
      <c r="AW66" s="97">
        <f>IF(Option3="No",0,IF($A66&lt;ImplementationYear,0,IF($A66&gt;(ImplementationYear+(Appraisal_Period-1)),0,'Reduction in car usage'!$F$47*$B66)))</f>
        <v>0</v>
      </c>
      <c r="AX66" s="97">
        <f>IF(Option3="No",0,IF($A66&lt;ImplementationYear,0,IF($A66&gt;(ImplementationYear+(Appraisal_Period-1)),0,'Reduction in car usage'!$F$48*$B66)))</f>
        <v>0</v>
      </c>
    </row>
    <row r="67" spans="1:50">
      <c r="A67" s="335">
        <v>2062</v>
      </c>
      <c r="B67" s="62">
        <f>VLOOKUP($A67,'Time-series parameters'!$E$11:$H$89,4,FALSE)</f>
        <v>0.12469036178115711</v>
      </c>
      <c r="C67" s="89"/>
      <c r="D67" s="94">
        <f>IF(Option1="No",0,IF($A67=ImplementationYear,('Project details'!$H$10-'Project details'!$D$10)*VLOOKUP(Year_cost_estimate,'Time-series parameters'!$B$11:$C$89,2,FALSE)*$B67*(1+Contingency),0))</f>
        <v>0</v>
      </c>
      <c r="E67" s="94">
        <f>IF(Option1="No",0,IF($A67&lt;ImplementationYear,0,IF($A67&gt;(ImplementationYear+(Appraisal_Period-1)),0,('Project details'!$H$11-'Project details'!$D$11)*VLOOKUP(Year_cost_estimate,'Time-series parameters'!$B$11:$C$89,2,0))*$B67))</f>
        <v>0</v>
      </c>
      <c r="F67" s="94">
        <f>IF(Option1="No",0,IF($A67=ImplementationYear,('Project details'!$H$12-'Project details'!$D$12)*VLOOKUP(Year_cost_estimate,'Time-series parameters'!$B$11:$C$89,2,FALSE)*$B67,0))</f>
        <v>0</v>
      </c>
      <c r="G67" s="97">
        <f>IF(Option1="No",0,IF($A67&lt;ImplementationYear,0,IF($A67&gt;(ImplementationYear+(Appraisal_Period-1)),0,Health!$D$21*$B67)))</f>
        <v>0</v>
      </c>
      <c r="H67" s="97">
        <f>IF(Option1="No",0,IF($A67&lt;ImplementationYear,0,IF($A67&gt;(ImplementationYear+(Appraisal_Period-1)),0,Health!$D$22*$B67)))</f>
        <v>0</v>
      </c>
      <c r="I67" s="97">
        <f>IF(Option1="No",0,IF($A67&lt;ImplementationYear,0,IF($A67&gt;(ImplementationYear+(Appraisal_Period-1)),0,SUM('Travel time'!$D$22:$D$23)*$B67)))</f>
        <v>0</v>
      </c>
      <c r="J67" s="97">
        <f>IF(Option1="No",0,IF($A67&lt;ImplementationYear,0,IF($A67&gt;(ImplementationYear+(Appraisal_Period-1)),0,SUM('Travel time'!$D$20:$D$21)*$B67)))</f>
        <v>0</v>
      </c>
      <c r="K67" s="97">
        <f>IF(Option1="No",0,IF($A67&lt;ImplementationYear,0,IF($A67&gt;(ImplementationYear+(Appraisal_Period-1)),0,SUM(Quality!$D$22:$D$23)*$B67)))</f>
        <v>0</v>
      </c>
      <c r="L67" s="97">
        <f>IF(Option1="No",0,IF($A67&lt;ImplementationYear,0,IF($A67&gt;(ImplementationYear+(Appraisal_Period-1)),0,SUM(Quality!$D$20:$D$21)*$B67)))</f>
        <v>0</v>
      </c>
      <c r="M67" s="97">
        <f>IF(Option1="No",0,IF($A67&lt;ImplementationYear,0,IF($A67&gt;(ImplementationYear+(Appraisal_Period-1)),0,'Mode change'!$D$36*$B67)))</f>
        <v>0</v>
      </c>
      <c r="N67" s="97">
        <f>IF(Option1="No",0,IF($A67&lt;ImplementationYear,0,IF($A67&gt;(ImplementationYear+(Appraisal_Period-1)),0,'Mode change'!$D$37*$B67)))</f>
        <v>0</v>
      </c>
      <c r="O67" s="97">
        <f>IF(Option1="No",0,IF($A67&lt;ImplementationYear,0,IF($A67&gt;(ImplementationYear+(Appraisal_Period-1)),0,'Road safety'!$D$22*$B67)))</f>
        <v>0</v>
      </c>
      <c r="P67" s="97">
        <f>IF(Option1="No",0,IF($A67&lt;ImplementationYear,0,IF($A67&gt;(ImplementationYear+(Appraisal_Period-1)),0,'Reduction in car usage'!$D$46*$B67)))</f>
        <v>0</v>
      </c>
      <c r="Q67" s="97">
        <f>IF(Option1="No",0,IF($A67&lt;ImplementationYear,0,IF($A67&gt;(ImplementationYear+(Appraisal_Period-1)),0,'Reduction in car usage'!$D$47*$B67)))</f>
        <v>0</v>
      </c>
      <c r="R67" s="97">
        <f>IF(Option1="No",0,IF($A67&lt;ImplementationYear,0,IF($A67&gt;(ImplementationYear+(Appraisal_Period-1)),0,'Reduction in car usage'!$D$48*$B67)))</f>
        <v>0</v>
      </c>
      <c r="S67" s="92"/>
      <c r="T67" s="94">
        <f>IF(Option2="No",0,IF($A67=ImplementationYear,('Project details'!$L$10-'Project details'!$D$10)*VLOOKUP(Year_cost_estimate,'Time-series parameters'!$B$11:$C$89,2,FALSE)*$B67*(1+Contingency),0))</f>
        <v>0</v>
      </c>
      <c r="U67" s="94">
        <f>IF(Option2="No",0,IF($A67&lt;ImplementationYear,0,IF($A67&gt;(ImplementationYear+(Appraisal_Period-1)),0,('Project details'!$L$11-'Project details'!$D$11)*VLOOKUP(Year_cost_estimate,'Time-series parameters'!$B$11:$C$89,2,0))*$B67))</f>
        <v>0</v>
      </c>
      <c r="V67" s="94">
        <f>IF(Option2="No",0,IF($A67=ImplementationYear,('Project details'!$L$12-'Project details'!$D$12)*VLOOKUP(Year_cost_estimate,'Time-series parameters'!$B$11:$C$89,2,FALSE)*$B67,0))</f>
        <v>0</v>
      </c>
      <c r="W67" s="97">
        <f>IF(Option2="No",0,IF($A67&lt;ImplementationYear,0,IF($A67&gt;(ImplementationYear+(Appraisal_Period-1)),0,Health!$E$21*$B67)))</f>
        <v>0</v>
      </c>
      <c r="X67" s="97">
        <f>IF(Option2="No",0,IF($A67&lt;ImplementationYear,0,IF($A67&gt;(ImplementationYear+(Appraisal_Period-1)),0,Health!$E$22*$B67)))</f>
        <v>0</v>
      </c>
      <c r="Y67" s="97">
        <f>IF(Option2="No",0,IF($A67&lt;ImplementationYear,0,IF($A67&gt;(ImplementationYear+(Appraisal_Period-1)),0,SUM('Travel time'!$E$22:$E$23)*$B67)))</f>
        <v>0</v>
      </c>
      <c r="Z67" s="97">
        <f>IF(Option2="No",0,IF($A67&lt;ImplementationYear,0,IF($A67&gt;(ImplementationYear+(Appraisal_Period-1)),0,SUM('Travel time'!$E$20:$E$21)*$B67)))</f>
        <v>0</v>
      </c>
      <c r="AA67" s="97">
        <f>IF(Option2="No",0,IF($A67&lt;ImplementationYear,0,IF($A67&gt;(ImplementationYear+(Appraisal_Period-1)),0,SUM(Quality!$E$22:$E$23)*$B67)))</f>
        <v>0</v>
      </c>
      <c r="AB67" s="97">
        <f>IF(Option2="No",0,IF($A67&lt;ImplementationYear,0,IF($A67&gt;(ImplementationYear+(Appraisal_Period-1)),0,SUM(Quality!$E$20:$E$21)*$B67)))</f>
        <v>0</v>
      </c>
      <c r="AC67" s="97">
        <f>IF(Option2="No",0,IF($A67&lt;ImplementationYear,0,IF($A67&gt;(ImplementationYear+(Appraisal_Period-1)),0,'Mode change'!$E$36*$B67)))</f>
        <v>0</v>
      </c>
      <c r="AD67" s="97">
        <f>IF(Option2="No",0,IF($A67&lt;ImplementationYear,0,IF($A67&gt;(ImplementationYear+(Appraisal_Period-1)),0,'Mode change'!$E$37*$B67)))</f>
        <v>0</v>
      </c>
      <c r="AE67" s="97">
        <f>IF(Option2="No",0,IF($A67&lt;ImplementationYear,0,IF($A67&gt;(ImplementationYear+(Appraisal_Period-1)),0,'Road safety'!$E$22*$B67)))</f>
        <v>0</v>
      </c>
      <c r="AF67" s="97">
        <f>IF(Option2="No",0,IF($A67&lt;ImplementationYear,0,IF($A67&gt;(ImplementationYear+(Appraisal_Period-1)),0,'Reduction in car usage'!$E$46*$B67)))</f>
        <v>0</v>
      </c>
      <c r="AG67" s="97">
        <f>IF(Option2="No",0,IF($A67&lt;ImplementationYear,0,IF($A67&gt;(ImplementationYear+(Appraisal_Period-1)),0,'Reduction in car usage'!$E$47*$B67)))</f>
        <v>0</v>
      </c>
      <c r="AH67" s="97">
        <f>IF(Option2="No",0,IF($A67&lt;ImplementationYear,0,IF($A67&gt;(ImplementationYear+(Appraisal_Period-1)),0,'Reduction in car usage'!$E$48*$B67)))</f>
        <v>0</v>
      </c>
      <c r="AJ67" s="94">
        <f>IF(Option3="No",0,IF($A67=ImplementationYear,('Project details'!$P$10-'Project details'!$D$10)*VLOOKUP(Year_cost_estimate,'Time-series parameters'!$B$11:$C$89,2,FALSE)*$B67*(1+Contingency),0))</f>
        <v>0</v>
      </c>
      <c r="AK67" s="94">
        <f>IF(Option3="No",0,IF($A67&lt;ImplementationYear,0,IF($A67&gt;(ImplementationYear+(Appraisal_Period-1)),0,('Project details'!$P$11-'Project details'!$D$11)*VLOOKUP(Year_cost_estimate,'Time-series parameters'!$B$11:$C$89,2,0))*$B67))</f>
        <v>0</v>
      </c>
      <c r="AL67" s="94">
        <f>IF(Option3="No",0,IF($A67=ImplementationYear,('Project details'!$P$12-'Project details'!$D$12)*VLOOKUP(Year_cost_estimate,'Time-series parameters'!$B$11:$C$89,2,FALSE)*$B67,0))</f>
        <v>0</v>
      </c>
      <c r="AM67" s="97">
        <f>IF(Option3="No",0,IF($A67&lt;ImplementationYear,0,IF($A67&gt;(ImplementationYear+(Appraisal_Period-1)),0,Health!$F$21*$B67)))</f>
        <v>0</v>
      </c>
      <c r="AN67" s="97">
        <f>IF(Option3="No",0,IF($A67&lt;ImplementationYear,0,IF($A67&gt;(ImplementationYear+(Appraisal_Period-1)),0,Health!$F$22*$B67)))</f>
        <v>0</v>
      </c>
      <c r="AO67" s="97">
        <f>IF(Option3="No",0,IF($A67&lt;ImplementationYear,0,IF($A67&gt;(ImplementationYear+(Appraisal_Period-1)),0,SUM('Travel time'!$F$22:$F$23)*$B67)))</f>
        <v>0</v>
      </c>
      <c r="AP67" s="97">
        <f>IF(Option3="No",0,IF($A67&lt;ImplementationYear,0,IF($A67&gt;(ImplementationYear+(Appraisal_Period-1)),0,SUM('Travel time'!$F$20:$F$21)*$B67)))</f>
        <v>0</v>
      </c>
      <c r="AQ67" s="97">
        <f>IF(Option3="No",0,IF($A67&lt;ImplementationYear,0,IF($A67&gt;(ImplementationYear+(Appraisal_Period-1)),0,SUM(Quality!$F$22:$F$23)*$B67)))</f>
        <v>0</v>
      </c>
      <c r="AR67" s="97">
        <f>IF(Option3="No",0,IF($A67&lt;ImplementationYear,0,IF($A67&gt;(ImplementationYear+(Appraisal_Period-1)),0,SUM(Quality!$F$20:$F$21)*$B67)))</f>
        <v>0</v>
      </c>
      <c r="AS67" s="97">
        <f>IF(Option3="No",0,IF($A67&lt;ImplementationYear,0,IF($A67&gt;(ImplementationYear+(Appraisal_Period-1)),0,'Mode change'!$F$36*$B67)))</f>
        <v>0</v>
      </c>
      <c r="AT67" s="97">
        <f>IF(Option3="No",0,IF($A67&lt;ImplementationYear,0,IF($A67&gt;(ImplementationYear+(Appraisal_Period-1)),0,'Mode change'!$F$37*$B67)))</f>
        <v>0</v>
      </c>
      <c r="AU67" s="97">
        <f>IF(Option3="No",0,IF($A67&lt;ImplementationYear,0,IF($A67&gt;(ImplementationYear+(Appraisal_Period-1)),0,'Road safety'!$F$22*$B67)))</f>
        <v>0</v>
      </c>
      <c r="AV67" s="97">
        <f>IF(Option3="No",0,IF($A67&lt;ImplementationYear,0,IF($A67&gt;(ImplementationYear+(Appraisal_Period-1)),0,'Reduction in car usage'!$F$46*$B67)))</f>
        <v>0</v>
      </c>
      <c r="AW67" s="97">
        <f>IF(Option3="No",0,IF($A67&lt;ImplementationYear,0,IF($A67&gt;(ImplementationYear+(Appraisal_Period-1)),0,'Reduction in car usage'!$F$47*$B67)))</f>
        <v>0</v>
      </c>
      <c r="AX67" s="97">
        <f>IF(Option3="No",0,IF($A67&lt;ImplementationYear,0,IF($A67&gt;(ImplementationYear+(Appraisal_Period-1)),0,'Reduction in car usage'!$F$48*$B67)))</f>
        <v>0</v>
      </c>
    </row>
    <row r="68" spans="1:50">
      <c r="A68" s="335">
        <v>2063</v>
      </c>
      <c r="B68" s="62">
        <f>VLOOKUP($A68,'Time-series parameters'!$E$11:$H$89,4,FALSE)</f>
        <v>0.11970274730991083</v>
      </c>
      <c r="C68" s="89"/>
      <c r="D68" s="94">
        <f>IF(Option1="No",0,IF($A68=ImplementationYear,('Project details'!$H$10-'Project details'!$D$10)*VLOOKUP(Year_cost_estimate,'Time-series parameters'!$B$11:$C$89,2,FALSE)*$B68*(1+Contingency),0))</f>
        <v>0</v>
      </c>
      <c r="E68" s="94">
        <f>IF(Option1="No",0,IF($A68&lt;ImplementationYear,0,IF($A68&gt;(ImplementationYear+(Appraisal_Period-1)),0,('Project details'!$H$11-'Project details'!$D$11)*VLOOKUP(Year_cost_estimate,'Time-series parameters'!$B$11:$C$89,2,0))*$B68))</f>
        <v>0</v>
      </c>
      <c r="F68" s="94">
        <f>IF(Option1="No",0,IF($A68=ImplementationYear,('Project details'!$H$12-'Project details'!$D$12)*VLOOKUP(Year_cost_estimate,'Time-series parameters'!$B$11:$C$89,2,FALSE)*$B68,0))</f>
        <v>0</v>
      </c>
      <c r="G68" s="97">
        <f>IF(Option1="No",0,IF($A68&lt;ImplementationYear,0,IF($A68&gt;(ImplementationYear+(Appraisal_Period-1)),0,Health!$D$21*$B68)))</f>
        <v>0</v>
      </c>
      <c r="H68" s="97">
        <f>IF(Option1="No",0,IF($A68&lt;ImplementationYear,0,IF($A68&gt;(ImplementationYear+(Appraisal_Period-1)),0,Health!$D$22*$B68)))</f>
        <v>0</v>
      </c>
      <c r="I68" s="97">
        <f>IF(Option1="No",0,IF($A68&lt;ImplementationYear,0,IF($A68&gt;(ImplementationYear+(Appraisal_Period-1)),0,SUM('Travel time'!$D$22:$D$23)*$B68)))</f>
        <v>0</v>
      </c>
      <c r="J68" s="97">
        <f>IF(Option1="No",0,IF($A68&lt;ImplementationYear,0,IF($A68&gt;(ImplementationYear+(Appraisal_Period-1)),0,SUM('Travel time'!$D$20:$D$21)*$B68)))</f>
        <v>0</v>
      </c>
      <c r="K68" s="97">
        <f>IF(Option1="No",0,IF($A68&lt;ImplementationYear,0,IF($A68&gt;(ImplementationYear+(Appraisal_Period-1)),0,SUM(Quality!$D$22:$D$23)*$B68)))</f>
        <v>0</v>
      </c>
      <c r="L68" s="97">
        <f>IF(Option1="No",0,IF($A68&lt;ImplementationYear,0,IF($A68&gt;(ImplementationYear+(Appraisal_Period-1)),0,SUM(Quality!$D$20:$D$21)*$B68)))</f>
        <v>0</v>
      </c>
      <c r="M68" s="97">
        <f>IF(Option1="No",0,IF($A68&lt;ImplementationYear,0,IF($A68&gt;(ImplementationYear+(Appraisal_Period-1)),0,'Mode change'!$D$36*$B68)))</f>
        <v>0</v>
      </c>
      <c r="N68" s="97">
        <f>IF(Option1="No",0,IF($A68&lt;ImplementationYear,0,IF($A68&gt;(ImplementationYear+(Appraisal_Period-1)),0,'Mode change'!$D$37*$B68)))</f>
        <v>0</v>
      </c>
      <c r="O68" s="97">
        <f>IF(Option1="No",0,IF($A68&lt;ImplementationYear,0,IF($A68&gt;(ImplementationYear+(Appraisal_Period-1)),0,'Road safety'!$D$22*$B68)))</f>
        <v>0</v>
      </c>
      <c r="P68" s="97">
        <f>IF(Option1="No",0,IF($A68&lt;ImplementationYear,0,IF($A68&gt;(ImplementationYear+(Appraisal_Period-1)),0,'Reduction in car usage'!$D$46*$B68)))</f>
        <v>0</v>
      </c>
      <c r="Q68" s="97">
        <f>IF(Option1="No",0,IF($A68&lt;ImplementationYear,0,IF($A68&gt;(ImplementationYear+(Appraisal_Period-1)),0,'Reduction in car usage'!$D$47*$B68)))</f>
        <v>0</v>
      </c>
      <c r="R68" s="97">
        <f>IF(Option1="No",0,IF($A68&lt;ImplementationYear,0,IF($A68&gt;(ImplementationYear+(Appraisal_Period-1)),0,'Reduction in car usage'!$D$48*$B68)))</f>
        <v>0</v>
      </c>
      <c r="S68" s="92"/>
      <c r="T68" s="94">
        <f>IF(Option2="No",0,IF($A68=ImplementationYear,('Project details'!$L$10-'Project details'!$D$10)*VLOOKUP(Year_cost_estimate,'Time-series parameters'!$B$11:$C$89,2,FALSE)*$B68*(1+Contingency),0))</f>
        <v>0</v>
      </c>
      <c r="U68" s="94">
        <f>IF(Option2="No",0,IF($A68&lt;ImplementationYear,0,IF($A68&gt;(ImplementationYear+(Appraisal_Period-1)),0,('Project details'!$L$11-'Project details'!$D$11)*VLOOKUP(Year_cost_estimate,'Time-series parameters'!$B$11:$C$89,2,0))*$B68))</f>
        <v>0</v>
      </c>
      <c r="V68" s="94">
        <f>IF(Option2="No",0,IF($A68=ImplementationYear,('Project details'!$L$12-'Project details'!$D$12)*VLOOKUP(Year_cost_estimate,'Time-series parameters'!$B$11:$C$89,2,FALSE)*$B68,0))</f>
        <v>0</v>
      </c>
      <c r="W68" s="97">
        <f>IF(Option2="No",0,IF($A68&lt;ImplementationYear,0,IF($A68&gt;(ImplementationYear+(Appraisal_Period-1)),0,Health!$E$21*$B68)))</f>
        <v>0</v>
      </c>
      <c r="X68" s="97">
        <f>IF(Option2="No",0,IF($A68&lt;ImplementationYear,0,IF($A68&gt;(ImplementationYear+(Appraisal_Period-1)),0,Health!$E$22*$B68)))</f>
        <v>0</v>
      </c>
      <c r="Y68" s="97">
        <f>IF(Option2="No",0,IF($A68&lt;ImplementationYear,0,IF($A68&gt;(ImplementationYear+(Appraisal_Period-1)),0,SUM('Travel time'!$E$22:$E$23)*$B68)))</f>
        <v>0</v>
      </c>
      <c r="Z68" s="97">
        <f>IF(Option2="No",0,IF($A68&lt;ImplementationYear,0,IF($A68&gt;(ImplementationYear+(Appraisal_Period-1)),0,SUM('Travel time'!$E$20:$E$21)*$B68)))</f>
        <v>0</v>
      </c>
      <c r="AA68" s="97">
        <f>IF(Option2="No",0,IF($A68&lt;ImplementationYear,0,IF($A68&gt;(ImplementationYear+(Appraisal_Period-1)),0,SUM(Quality!$E$22:$E$23)*$B68)))</f>
        <v>0</v>
      </c>
      <c r="AB68" s="97">
        <f>IF(Option2="No",0,IF($A68&lt;ImplementationYear,0,IF($A68&gt;(ImplementationYear+(Appraisal_Period-1)),0,SUM(Quality!$E$20:$E$21)*$B68)))</f>
        <v>0</v>
      </c>
      <c r="AC68" s="97">
        <f>IF(Option2="No",0,IF($A68&lt;ImplementationYear,0,IF($A68&gt;(ImplementationYear+(Appraisal_Period-1)),0,'Mode change'!$E$36*$B68)))</f>
        <v>0</v>
      </c>
      <c r="AD68" s="97">
        <f>IF(Option2="No",0,IF($A68&lt;ImplementationYear,0,IF($A68&gt;(ImplementationYear+(Appraisal_Period-1)),0,'Mode change'!$E$37*$B68)))</f>
        <v>0</v>
      </c>
      <c r="AE68" s="97">
        <f>IF(Option2="No",0,IF($A68&lt;ImplementationYear,0,IF($A68&gt;(ImplementationYear+(Appraisal_Period-1)),0,'Road safety'!$E$22*$B68)))</f>
        <v>0</v>
      </c>
      <c r="AF68" s="97">
        <f>IF(Option2="No",0,IF($A68&lt;ImplementationYear,0,IF($A68&gt;(ImplementationYear+(Appraisal_Period-1)),0,'Reduction in car usage'!$E$46*$B68)))</f>
        <v>0</v>
      </c>
      <c r="AG68" s="97">
        <f>IF(Option2="No",0,IF($A68&lt;ImplementationYear,0,IF($A68&gt;(ImplementationYear+(Appraisal_Period-1)),0,'Reduction in car usage'!$E$47*$B68)))</f>
        <v>0</v>
      </c>
      <c r="AH68" s="97">
        <f>IF(Option2="No",0,IF($A68&lt;ImplementationYear,0,IF($A68&gt;(ImplementationYear+(Appraisal_Period-1)),0,'Reduction in car usage'!$E$48*$B68)))</f>
        <v>0</v>
      </c>
      <c r="AJ68" s="94">
        <f>IF(Option3="No",0,IF($A68=ImplementationYear,('Project details'!$P$10-'Project details'!$D$10)*VLOOKUP(Year_cost_estimate,'Time-series parameters'!$B$11:$C$89,2,FALSE)*$B68*(1+Contingency),0))</f>
        <v>0</v>
      </c>
      <c r="AK68" s="94">
        <f>IF(Option3="No",0,IF($A68&lt;ImplementationYear,0,IF($A68&gt;(ImplementationYear+(Appraisal_Period-1)),0,('Project details'!$P$11-'Project details'!$D$11)*VLOOKUP(Year_cost_estimate,'Time-series parameters'!$B$11:$C$89,2,0))*$B68))</f>
        <v>0</v>
      </c>
      <c r="AL68" s="94">
        <f>IF(Option3="No",0,IF($A68=ImplementationYear,('Project details'!$P$12-'Project details'!$D$12)*VLOOKUP(Year_cost_estimate,'Time-series parameters'!$B$11:$C$89,2,FALSE)*$B68,0))</f>
        <v>0</v>
      </c>
      <c r="AM68" s="97">
        <f>IF(Option3="No",0,IF($A68&lt;ImplementationYear,0,IF($A68&gt;(ImplementationYear+(Appraisal_Period-1)),0,Health!$F$21*$B68)))</f>
        <v>0</v>
      </c>
      <c r="AN68" s="97">
        <f>IF(Option3="No",0,IF($A68&lt;ImplementationYear,0,IF($A68&gt;(ImplementationYear+(Appraisal_Period-1)),0,Health!$F$22*$B68)))</f>
        <v>0</v>
      </c>
      <c r="AO68" s="97">
        <f>IF(Option3="No",0,IF($A68&lt;ImplementationYear,0,IF($A68&gt;(ImplementationYear+(Appraisal_Period-1)),0,SUM('Travel time'!$F$22:$F$23)*$B68)))</f>
        <v>0</v>
      </c>
      <c r="AP68" s="97">
        <f>IF(Option3="No",0,IF($A68&lt;ImplementationYear,0,IF($A68&gt;(ImplementationYear+(Appraisal_Period-1)),0,SUM('Travel time'!$F$20:$F$21)*$B68)))</f>
        <v>0</v>
      </c>
      <c r="AQ68" s="97">
        <f>IF(Option3="No",0,IF($A68&lt;ImplementationYear,0,IF($A68&gt;(ImplementationYear+(Appraisal_Period-1)),0,SUM(Quality!$F$22:$F$23)*$B68)))</f>
        <v>0</v>
      </c>
      <c r="AR68" s="97">
        <f>IF(Option3="No",0,IF($A68&lt;ImplementationYear,0,IF($A68&gt;(ImplementationYear+(Appraisal_Period-1)),0,SUM(Quality!$F$20:$F$21)*$B68)))</f>
        <v>0</v>
      </c>
      <c r="AS68" s="97">
        <f>IF(Option3="No",0,IF($A68&lt;ImplementationYear,0,IF($A68&gt;(ImplementationYear+(Appraisal_Period-1)),0,'Mode change'!$F$36*$B68)))</f>
        <v>0</v>
      </c>
      <c r="AT68" s="97">
        <f>IF(Option3="No",0,IF($A68&lt;ImplementationYear,0,IF($A68&gt;(ImplementationYear+(Appraisal_Period-1)),0,'Mode change'!$F$37*$B68)))</f>
        <v>0</v>
      </c>
      <c r="AU68" s="97">
        <f>IF(Option3="No",0,IF($A68&lt;ImplementationYear,0,IF($A68&gt;(ImplementationYear+(Appraisal_Period-1)),0,'Road safety'!$F$22*$B68)))</f>
        <v>0</v>
      </c>
      <c r="AV68" s="97">
        <f>IF(Option3="No",0,IF($A68&lt;ImplementationYear,0,IF($A68&gt;(ImplementationYear+(Appraisal_Period-1)),0,'Reduction in car usage'!$F$46*$B68)))</f>
        <v>0</v>
      </c>
      <c r="AW68" s="97">
        <f>IF(Option3="No",0,IF($A68&lt;ImplementationYear,0,IF($A68&gt;(ImplementationYear+(Appraisal_Period-1)),0,'Reduction in car usage'!$F$47*$B68)))</f>
        <v>0</v>
      </c>
      <c r="AX68" s="97">
        <f>IF(Option3="No",0,IF($A68&lt;ImplementationYear,0,IF($A68&gt;(ImplementationYear+(Appraisal_Period-1)),0,'Reduction in car usage'!$F$48*$B68)))</f>
        <v>0</v>
      </c>
    </row>
    <row r="69" spans="1:50">
      <c r="A69" s="335">
        <v>2064</v>
      </c>
      <c r="B69" s="62">
        <f>VLOOKUP($A69,'Time-series parameters'!$E$11:$H$89,4,FALSE)</f>
        <v>0.1149146374175144</v>
      </c>
      <c r="C69" s="89"/>
      <c r="D69" s="94">
        <f>IF(Option1="No",0,IF($A69=ImplementationYear,('Project details'!$H$10-'Project details'!$D$10)*VLOOKUP(Year_cost_estimate,'Time-series parameters'!$B$11:$C$89,2,FALSE)*$B69*(1+Contingency),0))</f>
        <v>0</v>
      </c>
      <c r="E69" s="94">
        <f>IF(Option1="No",0,IF($A69&lt;ImplementationYear,0,IF($A69&gt;(ImplementationYear+(Appraisal_Period-1)),0,('Project details'!$H$11-'Project details'!$D$11)*VLOOKUP(Year_cost_estimate,'Time-series parameters'!$B$11:$C$89,2,0))*$B69))</f>
        <v>0</v>
      </c>
      <c r="F69" s="94">
        <f>IF(Option1="No",0,IF($A69=ImplementationYear,('Project details'!$H$12-'Project details'!$D$12)*VLOOKUP(Year_cost_estimate,'Time-series parameters'!$B$11:$C$89,2,FALSE)*$B69,0))</f>
        <v>0</v>
      </c>
      <c r="G69" s="97">
        <f>IF(Option1="No",0,IF($A69&lt;ImplementationYear,0,IF($A69&gt;(ImplementationYear+(Appraisal_Period-1)),0,Health!$D$21*$B69)))</f>
        <v>0</v>
      </c>
      <c r="H69" s="97">
        <f>IF(Option1="No",0,IF($A69&lt;ImplementationYear,0,IF($A69&gt;(ImplementationYear+(Appraisal_Period-1)),0,Health!$D$22*$B69)))</f>
        <v>0</v>
      </c>
      <c r="I69" s="97">
        <f>IF(Option1="No",0,IF($A69&lt;ImplementationYear,0,IF($A69&gt;(ImplementationYear+(Appraisal_Period-1)),0,SUM('Travel time'!$D$22:$D$23)*$B69)))</f>
        <v>0</v>
      </c>
      <c r="J69" s="97">
        <f>IF(Option1="No",0,IF($A69&lt;ImplementationYear,0,IF($A69&gt;(ImplementationYear+(Appraisal_Period-1)),0,SUM('Travel time'!$D$20:$D$21)*$B69)))</f>
        <v>0</v>
      </c>
      <c r="K69" s="97">
        <f>IF(Option1="No",0,IF($A69&lt;ImplementationYear,0,IF($A69&gt;(ImplementationYear+(Appraisal_Period-1)),0,SUM(Quality!$D$22:$D$23)*$B69)))</f>
        <v>0</v>
      </c>
      <c r="L69" s="97">
        <f>IF(Option1="No",0,IF($A69&lt;ImplementationYear,0,IF($A69&gt;(ImplementationYear+(Appraisal_Period-1)),0,SUM(Quality!$D$20:$D$21)*$B69)))</f>
        <v>0</v>
      </c>
      <c r="M69" s="97">
        <f>IF(Option1="No",0,IF($A69&lt;ImplementationYear,0,IF($A69&gt;(ImplementationYear+(Appraisal_Period-1)),0,'Mode change'!$D$36*$B69)))</f>
        <v>0</v>
      </c>
      <c r="N69" s="97">
        <f>IF(Option1="No",0,IF($A69&lt;ImplementationYear,0,IF($A69&gt;(ImplementationYear+(Appraisal_Period-1)),0,'Mode change'!$D$37*$B69)))</f>
        <v>0</v>
      </c>
      <c r="O69" s="97">
        <f>IF(Option1="No",0,IF($A69&lt;ImplementationYear,0,IF($A69&gt;(ImplementationYear+(Appraisal_Period-1)),0,'Road safety'!$D$22*$B69)))</f>
        <v>0</v>
      </c>
      <c r="P69" s="97">
        <f>IF(Option1="No",0,IF($A69&lt;ImplementationYear,0,IF($A69&gt;(ImplementationYear+(Appraisal_Period-1)),0,'Reduction in car usage'!$D$46*$B69)))</f>
        <v>0</v>
      </c>
      <c r="Q69" s="97">
        <f>IF(Option1="No",0,IF($A69&lt;ImplementationYear,0,IF($A69&gt;(ImplementationYear+(Appraisal_Period-1)),0,'Reduction in car usage'!$D$47*$B69)))</f>
        <v>0</v>
      </c>
      <c r="R69" s="97">
        <f>IF(Option1="No",0,IF($A69&lt;ImplementationYear,0,IF($A69&gt;(ImplementationYear+(Appraisal_Period-1)),0,'Reduction in car usage'!$D$48*$B69)))</f>
        <v>0</v>
      </c>
      <c r="S69" s="92"/>
      <c r="T69" s="94">
        <f>IF(Option2="No",0,IF($A69=ImplementationYear,('Project details'!$L$10-'Project details'!$D$10)*VLOOKUP(Year_cost_estimate,'Time-series parameters'!$B$11:$C$89,2,FALSE)*$B69*(1+Contingency),0))</f>
        <v>0</v>
      </c>
      <c r="U69" s="94">
        <f>IF(Option2="No",0,IF($A69&lt;ImplementationYear,0,IF($A69&gt;(ImplementationYear+(Appraisal_Period-1)),0,('Project details'!$L$11-'Project details'!$D$11)*VLOOKUP(Year_cost_estimate,'Time-series parameters'!$B$11:$C$89,2,0))*$B69))</f>
        <v>0</v>
      </c>
      <c r="V69" s="94">
        <f>IF(Option2="No",0,IF($A69=ImplementationYear,('Project details'!$L$12-'Project details'!$D$12)*VLOOKUP(Year_cost_estimate,'Time-series parameters'!$B$11:$C$89,2,FALSE)*$B69,0))</f>
        <v>0</v>
      </c>
      <c r="W69" s="97">
        <f>IF(Option2="No",0,IF($A69&lt;ImplementationYear,0,IF($A69&gt;(ImplementationYear+(Appraisal_Period-1)),0,Health!$E$21*$B69)))</f>
        <v>0</v>
      </c>
      <c r="X69" s="97">
        <f>IF(Option2="No",0,IF($A69&lt;ImplementationYear,0,IF($A69&gt;(ImplementationYear+(Appraisal_Period-1)),0,Health!$E$22*$B69)))</f>
        <v>0</v>
      </c>
      <c r="Y69" s="97">
        <f>IF(Option2="No",0,IF($A69&lt;ImplementationYear,0,IF($A69&gt;(ImplementationYear+(Appraisal_Period-1)),0,SUM('Travel time'!$E$22:$E$23)*$B69)))</f>
        <v>0</v>
      </c>
      <c r="Z69" s="97">
        <f>IF(Option2="No",0,IF($A69&lt;ImplementationYear,0,IF($A69&gt;(ImplementationYear+(Appraisal_Period-1)),0,SUM('Travel time'!$E$20:$E$21)*$B69)))</f>
        <v>0</v>
      </c>
      <c r="AA69" s="97">
        <f>IF(Option2="No",0,IF($A69&lt;ImplementationYear,0,IF($A69&gt;(ImplementationYear+(Appraisal_Period-1)),0,SUM(Quality!$E$22:$E$23)*$B69)))</f>
        <v>0</v>
      </c>
      <c r="AB69" s="97">
        <f>IF(Option2="No",0,IF($A69&lt;ImplementationYear,0,IF($A69&gt;(ImplementationYear+(Appraisal_Period-1)),0,SUM(Quality!$E$20:$E$21)*$B69)))</f>
        <v>0</v>
      </c>
      <c r="AC69" s="97">
        <f>IF(Option2="No",0,IF($A69&lt;ImplementationYear,0,IF($A69&gt;(ImplementationYear+(Appraisal_Period-1)),0,'Mode change'!$E$36*$B69)))</f>
        <v>0</v>
      </c>
      <c r="AD69" s="97">
        <f>IF(Option2="No",0,IF($A69&lt;ImplementationYear,0,IF($A69&gt;(ImplementationYear+(Appraisal_Period-1)),0,'Mode change'!$E$37*$B69)))</f>
        <v>0</v>
      </c>
      <c r="AE69" s="97">
        <f>IF(Option2="No",0,IF($A69&lt;ImplementationYear,0,IF($A69&gt;(ImplementationYear+(Appraisal_Period-1)),0,'Road safety'!$E$22*$B69)))</f>
        <v>0</v>
      </c>
      <c r="AF69" s="97">
        <f>IF(Option2="No",0,IF($A69&lt;ImplementationYear,0,IF($A69&gt;(ImplementationYear+(Appraisal_Period-1)),0,'Reduction in car usage'!$E$46*$B69)))</f>
        <v>0</v>
      </c>
      <c r="AG69" s="97">
        <f>IF(Option2="No",0,IF($A69&lt;ImplementationYear,0,IF($A69&gt;(ImplementationYear+(Appraisal_Period-1)),0,'Reduction in car usage'!$E$47*$B69)))</f>
        <v>0</v>
      </c>
      <c r="AH69" s="97">
        <f>IF(Option2="No",0,IF($A69&lt;ImplementationYear,0,IF($A69&gt;(ImplementationYear+(Appraisal_Period-1)),0,'Reduction in car usage'!$E$48*$B69)))</f>
        <v>0</v>
      </c>
      <c r="AJ69" s="94">
        <f>IF(Option3="No",0,IF($A69=ImplementationYear,('Project details'!$P$10-'Project details'!$D$10)*VLOOKUP(Year_cost_estimate,'Time-series parameters'!$B$11:$C$89,2,FALSE)*$B69*(1+Contingency),0))</f>
        <v>0</v>
      </c>
      <c r="AK69" s="94">
        <f>IF(Option3="No",0,IF($A69&lt;ImplementationYear,0,IF($A69&gt;(ImplementationYear+(Appraisal_Period-1)),0,('Project details'!$P$11-'Project details'!$D$11)*VLOOKUP(Year_cost_estimate,'Time-series parameters'!$B$11:$C$89,2,0))*$B69))</f>
        <v>0</v>
      </c>
      <c r="AL69" s="94">
        <f>IF(Option3="No",0,IF($A69=ImplementationYear,('Project details'!$P$12-'Project details'!$D$12)*VLOOKUP(Year_cost_estimate,'Time-series parameters'!$B$11:$C$89,2,FALSE)*$B69,0))</f>
        <v>0</v>
      </c>
      <c r="AM69" s="97">
        <f>IF(Option3="No",0,IF($A69&lt;ImplementationYear,0,IF($A69&gt;(ImplementationYear+(Appraisal_Period-1)),0,Health!$F$21*$B69)))</f>
        <v>0</v>
      </c>
      <c r="AN69" s="97">
        <f>IF(Option3="No",0,IF($A69&lt;ImplementationYear,0,IF($A69&gt;(ImplementationYear+(Appraisal_Period-1)),0,Health!$F$22*$B69)))</f>
        <v>0</v>
      </c>
      <c r="AO69" s="97">
        <f>IF(Option3="No",0,IF($A69&lt;ImplementationYear,0,IF($A69&gt;(ImplementationYear+(Appraisal_Period-1)),0,SUM('Travel time'!$F$22:$F$23)*$B69)))</f>
        <v>0</v>
      </c>
      <c r="AP69" s="97">
        <f>IF(Option3="No",0,IF($A69&lt;ImplementationYear,0,IF($A69&gt;(ImplementationYear+(Appraisal_Period-1)),0,SUM('Travel time'!$F$20:$F$21)*$B69)))</f>
        <v>0</v>
      </c>
      <c r="AQ69" s="97">
        <f>IF(Option3="No",0,IF($A69&lt;ImplementationYear,0,IF($A69&gt;(ImplementationYear+(Appraisal_Period-1)),0,SUM(Quality!$F$22:$F$23)*$B69)))</f>
        <v>0</v>
      </c>
      <c r="AR69" s="97">
        <f>IF(Option3="No",0,IF($A69&lt;ImplementationYear,0,IF($A69&gt;(ImplementationYear+(Appraisal_Period-1)),0,SUM(Quality!$F$20:$F$21)*$B69)))</f>
        <v>0</v>
      </c>
      <c r="AS69" s="97">
        <f>IF(Option3="No",0,IF($A69&lt;ImplementationYear,0,IF($A69&gt;(ImplementationYear+(Appraisal_Period-1)),0,'Mode change'!$F$36*$B69)))</f>
        <v>0</v>
      </c>
      <c r="AT69" s="97">
        <f>IF(Option3="No",0,IF($A69&lt;ImplementationYear,0,IF($A69&gt;(ImplementationYear+(Appraisal_Period-1)),0,'Mode change'!$F$37*$B69)))</f>
        <v>0</v>
      </c>
      <c r="AU69" s="97">
        <f>IF(Option3="No",0,IF($A69&lt;ImplementationYear,0,IF($A69&gt;(ImplementationYear+(Appraisal_Period-1)),0,'Road safety'!$F$22*$B69)))</f>
        <v>0</v>
      </c>
      <c r="AV69" s="97">
        <f>IF(Option3="No",0,IF($A69&lt;ImplementationYear,0,IF($A69&gt;(ImplementationYear+(Appraisal_Period-1)),0,'Reduction in car usage'!$F$46*$B69)))</f>
        <v>0</v>
      </c>
      <c r="AW69" s="97">
        <f>IF(Option3="No",0,IF($A69&lt;ImplementationYear,0,IF($A69&gt;(ImplementationYear+(Appraisal_Period-1)),0,'Reduction in car usage'!$F$47*$B69)))</f>
        <v>0</v>
      </c>
      <c r="AX69" s="97">
        <f>IF(Option3="No",0,IF($A69&lt;ImplementationYear,0,IF($A69&gt;(ImplementationYear+(Appraisal_Period-1)),0,'Reduction in car usage'!$F$48*$B69)))</f>
        <v>0</v>
      </c>
    </row>
    <row r="70" spans="1:50">
      <c r="A70" s="335">
        <v>2065</v>
      </c>
      <c r="B70" s="62">
        <f>VLOOKUP($A70,'Time-series parameters'!$E$11:$H$89,4,FALSE)</f>
        <v>0.11031805192081383</v>
      </c>
      <c r="C70" s="89"/>
      <c r="D70" s="94">
        <f>IF(Option1="No",0,IF($A70=ImplementationYear,('Project details'!$H$10-'Project details'!$D$10)*VLOOKUP(Year_cost_estimate,'Time-series parameters'!$B$11:$C$89,2,FALSE)*$B70*(1+Contingency),0))</f>
        <v>0</v>
      </c>
      <c r="E70" s="94">
        <f>IF(Option1="No",0,IF($A70&lt;ImplementationYear,0,IF($A70&gt;(ImplementationYear+(Appraisal_Period-1)),0,('Project details'!$H$11-'Project details'!$D$11)*VLOOKUP(Year_cost_estimate,'Time-series parameters'!$B$11:$C$89,2,0))*$B70))</f>
        <v>0</v>
      </c>
      <c r="F70" s="94">
        <f>IF(Option1="No",0,IF($A70=ImplementationYear,('Project details'!$H$12-'Project details'!$D$12)*VLOOKUP(Year_cost_estimate,'Time-series parameters'!$B$11:$C$89,2,FALSE)*$B70,0))</f>
        <v>0</v>
      </c>
      <c r="G70" s="97">
        <f>IF(Option1="No",0,IF($A70&lt;ImplementationYear,0,IF($A70&gt;(ImplementationYear+(Appraisal_Period-1)),0,Health!$D$21*$B70)))</f>
        <v>0</v>
      </c>
      <c r="H70" s="97">
        <f>IF(Option1="No",0,IF($A70&lt;ImplementationYear,0,IF($A70&gt;(ImplementationYear+(Appraisal_Period-1)),0,Health!$D$22*$B70)))</f>
        <v>0</v>
      </c>
      <c r="I70" s="97">
        <f>IF(Option1="No",0,IF($A70&lt;ImplementationYear,0,IF($A70&gt;(ImplementationYear+(Appraisal_Period-1)),0,SUM('Travel time'!$D$22:$D$23)*$B70)))</f>
        <v>0</v>
      </c>
      <c r="J70" s="97">
        <f>IF(Option1="No",0,IF($A70&lt;ImplementationYear,0,IF($A70&gt;(ImplementationYear+(Appraisal_Period-1)),0,SUM('Travel time'!$D$20:$D$21)*$B70)))</f>
        <v>0</v>
      </c>
      <c r="K70" s="97">
        <f>IF(Option1="No",0,IF($A70&lt;ImplementationYear,0,IF($A70&gt;(ImplementationYear+(Appraisal_Period-1)),0,SUM(Quality!$D$22:$D$23)*$B70)))</f>
        <v>0</v>
      </c>
      <c r="L70" s="97">
        <f>IF(Option1="No",0,IF($A70&lt;ImplementationYear,0,IF($A70&gt;(ImplementationYear+(Appraisal_Period-1)),0,SUM(Quality!$D$20:$D$21)*$B70)))</f>
        <v>0</v>
      </c>
      <c r="M70" s="97">
        <f>IF(Option1="No",0,IF($A70&lt;ImplementationYear,0,IF($A70&gt;(ImplementationYear+(Appraisal_Period-1)),0,'Mode change'!$D$36*$B70)))</f>
        <v>0</v>
      </c>
      <c r="N70" s="97">
        <f>IF(Option1="No",0,IF($A70&lt;ImplementationYear,0,IF($A70&gt;(ImplementationYear+(Appraisal_Period-1)),0,'Mode change'!$D$37*$B70)))</f>
        <v>0</v>
      </c>
      <c r="O70" s="97">
        <f>IF(Option1="No",0,IF($A70&lt;ImplementationYear,0,IF($A70&gt;(ImplementationYear+(Appraisal_Period-1)),0,'Road safety'!$D$22*$B70)))</f>
        <v>0</v>
      </c>
      <c r="P70" s="97">
        <f>IF(Option1="No",0,IF($A70&lt;ImplementationYear,0,IF($A70&gt;(ImplementationYear+(Appraisal_Period-1)),0,'Reduction in car usage'!$D$46*$B70)))</f>
        <v>0</v>
      </c>
      <c r="Q70" s="97">
        <f>IF(Option1="No",0,IF($A70&lt;ImplementationYear,0,IF($A70&gt;(ImplementationYear+(Appraisal_Period-1)),0,'Reduction in car usage'!$D$47*$B70)))</f>
        <v>0</v>
      </c>
      <c r="R70" s="97">
        <f>IF(Option1="No",0,IF($A70&lt;ImplementationYear,0,IF($A70&gt;(ImplementationYear+(Appraisal_Period-1)),0,'Reduction in car usage'!$D$48*$B70)))</f>
        <v>0</v>
      </c>
      <c r="S70" s="92"/>
      <c r="T70" s="94">
        <f>IF(Option2="No",0,IF($A70=ImplementationYear,('Project details'!$L$10-'Project details'!$D$10)*VLOOKUP(Year_cost_estimate,'Time-series parameters'!$B$11:$C$89,2,FALSE)*$B70*(1+Contingency),0))</f>
        <v>0</v>
      </c>
      <c r="U70" s="94">
        <f>IF(Option2="No",0,IF($A70&lt;ImplementationYear,0,IF($A70&gt;(ImplementationYear+(Appraisal_Period-1)),0,('Project details'!$L$11-'Project details'!$D$11)*VLOOKUP(Year_cost_estimate,'Time-series parameters'!$B$11:$C$89,2,0))*$B70))</f>
        <v>0</v>
      </c>
      <c r="V70" s="94">
        <f>IF(Option2="No",0,IF($A70=ImplementationYear,('Project details'!$L$12-'Project details'!$D$12)*VLOOKUP(Year_cost_estimate,'Time-series parameters'!$B$11:$C$89,2,FALSE)*$B70,0))</f>
        <v>0</v>
      </c>
      <c r="W70" s="97">
        <f>IF(Option2="No",0,IF($A70&lt;ImplementationYear,0,IF($A70&gt;(ImplementationYear+(Appraisal_Period-1)),0,Health!$E$21*$B70)))</f>
        <v>0</v>
      </c>
      <c r="X70" s="97">
        <f>IF(Option2="No",0,IF($A70&lt;ImplementationYear,0,IF($A70&gt;(ImplementationYear+(Appraisal_Period-1)),0,Health!$E$22*$B70)))</f>
        <v>0</v>
      </c>
      <c r="Y70" s="97">
        <f>IF(Option2="No",0,IF($A70&lt;ImplementationYear,0,IF($A70&gt;(ImplementationYear+(Appraisal_Period-1)),0,SUM('Travel time'!$E$22:$E$23)*$B70)))</f>
        <v>0</v>
      </c>
      <c r="Z70" s="97">
        <f>IF(Option2="No",0,IF($A70&lt;ImplementationYear,0,IF($A70&gt;(ImplementationYear+(Appraisal_Period-1)),0,SUM('Travel time'!$E$20:$E$21)*$B70)))</f>
        <v>0</v>
      </c>
      <c r="AA70" s="97">
        <f>IF(Option2="No",0,IF($A70&lt;ImplementationYear,0,IF($A70&gt;(ImplementationYear+(Appraisal_Period-1)),0,SUM(Quality!$E$22:$E$23)*$B70)))</f>
        <v>0</v>
      </c>
      <c r="AB70" s="97">
        <f>IF(Option2="No",0,IF($A70&lt;ImplementationYear,0,IF($A70&gt;(ImplementationYear+(Appraisal_Period-1)),0,SUM(Quality!$E$20:$E$21)*$B70)))</f>
        <v>0</v>
      </c>
      <c r="AC70" s="97">
        <f>IF(Option2="No",0,IF($A70&lt;ImplementationYear,0,IF($A70&gt;(ImplementationYear+(Appraisal_Period-1)),0,'Mode change'!$E$36*$B70)))</f>
        <v>0</v>
      </c>
      <c r="AD70" s="97">
        <f>IF(Option2="No",0,IF($A70&lt;ImplementationYear,0,IF($A70&gt;(ImplementationYear+(Appraisal_Period-1)),0,'Mode change'!$E$37*$B70)))</f>
        <v>0</v>
      </c>
      <c r="AE70" s="97">
        <f>IF(Option2="No",0,IF($A70&lt;ImplementationYear,0,IF($A70&gt;(ImplementationYear+(Appraisal_Period-1)),0,'Road safety'!$E$22*$B70)))</f>
        <v>0</v>
      </c>
      <c r="AF70" s="97">
        <f>IF(Option2="No",0,IF($A70&lt;ImplementationYear,0,IF($A70&gt;(ImplementationYear+(Appraisal_Period-1)),0,'Reduction in car usage'!$E$46*$B70)))</f>
        <v>0</v>
      </c>
      <c r="AG70" s="97">
        <f>IF(Option2="No",0,IF($A70&lt;ImplementationYear,0,IF($A70&gt;(ImplementationYear+(Appraisal_Period-1)),0,'Reduction in car usage'!$E$47*$B70)))</f>
        <v>0</v>
      </c>
      <c r="AH70" s="97">
        <f>IF(Option2="No",0,IF($A70&lt;ImplementationYear,0,IF($A70&gt;(ImplementationYear+(Appraisal_Period-1)),0,'Reduction in car usage'!$E$48*$B70)))</f>
        <v>0</v>
      </c>
      <c r="AJ70" s="94">
        <f>IF(Option3="No",0,IF($A70=ImplementationYear,('Project details'!$P$10-'Project details'!$D$10)*VLOOKUP(Year_cost_estimate,'Time-series parameters'!$B$11:$C$89,2,FALSE)*$B70*(1+Contingency),0))</f>
        <v>0</v>
      </c>
      <c r="AK70" s="94">
        <f>IF(Option3="No",0,IF($A70&lt;ImplementationYear,0,IF($A70&gt;(ImplementationYear+(Appraisal_Period-1)),0,('Project details'!$P$11-'Project details'!$D$11)*VLOOKUP(Year_cost_estimate,'Time-series parameters'!$B$11:$C$89,2,0))*$B70))</f>
        <v>0</v>
      </c>
      <c r="AL70" s="94">
        <f>IF(Option3="No",0,IF($A70=ImplementationYear,('Project details'!$P$12-'Project details'!$D$12)*VLOOKUP(Year_cost_estimate,'Time-series parameters'!$B$11:$C$89,2,FALSE)*$B70,0))</f>
        <v>0</v>
      </c>
      <c r="AM70" s="97">
        <f>IF(Option3="No",0,IF($A70&lt;ImplementationYear,0,IF($A70&gt;(ImplementationYear+(Appraisal_Period-1)),0,Health!$F$21*$B70)))</f>
        <v>0</v>
      </c>
      <c r="AN70" s="97">
        <f>IF(Option3="No",0,IF($A70&lt;ImplementationYear,0,IF($A70&gt;(ImplementationYear+(Appraisal_Period-1)),0,Health!$F$22*$B70)))</f>
        <v>0</v>
      </c>
      <c r="AO70" s="97">
        <f>IF(Option3="No",0,IF($A70&lt;ImplementationYear,0,IF($A70&gt;(ImplementationYear+(Appraisal_Period-1)),0,SUM('Travel time'!$F$22:$F$23)*$B70)))</f>
        <v>0</v>
      </c>
      <c r="AP70" s="97">
        <f>IF(Option3="No",0,IF($A70&lt;ImplementationYear,0,IF($A70&gt;(ImplementationYear+(Appraisal_Period-1)),0,SUM('Travel time'!$F$20:$F$21)*$B70)))</f>
        <v>0</v>
      </c>
      <c r="AQ70" s="97">
        <f>IF(Option3="No",0,IF($A70&lt;ImplementationYear,0,IF($A70&gt;(ImplementationYear+(Appraisal_Period-1)),0,SUM(Quality!$F$22:$F$23)*$B70)))</f>
        <v>0</v>
      </c>
      <c r="AR70" s="97">
        <f>IF(Option3="No",0,IF($A70&lt;ImplementationYear,0,IF($A70&gt;(ImplementationYear+(Appraisal_Period-1)),0,SUM(Quality!$F$20:$F$21)*$B70)))</f>
        <v>0</v>
      </c>
      <c r="AS70" s="97">
        <f>IF(Option3="No",0,IF($A70&lt;ImplementationYear,0,IF($A70&gt;(ImplementationYear+(Appraisal_Period-1)),0,'Mode change'!$F$36*$B70)))</f>
        <v>0</v>
      </c>
      <c r="AT70" s="97">
        <f>IF(Option3="No",0,IF($A70&lt;ImplementationYear,0,IF($A70&gt;(ImplementationYear+(Appraisal_Period-1)),0,'Mode change'!$F$37*$B70)))</f>
        <v>0</v>
      </c>
      <c r="AU70" s="97">
        <f>IF(Option3="No",0,IF($A70&lt;ImplementationYear,0,IF($A70&gt;(ImplementationYear+(Appraisal_Period-1)),0,'Road safety'!$F$22*$B70)))</f>
        <v>0</v>
      </c>
      <c r="AV70" s="97">
        <f>IF(Option3="No",0,IF($A70&lt;ImplementationYear,0,IF($A70&gt;(ImplementationYear+(Appraisal_Period-1)),0,'Reduction in car usage'!$F$46*$B70)))</f>
        <v>0</v>
      </c>
      <c r="AW70" s="97">
        <f>IF(Option3="No",0,IF($A70&lt;ImplementationYear,0,IF($A70&gt;(ImplementationYear+(Appraisal_Period-1)),0,'Reduction in car usage'!$F$47*$B70)))</f>
        <v>0</v>
      </c>
      <c r="AX70" s="97">
        <f>IF(Option3="No",0,IF($A70&lt;ImplementationYear,0,IF($A70&gt;(ImplementationYear+(Appraisal_Period-1)),0,'Reduction in car usage'!$F$48*$B70)))</f>
        <v>0</v>
      </c>
    </row>
    <row r="71" spans="1:50">
      <c r="A71" s="335">
        <v>2066</v>
      </c>
      <c r="B71" s="62">
        <f>VLOOKUP($A71,'Time-series parameters'!$E$11:$H$89,4,FALSE)</f>
        <v>0.10590532984398128</v>
      </c>
      <c r="C71" s="89"/>
      <c r="D71" s="94">
        <f>IF(Option1="No",0,IF($A71=ImplementationYear,('Project details'!$H$10-'Project details'!$D$10)*VLOOKUP(Year_cost_estimate,'Time-series parameters'!$B$11:$C$89,2,FALSE)*$B71*(1+Contingency),0))</f>
        <v>0</v>
      </c>
      <c r="E71" s="94">
        <f>IF(Option1="No",0,IF($A71&lt;ImplementationYear,0,IF($A71&gt;(ImplementationYear+(Appraisal_Period-1)),0,('Project details'!$H$11-'Project details'!$D$11)*VLOOKUP(Year_cost_estimate,'Time-series parameters'!$B$11:$C$89,2,0))*$B71))</f>
        <v>0</v>
      </c>
      <c r="F71" s="94">
        <f>IF(Option1="No",0,IF($A71=ImplementationYear,('Project details'!$H$12-'Project details'!$D$12)*VLOOKUP(Year_cost_estimate,'Time-series parameters'!$B$11:$C$89,2,FALSE)*$B71,0))</f>
        <v>0</v>
      </c>
      <c r="G71" s="97">
        <f>IF(Option1="No",0,IF($A71&lt;ImplementationYear,0,IF($A71&gt;(ImplementationYear+(Appraisal_Period-1)),0,Health!$D$21*$B71)))</f>
        <v>0</v>
      </c>
      <c r="H71" s="97">
        <f>IF(Option1="No",0,IF($A71&lt;ImplementationYear,0,IF($A71&gt;(ImplementationYear+(Appraisal_Period-1)),0,Health!$D$22*$B71)))</f>
        <v>0</v>
      </c>
      <c r="I71" s="97">
        <f>IF(Option1="No",0,IF($A71&lt;ImplementationYear,0,IF($A71&gt;(ImplementationYear+(Appraisal_Period-1)),0,SUM('Travel time'!$D$22:$D$23)*$B71)))</f>
        <v>0</v>
      </c>
      <c r="J71" s="97">
        <f>IF(Option1="No",0,IF($A71&lt;ImplementationYear,0,IF($A71&gt;(ImplementationYear+(Appraisal_Period-1)),0,SUM('Travel time'!$D$20:$D$21)*$B71)))</f>
        <v>0</v>
      </c>
      <c r="K71" s="97">
        <f>IF(Option1="No",0,IF($A71&lt;ImplementationYear,0,IF($A71&gt;(ImplementationYear+(Appraisal_Period-1)),0,SUM(Quality!$D$22:$D$23)*$B71)))</f>
        <v>0</v>
      </c>
      <c r="L71" s="97">
        <f>IF(Option1="No",0,IF($A71&lt;ImplementationYear,0,IF($A71&gt;(ImplementationYear+(Appraisal_Period-1)),0,SUM(Quality!$D$20:$D$21)*$B71)))</f>
        <v>0</v>
      </c>
      <c r="M71" s="97">
        <f>IF(Option1="No",0,IF($A71&lt;ImplementationYear,0,IF($A71&gt;(ImplementationYear+(Appraisal_Period-1)),0,'Mode change'!$D$36*$B71)))</f>
        <v>0</v>
      </c>
      <c r="N71" s="97">
        <f>IF(Option1="No",0,IF($A71&lt;ImplementationYear,0,IF($A71&gt;(ImplementationYear+(Appraisal_Period-1)),0,'Mode change'!$D$37*$B71)))</f>
        <v>0</v>
      </c>
      <c r="O71" s="97">
        <f>IF(Option1="No",0,IF($A71&lt;ImplementationYear,0,IF($A71&gt;(ImplementationYear+(Appraisal_Period-1)),0,'Road safety'!$D$22*$B71)))</f>
        <v>0</v>
      </c>
      <c r="P71" s="97">
        <f>IF(Option1="No",0,IF($A71&lt;ImplementationYear,0,IF($A71&gt;(ImplementationYear+(Appraisal_Period-1)),0,'Reduction in car usage'!$D$46*$B71)))</f>
        <v>0</v>
      </c>
      <c r="Q71" s="97">
        <f>IF(Option1="No",0,IF($A71&lt;ImplementationYear,0,IF($A71&gt;(ImplementationYear+(Appraisal_Period-1)),0,'Reduction in car usage'!$D$47*$B71)))</f>
        <v>0</v>
      </c>
      <c r="R71" s="97">
        <f>IF(Option1="No",0,IF($A71&lt;ImplementationYear,0,IF($A71&gt;(ImplementationYear+(Appraisal_Period-1)),0,'Reduction in car usage'!$D$48*$B71)))</f>
        <v>0</v>
      </c>
      <c r="S71" s="92"/>
      <c r="T71" s="94">
        <f>IF(Option2="No",0,IF($A71=ImplementationYear,('Project details'!$L$10-'Project details'!$D$10)*VLOOKUP(Year_cost_estimate,'Time-series parameters'!$B$11:$C$89,2,FALSE)*$B71*(1+Contingency),0))</f>
        <v>0</v>
      </c>
      <c r="U71" s="94">
        <f>IF(Option2="No",0,IF($A71&lt;ImplementationYear,0,IF($A71&gt;(ImplementationYear+(Appraisal_Period-1)),0,('Project details'!$L$11-'Project details'!$D$11)*VLOOKUP(Year_cost_estimate,'Time-series parameters'!$B$11:$C$89,2,0))*$B71))</f>
        <v>0</v>
      </c>
      <c r="V71" s="94">
        <f>IF(Option2="No",0,IF($A71=ImplementationYear,('Project details'!$L$12-'Project details'!$D$12)*VLOOKUP(Year_cost_estimate,'Time-series parameters'!$B$11:$C$89,2,FALSE)*$B71,0))</f>
        <v>0</v>
      </c>
      <c r="W71" s="97">
        <f>IF(Option2="No",0,IF($A71&lt;ImplementationYear,0,IF($A71&gt;(ImplementationYear+(Appraisal_Period-1)),0,Health!$E$21*$B71)))</f>
        <v>0</v>
      </c>
      <c r="X71" s="97">
        <f>IF(Option2="No",0,IF($A71&lt;ImplementationYear,0,IF($A71&gt;(ImplementationYear+(Appraisal_Period-1)),0,Health!$E$22*$B71)))</f>
        <v>0</v>
      </c>
      <c r="Y71" s="97">
        <f>IF(Option2="No",0,IF($A71&lt;ImplementationYear,0,IF($A71&gt;(ImplementationYear+(Appraisal_Period-1)),0,SUM('Travel time'!$E$22:$E$23)*$B71)))</f>
        <v>0</v>
      </c>
      <c r="Z71" s="97">
        <f>IF(Option2="No",0,IF($A71&lt;ImplementationYear,0,IF($A71&gt;(ImplementationYear+(Appraisal_Period-1)),0,SUM('Travel time'!$E$20:$E$21)*$B71)))</f>
        <v>0</v>
      </c>
      <c r="AA71" s="97">
        <f>IF(Option2="No",0,IF($A71&lt;ImplementationYear,0,IF($A71&gt;(ImplementationYear+(Appraisal_Period-1)),0,SUM(Quality!$E$22:$E$23)*$B71)))</f>
        <v>0</v>
      </c>
      <c r="AB71" s="97">
        <f>IF(Option2="No",0,IF($A71&lt;ImplementationYear,0,IF($A71&gt;(ImplementationYear+(Appraisal_Period-1)),0,SUM(Quality!$E$20:$E$21)*$B71)))</f>
        <v>0</v>
      </c>
      <c r="AC71" s="97">
        <f>IF(Option2="No",0,IF($A71&lt;ImplementationYear,0,IF($A71&gt;(ImplementationYear+(Appraisal_Period-1)),0,'Mode change'!$E$36*$B71)))</f>
        <v>0</v>
      </c>
      <c r="AD71" s="97">
        <f>IF(Option2="No",0,IF($A71&lt;ImplementationYear,0,IF($A71&gt;(ImplementationYear+(Appraisal_Period-1)),0,'Mode change'!$E$37*$B71)))</f>
        <v>0</v>
      </c>
      <c r="AE71" s="97">
        <f>IF(Option2="No",0,IF($A71&lt;ImplementationYear,0,IF($A71&gt;(ImplementationYear+(Appraisal_Period-1)),0,'Road safety'!$E$22*$B71)))</f>
        <v>0</v>
      </c>
      <c r="AF71" s="97">
        <f>IF(Option2="No",0,IF($A71&lt;ImplementationYear,0,IF($A71&gt;(ImplementationYear+(Appraisal_Period-1)),0,'Reduction in car usage'!$E$46*$B71)))</f>
        <v>0</v>
      </c>
      <c r="AG71" s="97">
        <f>IF(Option2="No",0,IF($A71&lt;ImplementationYear,0,IF($A71&gt;(ImplementationYear+(Appraisal_Period-1)),0,'Reduction in car usage'!$E$47*$B71)))</f>
        <v>0</v>
      </c>
      <c r="AH71" s="97">
        <f>IF(Option2="No",0,IF($A71&lt;ImplementationYear,0,IF($A71&gt;(ImplementationYear+(Appraisal_Period-1)),0,'Reduction in car usage'!$E$48*$B71)))</f>
        <v>0</v>
      </c>
      <c r="AJ71" s="94">
        <f>IF(Option3="No",0,IF($A71=ImplementationYear,('Project details'!$P$10-'Project details'!$D$10)*VLOOKUP(Year_cost_estimate,'Time-series parameters'!$B$11:$C$89,2,FALSE)*$B71*(1+Contingency),0))</f>
        <v>0</v>
      </c>
      <c r="AK71" s="94">
        <f>IF(Option3="No",0,IF($A71&lt;ImplementationYear,0,IF($A71&gt;(ImplementationYear+(Appraisal_Period-1)),0,('Project details'!$P$11-'Project details'!$D$11)*VLOOKUP(Year_cost_estimate,'Time-series parameters'!$B$11:$C$89,2,0))*$B71))</f>
        <v>0</v>
      </c>
      <c r="AL71" s="94">
        <f>IF(Option3="No",0,IF($A71=ImplementationYear,('Project details'!$P$12-'Project details'!$D$12)*VLOOKUP(Year_cost_estimate,'Time-series parameters'!$B$11:$C$89,2,FALSE)*$B71,0))</f>
        <v>0</v>
      </c>
      <c r="AM71" s="97">
        <f>IF(Option3="No",0,IF($A71&lt;ImplementationYear,0,IF($A71&gt;(ImplementationYear+(Appraisal_Period-1)),0,Health!$F$21*$B71)))</f>
        <v>0</v>
      </c>
      <c r="AN71" s="97">
        <f>IF(Option3="No",0,IF($A71&lt;ImplementationYear,0,IF($A71&gt;(ImplementationYear+(Appraisal_Period-1)),0,Health!$F$22*$B71)))</f>
        <v>0</v>
      </c>
      <c r="AO71" s="97">
        <f>IF(Option3="No",0,IF($A71&lt;ImplementationYear,0,IF($A71&gt;(ImplementationYear+(Appraisal_Period-1)),0,SUM('Travel time'!$F$22:$F$23)*$B71)))</f>
        <v>0</v>
      </c>
      <c r="AP71" s="97">
        <f>IF(Option3="No",0,IF($A71&lt;ImplementationYear,0,IF($A71&gt;(ImplementationYear+(Appraisal_Period-1)),0,SUM('Travel time'!$F$20:$F$21)*$B71)))</f>
        <v>0</v>
      </c>
      <c r="AQ71" s="97">
        <f>IF(Option3="No",0,IF($A71&lt;ImplementationYear,0,IF($A71&gt;(ImplementationYear+(Appraisal_Period-1)),0,SUM(Quality!$F$22:$F$23)*$B71)))</f>
        <v>0</v>
      </c>
      <c r="AR71" s="97">
        <f>IF(Option3="No",0,IF($A71&lt;ImplementationYear,0,IF($A71&gt;(ImplementationYear+(Appraisal_Period-1)),0,SUM(Quality!$F$20:$F$21)*$B71)))</f>
        <v>0</v>
      </c>
      <c r="AS71" s="97">
        <f>IF(Option3="No",0,IF($A71&lt;ImplementationYear,0,IF($A71&gt;(ImplementationYear+(Appraisal_Period-1)),0,'Mode change'!$F$36*$B71)))</f>
        <v>0</v>
      </c>
      <c r="AT71" s="97">
        <f>IF(Option3="No",0,IF($A71&lt;ImplementationYear,0,IF($A71&gt;(ImplementationYear+(Appraisal_Period-1)),0,'Mode change'!$F$37*$B71)))</f>
        <v>0</v>
      </c>
      <c r="AU71" s="97">
        <f>IF(Option3="No",0,IF($A71&lt;ImplementationYear,0,IF($A71&gt;(ImplementationYear+(Appraisal_Period-1)),0,'Road safety'!$F$22*$B71)))</f>
        <v>0</v>
      </c>
      <c r="AV71" s="97">
        <f>IF(Option3="No",0,IF($A71&lt;ImplementationYear,0,IF($A71&gt;(ImplementationYear+(Appraisal_Period-1)),0,'Reduction in car usage'!$F$46*$B71)))</f>
        <v>0</v>
      </c>
      <c r="AW71" s="97">
        <f>IF(Option3="No",0,IF($A71&lt;ImplementationYear,0,IF($A71&gt;(ImplementationYear+(Appraisal_Period-1)),0,'Reduction in car usage'!$F$47*$B71)))</f>
        <v>0</v>
      </c>
      <c r="AX71" s="97">
        <f>IF(Option3="No",0,IF($A71&lt;ImplementationYear,0,IF($A71&gt;(ImplementationYear+(Appraisal_Period-1)),0,'Reduction in car usage'!$F$48*$B71)))</f>
        <v>0</v>
      </c>
    </row>
    <row r="72" spans="1:50">
      <c r="A72" s="335">
        <v>2067</v>
      </c>
      <c r="B72" s="62">
        <f>VLOOKUP($A72,'Time-series parameters'!$E$11:$H$89,4,FALSE)</f>
        <v>0.10166911665022203</v>
      </c>
      <c r="C72" s="89"/>
      <c r="D72" s="94">
        <f>IF(Option1="No",0,IF($A72=ImplementationYear,('Project details'!$H$10-'Project details'!$D$10)*VLOOKUP(Year_cost_estimate,'Time-series parameters'!$B$11:$C$89,2,FALSE)*$B72*(1+Contingency),0))</f>
        <v>0</v>
      </c>
      <c r="E72" s="94">
        <f>IF(Option1="No",0,IF($A72&lt;ImplementationYear,0,IF($A72&gt;(ImplementationYear+(Appraisal_Period-1)),0,('Project details'!$H$11-'Project details'!$D$11)*VLOOKUP(Year_cost_estimate,'Time-series parameters'!$B$11:$C$89,2,0))*$B72))</f>
        <v>0</v>
      </c>
      <c r="F72" s="94">
        <f>IF(Option1="No",0,IF($A72=ImplementationYear,('Project details'!$H$12-'Project details'!$D$12)*VLOOKUP(Year_cost_estimate,'Time-series parameters'!$B$11:$C$89,2,FALSE)*$B72,0))</f>
        <v>0</v>
      </c>
      <c r="G72" s="97">
        <f>IF(Option1="No",0,IF($A72&lt;ImplementationYear,0,IF($A72&gt;(ImplementationYear+(Appraisal_Period-1)),0,Health!$D$21*$B72)))</f>
        <v>0</v>
      </c>
      <c r="H72" s="97">
        <f>IF(Option1="No",0,IF($A72&lt;ImplementationYear,0,IF($A72&gt;(ImplementationYear+(Appraisal_Period-1)),0,Health!$D$22*$B72)))</f>
        <v>0</v>
      </c>
      <c r="I72" s="97">
        <f>IF(Option1="No",0,IF($A72&lt;ImplementationYear,0,IF($A72&gt;(ImplementationYear+(Appraisal_Period-1)),0,SUM('Travel time'!$D$22:$D$23)*$B72)))</f>
        <v>0</v>
      </c>
      <c r="J72" s="97">
        <f>IF(Option1="No",0,IF($A72&lt;ImplementationYear,0,IF($A72&gt;(ImplementationYear+(Appraisal_Period-1)),0,SUM('Travel time'!$D$20:$D$21)*$B72)))</f>
        <v>0</v>
      </c>
      <c r="K72" s="97">
        <f>IF(Option1="No",0,IF($A72&lt;ImplementationYear,0,IF($A72&gt;(ImplementationYear+(Appraisal_Period-1)),0,SUM(Quality!$D$22:$D$23)*$B72)))</f>
        <v>0</v>
      </c>
      <c r="L72" s="97">
        <f>IF(Option1="No",0,IF($A72&lt;ImplementationYear,0,IF($A72&gt;(ImplementationYear+(Appraisal_Period-1)),0,SUM(Quality!$D$20:$D$21)*$B72)))</f>
        <v>0</v>
      </c>
      <c r="M72" s="97">
        <f>IF(Option1="No",0,IF($A72&lt;ImplementationYear,0,IF($A72&gt;(ImplementationYear+(Appraisal_Period-1)),0,'Mode change'!$D$36*$B72)))</f>
        <v>0</v>
      </c>
      <c r="N72" s="97">
        <f>IF(Option1="No",0,IF($A72&lt;ImplementationYear,0,IF($A72&gt;(ImplementationYear+(Appraisal_Period-1)),0,'Mode change'!$D$37*$B72)))</f>
        <v>0</v>
      </c>
      <c r="O72" s="97">
        <f>IF(Option1="No",0,IF($A72&lt;ImplementationYear,0,IF($A72&gt;(ImplementationYear+(Appraisal_Period-1)),0,'Road safety'!$D$22*$B72)))</f>
        <v>0</v>
      </c>
      <c r="P72" s="97">
        <f>IF(Option1="No",0,IF($A72&lt;ImplementationYear,0,IF($A72&gt;(ImplementationYear+(Appraisal_Period-1)),0,'Reduction in car usage'!$D$46*$B72)))</f>
        <v>0</v>
      </c>
      <c r="Q72" s="97">
        <f>IF(Option1="No",0,IF($A72&lt;ImplementationYear,0,IF($A72&gt;(ImplementationYear+(Appraisal_Period-1)),0,'Reduction in car usage'!$D$47*$B72)))</f>
        <v>0</v>
      </c>
      <c r="R72" s="97">
        <f>IF(Option1="No",0,IF($A72&lt;ImplementationYear,0,IF($A72&gt;(ImplementationYear+(Appraisal_Period-1)),0,'Reduction in car usage'!$D$48*$B72)))</f>
        <v>0</v>
      </c>
      <c r="S72" s="92"/>
      <c r="T72" s="94">
        <f>IF(Option2="No",0,IF($A72=ImplementationYear,('Project details'!$L$10-'Project details'!$D$10)*VLOOKUP(Year_cost_estimate,'Time-series parameters'!$B$11:$C$89,2,FALSE)*$B72*(1+Contingency),0))</f>
        <v>0</v>
      </c>
      <c r="U72" s="94">
        <f>IF(Option2="No",0,IF($A72&lt;ImplementationYear,0,IF($A72&gt;(ImplementationYear+(Appraisal_Period-1)),0,('Project details'!$L$11-'Project details'!$D$11)*VLOOKUP(Year_cost_estimate,'Time-series parameters'!$B$11:$C$89,2,0))*$B72))</f>
        <v>0</v>
      </c>
      <c r="V72" s="94">
        <f>IF(Option2="No",0,IF($A72=ImplementationYear,('Project details'!$L$12-'Project details'!$D$12)*VLOOKUP(Year_cost_estimate,'Time-series parameters'!$B$11:$C$89,2,FALSE)*$B72,0))</f>
        <v>0</v>
      </c>
      <c r="W72" s="97">
        <f>IF(Option2="No",0,IF($A72&lt;ImplementationYear,0,IF($A72&gt;(ImplementationYear+(Appraisal_Period-1)),0,Health!$E$21*$B72)))</f>
        <v>0</v>
      </c>
      <c r="X72" s="97">
        <f>IF(Option2="No",0,IF($A72&lt;ImplementationYear,0,IF($A72&gt;(ImplementationYear+(Appraisal_Period-1)),0,Health!$E$22*$B72)))</f>
        <v>0</v>
      </c>
      <c r="Y72" s="97">
        <f>IF(Option2="No",0,IF($A72&lt;ImplementationYear,0,IF($A72&gt;(ImplementationYear+(Appraisal_Period-1)),0,SUM('Travel time'!$E$22:$E$23)*$B72)))</f>
        <v>0</v>
      </c>
      <c r="Z72" s="97">
        <f>IF(Option2="No",0,IF($A72&lt;ImplementationYear,0,IF($A72&gt;(ImplementationYear+(Appraisal_Period-1)),0,SUM('Travel time'!$E$20:$E$21)*$B72)))</f>
        <v>0</v>
      </c>
      <c r="AA72" s="97">
        <f>IF(Option2="No",0,IF($A72&lt;ImplementationYear,0,IF($A72&gt;(ImplementationYear+(Appraisal_Period-1)),0,SUM(Quality!$E$22:$E$23)*$B72)))</f>
        <v>0</v>
      </c>
      <c r="AB72" s="97">
        <f>IF(Option2="No",0,IF($A72&lt;ImplementationYear,0,IF($A72&gt;(ImplementationYear+(Appraisal_Period-1)),0,SUM(Quality!$E$20:$E$21)*$B72)))</f>
        <v>0</v>
      </c>
      <c r="AC72" s="97">
        <f>IF(Option2="No",0,IF($A72&lt;ImplementationYear,0,IF($A72&gt;(ImplementationYear+(Appraisal_Period-1)),0,'Mode change'!$E$36*$B72)))</f>
        <v>0</v>
      </c>
      <c r="AD72" s="97">
        <f>IF(Option2="No",0,IF($A72&lt;ImplementationYear,0,IF($A72&gt;(ImplementationYear+(Appraisal_Period-1)),0,'Mode change'!$E$37*$B72)))</f>
        <v>0</v>
      </c>
      <c r="AE72" s="97">
        <f>IF(Option2="No",0,IF($A72&lt;ImplementationYear,0,IF($A72&gt;(ImplementationYear+(Appraisal_Period-1)),0,'Road safety'!$E$22*$B72)))</f>
        <v>0</v>
      </c>
      <c r="AF72" s="97">
        <f>IF(Option2="No",0,IF($A72&lt;ImplementationYear,0,IF($A72&gt;(ImplementationYear+(Appraisal_Period-1)),0,'Reduction in car usage'!$E$46*$B72)))</f>
        <v>0</v>
      </c>
      <c r="AG72" s="97">
        <f>IF(Option2="No",0,IF($A72&lt;ImplementationYear,0,IF($A72&gt;(ImplementationYear+(Appraisal_Period-1)),0,'Reduction in car usage'!$E$47*$B72)))</f>
        <v>0</v>
      </c>
      <c r="AH72" s="97">
        <f>IF(Option2="No",0,IF($A72&lt;ImplementationYear,0,IF($A72&gt;(ImplementationYear+(Appraisal_Period-1)),0,'Reduction in car usage'!$E$48*$B72)))</f>
        <v>0</v>
      </c>
      <c r="AJ72" s="94">
        <f>IF(Option3="No",0,IF($A72=ImplementationYear,('Project details'!$P$10-'Project details'!$D$10)*VLOOKUP(Year_cost_estimate,'Time-series parameters'!$B$11:$C$89,2,FALSE)*$B72*(1+Contingency),0))</f>
        <v>0</v>
      </c>
      <c r="AK72" s="94">
        <f>IF(Option3="No",0,IF($A72&lt;ImplementationYear,0,IF($A72&gt;(ImplementationYear+(Appraisal_Period-1)),0,('Project details'!$P$11-'Project details'!$D$11)*VLOOKUP(Year_cost_estimate,'Time-series parameters'!$B$11:$C$89,2,0))*$B72))</f>
        <v>0</v>
      </c>
      <c r="AL72" s="94">
        <f>IF(Option3="No",0,IF($A72=ImplementationYear,('Project details'!$P$12-'Project details'!$D$12)*VLOOKUP(Year_cost_estimate,'Time-series parameters'!$B$11:$C$89,2,FALSE)*$B72,0))</f>
        <v>0</v>
      </c>
      <c r="AM72" s="97">
        <f>IF(Option3="No",0,IF($A72&lt;ImplementationYear,0,IF($A72&gt;(ImplementationYear+(Appraisal_Period-1)),0,Health!$F$21*$B72)))</f>
        <v>0</v>
      </c>
      <c r="AN72" s="97">
        <f>IF(Option3="No",0,IF($A72&lt;ImplementationYear,0,IF($A72&gt;(ImplementationYear+(Appraisal_Period-1)),0,Health!$F$22*$B72)))</f>
        <v>0</v>
      </c>
      <c r="AO72" s="97">
        <f>IF(Option3="No",0,IF($A72&lt;ImplementationYear,0,IF($A72&gt;(ImplementationYear+(Appraisal_Period-1)),0,SUM('Travel time'!$F$22:$F$23)*$B72)))</f>
        <v>0</v>
      </c>
      <c r="AP72" s="97">
        <f>IF(Option3="No",0,IF($A72&lt;ImplementationYear,0,IF($A72&gt;(ImplementationYear+(Appraisal_Period-1)),0,SUM('Travel time'!$F$20:$F$21)*$B72)))</f>
        <v>0</v>
      </c>
      <c r="AQ72" s="97">
        <f>IF(Option3="No",0,IF($A72&lt;ImplementationYear,0,IF($A72&gt;(ImplementationYear+(Appraisal_Period-1)),0,SUM(Quality!$F$22:$F$23)*$B72)))</f>
        <v>0</v>
      </c>
      <c r="AR72" s="97">
        <f>IF(Option3="No",0,IF($A72&lt;ImplementationYear,0,IF($A72&gt;(ImplementationYear+(Appraisal_Period-1)),0,SUM(Quality!$F$20:$F$21)*$B72)))</f>
        <v>0</v>
      </c>
      <c r="AS72" s="97">
        <f>IF(Option3="No",0,IF($A72&lt;ImplementationYear,0,IF($A72&gt;(ImplementationYear+(Appraisal_Period-1)),0,'Mode change'!$F$36*$B72)))</f>
        <v>0</v>
      </c>
      <c r="AT72" s="97">
        <f>IF(Option3="No",0,IF($A72&lt;ImplementationYear,0,IF($A72&gt;(ImplementationYear+(Appraisal_Period-1)),0,'Mode change'!$F$37*$B72)))</f>
        <v>0</v>
      </c>
      <c r="AU72" s="97">
        <f>IF(Option3="No",0,IF($A72&lt;ImplementationYear,0,IF($A72&gt;(ImplementationYear+(Appraisal_Period-1)),0,'Road safety'!$F$22*$B72)))</f>
        <v>0</v>
      </c>
      <c r="AV72" s="97">
        <f>IF(Option3="No",0,IF($A72&lt;ImplementationYear,0,IF($A72&gt;(ImplementationYear+(Appraisal_Period-1)),0,'Reduction in car usage'!$F$46*$B72)))</f>
        <v>0</v>
      </c>
      <c r="AW72" s="97">
        <f>IF(Option3="No",0,IF($A72&lt;ImplementationYear,0,IF($A72&gt;(ImplementationYear+(Appraisal_Period-1)),0,'Reduction in car usage'!$F$47*$B72)))</f>
        <v>0</v>
      </c>
      <c r="AX72" s="97">
        <f>IF(Option3="No",0,IF($A72&lt;ImplementationYear,0,IF($A72&gt;(ImplementationYear+(Appraisal_Period-1)),0,'Reduction in car usage'!$F$48*$B72)))</f>
        <v>0</v>
      </c>
    </row>
    <row r="73" spans="1:50">
      <c r="A73" s="335">
        <v>2068</v>
      </c>
      <c r="B73" s="62">
        <f>VLOOKUP($A73,'Time-series parameters'!$E$11:$H$89,4,FALSE)</f>
        <v>9.7602351984213145E-2</v>
      </c>
      <c r="C73" s="89"/>
      <c r="D73" s="94">
        <f>IF(Option1="No",0,IF($A73=ImplementationYear,('Project details'!$H$10-'Project details'!$D$10)*VLOOKUP(Year_cost_estimate,'Time-series parameters'!$B$11:$C$89,2,FALSE)*$B73*(1+Contingency),0))</f>
        <v>0</v>
      </c>
      <c r="E73" s="94">
        <f>IF(Option1="No",0,IF($A73&lt;ImplementationYear,0,IF($A73&gt;(ImplementationYear+(Appraisal_Period-1)),0,('Project details'!$H$11-'Project details'!$D$11)*VLOOKUP(Year_cost_estimate,'Time-series parameters'!$B$11:$C$89,2,0))*$B73))</f>
        <v>0</v>
      </c>
      <c r="F73" s="94">
        <f>IF(Option1="No",0,IF($A73=ImplementationYear,('Project details'!$H$12-'Project details'!$D$12)*VLOOKUP(Year_cost_estimate,'Time-series parameters'!$B$11:$C$89,2,FALSE)*$B73,0))</f>
        <v>0</v>
      </c>
      <c r="G73" s="97">
        <f>IF(Option1="No",0,IF($A73&lt;ImplementationYear,0,IF($A73&gt;(ImplementationYear+(Appraisal_Period-1)),0,Health!$D$21*$B73)))</f>
        <v>0</v>
      </c>
      <c r="H73" s="97">
        <f>IF(Option1="No",0,IF($A73&lt;ImplementationYear,0,IF($A73&gt;(ImplementationYear+(Appraisal_Period-1)),0,Health!$D$22*$B73)))</f>
        <v>0</v>
      </c>
      <c r="I73" s="97">
        <f>IF(Option1="No",0,IF($A73&lt;ImplementationYear,0,IF($A73&gt;(ImplementationYear+(Appraisal_Period-1)),0,SUM('Travel time'!$D$22:$D$23)*$B73)))</f>
        <v>0</v>
      </c>
      <c r="J73" s="97">
        <f>IF(Option1="No",0,IF($A73&lt;ImplementationYear,0,IF($A73&gt;(ImplementationYear+(Appraisal_Period-1)),0,SUM('Travel time'!$D$20:$D$21)*$B73)))</f>
        <v>0</v>
      </c>
      <c r="K73" s="97">
        <f>IF(Option1="No",0,IF($A73&lt;ImplementationYear,0,IF($A73&gt;(ImplementationYear+(Appraisal_Period-1)),0,SUM(Quality!$D$22:$D$23)*$B73)))</f>
        <v>0</v>
      </c>
      <c r="L73" s="97">
        <f>IF(Option1="No",0,IF($A73&lt;ImplementationYear,0,IF($A73&gt;(ImplementationYear+(Appraisal_Period-1)),0,SUM(Quality!$D$20:$D$21)*$B73)))</f>
        <v>0</v>
      </c>
      <c r="M73" s="97">
        <f>IF(Option1="No",0,IF($A73&lt;ImplementationYear,0,IF($A73&gt;(ImplementationYear+(Appraisal_Period-1)),0,'Mode change'!$D$36*$B73)))</f>
        <v>0</v>
      </c>
      <c r="N73" s="97">
        <f>IF(Option1="No",0,IF($A73&lt;ImplementationYear,0,IF($A73&gt;(ImplementationYear+(Appraisal_Period-1)),0,'Mode change'!$D$37*$B73)))</f>
        <v>0</v>
      </c>
      <c r="O73" s="97">
        <f>IF(Option1="No",0,IF($A73&lt;ImplementationYear,0,IF($A73&gt;(ImplementationYear+(Appraisal_Period-1)),0,'Road safety'!$D$22*$B73)))</f>
        <v>0</v>
      </c>
      <c r="P73" s="97">
        <f>IF(Option1="No",0,IF($A73&lt;ImplementationYear,0,IF($A73&gt;(ImplementationYear+(Appraisal_Period-1)),0,'Reduction in car usage'!$D$46*$B73)))</f>
        <v>0</v>
      </c>
      <c r="Q73" s="97">
        <f>IF(Option1="No",0,IF($A73&lt;ImplementationYear,0,IF($A73&gt;(ImplementationYear+(Appraisal_Period-1)),0,'Reduction in car usage'!$D$47*$B73)))</f>
        <v>0</v>
      </c>
      <c r="R73" s="97">
        <f>IF(Option1="No",0,IF($A73&lt;ImplementationYear,0,IF($A73&gt;(ImplementationYear+(Appraisal_Period-1)),0,'Reduction in car usage'!$D$48*$B73)))</f>
        <v>0</v>
      </c>
      <c r="S73" s="92"/>
      <c r="T73" s="94">
        <f>IF(Option2="No",0,IF($A73=ImplementationYear,('Project details'!$L$10-'Project details'!$D$10)*VLOOKUP(Year_cost_estimate,'Time-series parameters'!$B$11:$C$89,2,FALSE)*$B73*(1+Contingency),0))</f>
        <v>0</v>
      </c>
      <c r="U73" s="94">
        <f>IF(Option2="No",0,IF($A73&lt;ImplementationYear,0,IF($A73&gt;(ImplementationYear+(Appraisal_Period-1)),0,('Project details'!$L$11-'Project details'!$D$11)*VLOOKUP(Year_cost_estimate,'Time-series parameters'!$B$11:$C$89,2,0))*$B73))</f>
        <v>0</v>
      </c>
      <c r="V73" s="94">
        <f>IF(Option2="No",0,IF($A73=ImplementationYear,('Project details'!$L$12-'Project details'!$D$12)*VLOOKUP(Year_cost_estimate,'Time-series parameters'!$B$11:$C$89,2,FALSE)*$B73,0))</f>
        <v>0</v>
      </c>
      <c r="W73" s="97">
        <f>IF(Option2="No",0,IF($A73&lt;ImplementationYear,0,IF($A73&gt;(ImplementationYear+(Appraisal_Period-1)),0,Health!$E$21*$B73)))</f>
        <v>0</v>
      </c>
      <c r="X73" s="97">
        <f>IF(Option2="No",0,IF($A73&lt;ImplementationYear,0,IF($A73&gt;(ImplementationYear+(Appraisal_Period-1)),0,Health!$E$22*$B73)))</f>
        <v>0</v>
      </c>
      <c r="Y73" s="97">
        <f>IF(Option2="No",0,IF($A73&lt;ImplementationYear,0,IF($A73&gt;(ImplementationYear+(Appraisal_Period-1)),0,SUM('Travel time'!$E$22:$E$23)*$B73)))</f>
        <v>0</v>
      </c>
      <c r="Z73" s="97">
        <f>IF(Option2="No",0,IF($A73&lt;ImplementationYear,0,IF($A73&gt;(ImplementationYear+(Appraisal_Period-1)),0,SUM('Travel time'!$E$20:$E$21)*$B73)))</f>
        <v>0</v>
      </c>
      <c r="AA73" s="97">
        <f>IF(Option2="No",0,IF($A73&lt;ImplementationYear,0,IF($A73&gt;(ImplementationYear+(Appraisal_Period-1)),0,SUM(Quality!$E$22:$E$23)*$B73)))</f>
        <v>0</v>
      </c>
      <c r="AB73" s="97">
        <f>IF(Option2="No",0,IF($A73&lt;ImplementationYear,0,IF($A73&gt;(ImplementationYear+(Appraisal_Period-1)),0,SUM(Quality!$E$20:$E$21)*$B73)))</f>
        <v>0</v>
      </c>
      <c r="AC73" s="97">
        <f>IF(Option2="No",0,IF($A73&lt;ImplementationYear,0,IF($A73&gt;(ImplementationYear+(Appraisal_Period-1)),0,'Mode change'!$E$36*$B73)))</f>
        <v>0</v>
      </c>
      <c r="AD73" s="97">
        <f>IF(Option2="No",0,IF($A73&lt;ImplementationYear,0,IF($A73&gt;(ImplementationYear+(Appraisal_Period-1)),0,'Mode change'!$E$37*$B73)))</f>
        <v>0</v>
      </c>
      <c r="AE73" s="97">
        <f>IF(Option2="No",0,IF($A73&lt;ImplementationYear,0,IF($A73&gt;(ImplementationYear+(Appraisal_Period-1)),0,'Road safety'!$E$22*$B73)))</f>
        <v>0</v>
      </c>
      <c r="AF73" s="97">
        <f>IF(Option2="No",0,IF($A73&lt;ImplementationYear,0,IF($A73&gt;(ImplementationYear+(Appraisal_Period-1)),0,'Reduction in car usage'!$E$46*$B73)))</f>
        <v>0</v>
      </c>
      <c r="AG73" s="97">
        <f>IF(Option2="No",0,IF($A73&lt;ImplementationYear,0,IF($A73&gt;(ImplementationYear+(Appraisal_Period-1)),0,'Reduction in car usage'!$E$47*$B73)))</f>
        <v>0</v>
      </c>
      <c r="AH73" s="97">
        <f>IF(Option2="No",0,IF($A73&lt;ImplementationYear,0,IF($A73&gt;(ImplementationYear+(Appraisal_Period-1)),0,'Reduction in car usage'!$E$48*$B73)))</f>
        <v>0</v>
      </c>
      <c r="AJ73" s="94">
        <f>IF(Option3="No",0,IF($A73=ImplementationYear,('Project details'!$P$10-'Project details'!$D$10)*VLOOKUP(Year_cost_estimate,'Time-series parameters'!$B$11:$C$89,2,FALSE)*$B73*(1+Contingency),0))</f>
        <v>0</v>
      </c>
      <c r="AK73" s="94">
        <f>IF(Option3="No",0,IF($A73&lt;ImplementationYear,0,IF($A73&gt;(ImplementationYear+(Appraisal_Period-1)),0,('Project details'!$P$11-'Project details'!$D$11)*VLOOKUP(Year_cost_estimate,'Time-series parameters'!$B$11:$C$89,2,0))*$B73))</f>
        <v>0</v>
      </c>
      <c r="AL73" s="94">
        <f>IF(Option3="No",0,IF($A73=ImplementationYear,('Project details'!$P$12-'Project details'!$D$12)*VLOOKUP(Year_cost_estimate,'Time-series parameters'!$B$11:$C$89,2,FALSE)*$B73,0))</f>
        <v>0</v>
      </c>
      <c r="AM73" s="97">
        <f>IF(Option3="No",0,IF($A73&lt;ImplementationYear,0,IF($A73&gt;(ImplementationYear+(Appraisal_Period-1)),0,Health!$F$21*$B73)))</f>
        <v>0</v>
      </c>
      <c r="AN73" s="97">
        <f>IF(Option3="No",0,IF($A73&lt;ImplementationYear,0,IF($A73&gt;(ImplementationYear+(Appraisal_Period-1)),0,Health!$F$22*$B73)))</f>
        <v>0</v>
      </c>
      <c r="AO73" s="97">
        <f>IF(Option3="No",0,IF($A73&lt;ImplementationYear,0,IF($A73&gt;(ImplementationYear+(Appraisal_Period-1)),0,SUM('Travel time'!$F$22:$F$23)*$B73)))</f>
        <v>0</v>
      </c>
      <c r="AP73" s="97">
        <f>IF(Option3="No",0,IF($A73&lt;ImplementationYear,0,IF($A73&gt;(ImplementationYear+(Appraisal_Period-1)),0,SUM('Travel time'!$F$20:$F$21)*$B73)))</f>
        <v>0</v>
      </c>
      <c r="AQ73" s="97">
        <f>IF(Option3="No",0,IF($A73&lt;ImplementationYear,0,IF($A73&gt;(ImplementationYear+(Appraisal_Period-1)),0,SUM(Quality!$F$22:$F$23)*$B73)))</f>
        <v>0</v>
      </c>
      <c r="AR73" s="97">
        <f>IF(Option3="No",0,IF($A73&lt;ImplementationYear,0,IF($A73&gt;(ImplementationYear+(Appraisal_Period-1)),0,SUM(Quality!$F$20:$F$21)*$B73)))</f>
        <v>0</v>
      </c>
      <c r="AS73" s="97">
        <f>IF(Option3="No",0,IF($A73&lt;ImplementationYear,0,IF($A73&gt;(ImplementationYear+(Appraisal_Period-1)),0,'Mode change'!$F$36*$B73)))</f>
        <v>0</v>
      </c>
      <c r="AT73" s="97">
        <f>IF(Option3="No",0,IF($A73&lt;ImplementationYear,0,IF($A73&gt;(ImplementationYear+(Appraisal_Period-1)),0,'Mode change'!$F$37*$B73)))</f>
        <v>0</v>
      </c>
      <c r="AU73" s="97">
        <f>IF(Option3="No",0,IF($A73&lt;ImplementationYear,0,IF($A73&gt;(ImplementationYear+(Appraisal_Period-1)),0,'Road safety'!$F$22*$B73)))</f>
        <v>0</v>
      </c>
      <c r="AV73" s="97">
        <f>IF(Option3="No",0,IF($A73&lt;ImplementationYear,0,IF($A73&gt;(ImplementationYear+(Appraisal_Period-1)),0,'Reduction in car usage'!$F$46*$B73)))</f>
        <v>0</v>
      </c>
      <c r="AW73" s="97">
        <f>IF(Option3="No",0,IF($A73&lt;ImplementationYear,0,IF($A73&gt;(ImplementationYear+(Appraisal_Period-1)),0,'Reduction in car usage'!$F$47*$B73)))</f>
        <v>0</v>
      </c>
      <c r="AX73" s="97">
        <f>IF(Option3="No",0,IF($A73&lt;ImplementationYear,0,IF($A73&gt;(ImplementationYear+(Appraisal_Period-1)),0,'Reduction in car usage'!$F$48*$B73)))</f>
        <v>0</v>
      </c>
    </row>
    <row r="74" spans="1:50">
      <c r="A74" s="335">
        <v>2069</v>
      </c>
      <c r="B74" s="62">
        <f>VLOOKUP($A74,'Time-series parameters'!$E$11:$H$89,4,FALSE)</f>
        <v>9.3698257904844623E-2</v>
      </c>
      <c r="C74" s="89"/>
      <c r="D74" s="94">
        <f>IF(Option1="No",0,IF($A74=ImplementationYear,('Project details'!$H$10-'Project details'!$D$10)*VLOOKUP(Year_cost_estimate,'Time-series parameters'!$B$11:$C$89,2,FALSE)*$B74*(1+Contingency),0))</f>
        <v>0</v>
      </c>
      <c r="E74" s="94">
        <f>IF(Option1="No",0,IF($A74&lt;ImplementationYear,0,IF($A74&gt;(ImplementationYear+(Appraisal_Period-1)),0,('Project details'!$H$11-'Project details'!$D$11)*VLOOKUP(Year_cost_estimate,'Time-series parameters'!$B$11:$C$89,2,0))*$B74))</f>
        <v>0</v>
      </c>
      <c r="F74" s="94">
        <f>IF(Option1="No",0,IF($A74=ImplementationYear,('Project details'!$H$12-'Project details'!$D$12)*VLOOKUP(Year_cost_estimate,'Time-series parameters'!$B$11:$C$89,2,FALSE)*$B74,0))</f>
        <v>0</v>
      </c>
      <c r="G74" s="97">
        <f>IF(Option1="No",0,IF($A74&lt;ImplementationYear,0,IF($A74&gt;(ImplementationYear+(Appraisal_Period-1)),0,Health!$D$21*$B74)))</f>
        <v>0</v>
      </c>
      <c r="H74" s="97">
        <f>IF(Option1="No",0,IF($A74&lt;ImplementationYear,0,IF($A74&gt;(ImplementationYear+(Appraisal_Period-1)),0,Health!$D$22*$B74)))</f>
        <v>0</v>
      </c>
      <c r="I74" s="97">
        <f>IF(Option1="No",0,IF($A74&lt;ImplementationYear,0,IF($A74&gt;(ImplementationYear+(Appraisal_Period-1)),0,SUM('Travel time'!$D$22:$D$23)*$B74)))</f>
        <v>0</v>
      </c>
      <c r="J74" s="97">
        <f>IF(Option1="No",0,IF($A74&lt;ImplementationYear,0,IF($A74&gt;(ImplementationYear+(Appraisal_Period-1)),0,SUM('Travel time'!$D$20:$D$21)*$B74)))</f>
        <v>0</v>
      </c>
      <c r="K74" s="97">
        <f>IF(Option1="No",0,IF($A74&lt;ImplementationYear,0,IF($A74&gt;(ImplementationYear+(Appraisal_Period-1)),0,SUM(Quality!$D$22:$D$23)*$B74)))</f>
        <v>0</v>
      </c>
      <c r="L74" s="97">
        <f>IF(Option1="No",0,IF($A74&lt;ImplementationYear,0,IF($A74&gt;(ImplementationYear+(Appraisal_Period-1)),0,SUM(Quality!$D$20:$D$21)*$B74)))</f>
        <v>0</v>
      </c>
      <c r="M74" s="97">
        <f>IF(Option1="No",0,IF($A74&lt;ImplementationYear,0,IF($A74&gt;(ImplementationYear+(Appraisal_Period-1)),0,'Mode change'!$D$36*$B74)))</f>
        <v>0</v>
      </c>
      <c r="N74" s="97">
        <f>IF(Option1="No",0,IF($A74&lt;ImplementationYear,0,IF($A74&gt;(ImplementationYear+(Appraisal_Period-1)),0,'Mode change'!$D$37*$B74)))</f>
        <v>0</v>
      </c>
      <c r="O74" s="97">
        <f>IF(Option1="No",0,IF($A74&lt;ImplementationYear,0,IF($A74&gt;(ImplementationYear+(Appraisal_Period-1)),0,'Road safety'!$D$22*$B74)))</f>
        <v>0</v>
      </c>
      <c r="P74" s="97">
        <f>IF(Option1="No",0,IF($A74&lt;ImplementationYear,0,IF($A74&gt;(ImplementationYear+(Appraisal_Period-1)),0,'Reduction in car usage'!$D$46*$B74)))</f>
        <v>0</v>
      </c>
      <c r="Q74" s="97">
        <f>IF(Option1="No",0,IF($A74&lt;ImplementationYear,0,IF($A74&gt;(ImplementationYear+(Appraisal_Period-1)),0,'Reduction in car usage'!$D$47*$B74)))</f>
        <v>0</v>
      </c>
      <c r="R74" s="97">
        <f>IF(Option1="No",0,IF($A74&lt;ImplementationYear,0,IF($A74&gt;(ImplementationYear+(Appraisal_Period-1)),0,'Reduction in car usage'!$D$48*$B74)))</f>
        <v>0</v>
      </c>
      <c r="S74" s="92"/>
      <c r="T74" s="94">
        <f>IF(Option2="No",0,IF($A74=ImplementationYear,('Project details'!$L$10-'Project details'!$D$10)*VLOOKUP(Year_cost_estimate,'Time-series parameters'!$B$11:$C$89,2,FALSE)*$B74*(1+Contingency),0))</f>
        <v>0</v>
      </c>
      <c r="U74" s="94">
        <f>IF(Option2="No",0,IF($A74&lt;ImplementationYear,0,IF($A74&gt;(ImplementationYear+(Appraisal_Period-1)),0,('Project details'!$L$11-'Project details'!$D$11)*VLOOKUP(Year_cost_estimate,'Time-series parameters'!$B$11:$C$89,2,0))*$B74))</f>
        <v>0</v>
      </c>
      <c r="V74" s="94">
        <f>IF(Option2="No",0,IF($A74=ImplementationYear,('Project details'!$L$12-'Project details'!$D$12)*VLOOKUP(Year_cost_estimate,'Time-series parameters'!$B$11:$C$89,2,FALSE)*$B74,0))</f>
        <v>0</v>
      </c>
      <c r="W74" s="97">
        <f>IF(Option2="No",0,IF($A74&lt;ImplementationYear,0,IF($A74&gt;(ImplementationYear+(Appraisal_Period-1)),0,Health!$E$21*$B74)))</f>
        <v>0</v>
      </c>
      <c r="X74" s="97">
        <f>IF(Option2="No",0,IF($A74&lt;ImplementationYear,0,IF($A74&gt;(ImplementationYear+(Appraisal_Period-1)),0,Health!$E$22*$B74)))</f>
        <v>0</v>
      </c>
      <c r="Y74" s="97">
        <f>IF(Option2="No",0,IF($A74&lt;ImplementationYear,0,IF($A74&gt;(ImplementationYear+(Appraisal_Period-1)),0,SUM('Travel time'!$E$22:$E$23)*$B74)))</f>
        <v>0</v>
      </c>
      <c r="Z74" s="97">
        <f>IF(Option2="No",0,IF($A74&lt;ImplementationYear,0,IF($A74&gt;(ImplementationYear+(Appraisal_Period-1)),0,SUM('Travel time'!$E$20:$E$21)*$B74)))</f>
        <v>0</v>
      </c>
      <c r="AA74" s="97">
        <f>IF(Option2="No",0,IF($A74&lt;ImplementationYear,0,IF($A74&gt;(ImplementationYear+(Appraisal_Period-1)),0,SUM(Quality!$E$22:$E$23)*$B74)))</f>
        <v>0</v>
      </c>
      <c r="AB74" s="97">
        <f>IF(Option2="No",0,IF($A74&lt;ImplementationYear,0,IF($A74&gt;(ImplementationYear+(Appraisal_Period-1)),0,SUM(Quality!$E$20:$E$21)*$B74)))</f>
        <v>0</v>
      </c>
      <c r="AC74" s="97">
        <f>IF(Option2="No",0,IF($A74&lt;ImplementationYear,0,IF($A74&gt;(ImplementationYear+(Appraisal_Period-1)),0,'Mode change'!$E$36*$B74)))</f>
        <v>0</v>
      </c>
      <c r="AD74" s="97">
        <f>IF(Option2="No",0,IF($A74&lt;ImplementationYear,0,IF($A74&gt;(ImplementationYear+(Appraisal_Period-1)),0,'Mode change'!$E$37*$B74)))</f>
        <v>0</v>
      </c>
      <c r="AE74" s="97">
        <f>IF(Option2="No",0,IF($A74&lt;ImplementationYear,0,IF($A74&gt;(ImplementationYear+(Appraisal_Period-1)),0,'Road safety'!$E$22*$B74)))</f>
        <v>0</v>
      </c>
      <c r="AF74" s="97">
        <f>IF(Option2="No",0,IF($A74&lt;ImplementationYear,0,IF($A74&gt;(ImplementationYear+(Appraisal_Period-1)),0,'Reduction in car usage'!$E$46*$B74)))</f>
        <v>0</v>
      </c>
      <c r="AG74" s="97">
        <f>IF(Option2="No",0,IF($A74&lt;ImplementationYear,0,IF($A74&gt;(ImplementationYear+(Appraisal_Period-1)),0,'Reduction in car usage'!$E$47*$B74)))</f>
        <v>0</v>
      </c>
      <c r="AH74" s="97">
        <f>IF(Option2="No",0,IF($A74&lt;ImplementationYear,0,IF($A74&gt;(ImplementationYear+(Appraisal_Period-1)),0,'Reduction in car usage'!$E$48*$B74)))</f>
        <v>0</v>
      </c>
      <c r="AJ74" s="94">
        <f>IF(Option3="No",0,IF($A74=ImplementationYear,('Project details'!$P$10-'Project details'!$D$10)*VLOOKUP(Year_cost_estimate,'Time-series parameters'!$B$11:$C$89,2,FALSE)*$B74*(1+Contingency),0))</f>
        <v>0</v>
      </c>
      <c r="AK74" s="94">
        <f>IF(Option3="No",0,IF($A74&lt;ImplementationYear,0,IF($A74&gt;(ImplementationYear+(Appraisal_Period-1)),0,('Project details'!$P$11-'Project details'!$D$11)*VLOOKUP(Year_cost_estimate,'Time-series parameters'!$B$11:$C$89,2,0))*$B74))</f>
        <v>0</v>
      </c>
      <c r="AL74" s="94">
        <f>IF(Option3="No",0,IF($A74=ImplementationYear,('Project details'!$P$12-'Project details'!$D$12)*VLOOKUP(Year_cost_estimate,'Time-series parameters'!$B$11:$C$89,2,FALSE)*$B74,0))</f>
        <v>0</v>
      </c>
      <c r="AM74" s="97">
        <f>IF(Option3="No",0,IF($A74&lt;ImplementationYear,0,IF($A74&gt;(ImplementationYear+(Appraisal_Period-1)),0,Health!$F$21*$B74)))</f>
        <v>0</v>
      </c>
      <c r="AN74" s="97">
        <f>IF(Option3="No",0,IF($A74&lt;ImplementationYear,0,IF($A74&gt;(ImplementationYear+(Appraisal_Period-1)),0,Health!$F$22*$B74)))</f>
        <v>0</v>
      </c>
      <c r="AO74" s="97">
        <f>IF(Option3="No",0,IF($A74&lt;ImplementationYear,0,IF($A74&gt;(ImplementationYear+(Appraisal_Period-1)),0,SUM('Travel time'!$F$22:$F$23)*$B74)))</f>
        <v>0</v>
      </c>
      <c r="AP74" s="97">
        <f>IF(Option3="No",0,IF($A74&lt;ImplementationYear,0,IF($A74&gt;(ImplementationYear+(Appraisal_Period-1)),0,SUM('Travel time'!$F$20:$F$21)*$B74)))</f>
        <v>0</v>
      </c>
      <c r="AQ74" s="97">
        <f>IF(Option3="No",0,IF($A74&lt;ImplementationYear,0,IF($A74&gt;(ImplementationYear+(Appraisal_Period-1)),0,SUM(Quality!$F$22:$F$23)*$B74)))</f>
        <v>0</v>
      </c>
      <c r="AR74" s="97">
        <f>IF(Option3="No",0,IF($A74&lt;ImplementationYear,0,IF($A74&gt;(ImplementationYear+(Appraisal_Period-1)),0,SUM(Quality!$F$20:$F$21)*$B74)))</f>
        <v>0</v>
      </c>
      <c r="AS74" s="97">
        <f>IF(Option3="No",0,IF($A74&lt;ImplementationYear,0,IF($A74&gt;(ImplementationYear+(Appraisal_Period-1)),0,'Mode change'!$F$36*$B74)))</f>
        <v>0</v>
      </c>
      <c r="AT74" s="97">
        <f>IF(Option3="No",0,IF($A74&lt;ImplementationYear,0,IF($A74&gt;(ImplementationYear+(Appraisal_Period-1)),0,'Mode change'!$F$37*$B74)))</f>
        <v>0</v>
      </c>
      <c r="AU74" s="97">
        <f>IF(Option3="No",0,IF($A74&lt;ImplementationYear,0,IF($A74&gt;(ImplementationYear+(Appraisal_Period-1)),0,'Road safety'!$F$22*$B74)))</f>
        <v>0</v>
      </c>
      <c r="AV74" s="97">
        <f>IF(Option3="No",0,IF($A74&lt;ImplementationYear,0,IF($A74&gt;(ImplementationYear+(Appraisal_Period-1)),0,'Reduction in car usage'!$F$46*$B74)))</f>
        <v>0</v>
      </c>
      <c r="AW74" s="97">
        <f>IF(Option3="No",0,IF($A74&lt;ImplementationYear,0,IF($A74&gt;(ImplementationYear+(Appraisal_Period-1)),0,'Reduction in car usage'!$F$47*$B74)))</f>
        <v>0</v>
      </c>
      <c r="AX74" s="97">
        <f>IF(Option3="No",0,IF($A74&lt;ImplementationYear,0,IF($A74&gt;(ImplementationYear+(Appraisal_Period-1)),0,'Reduction in car usage'!$F$48*$B74)))</f>
        <v>0</v>
      </c>
    </row>
    <row r="75" spans="1:50">
      <c r="A75" s="335">
        <v>2070</v>
      </c>
      <c r="B75" s="62">
        <f>VLOOKUP($A75,'Time-series parameters'!$E$11:$H$89,4,FALSE)</f>
        <v>8.9950327588650833E-2</v>
      </c>
      <c r="C75" s="89"/>
      <c r="D75" s="94">
        <f>IF(Option1="No",0,IF($A75=ImplementationYear,('Project details'!$H$10-'Project details'!$D$10)*VLOOKUP(Year_cost_estimate,'Time-series parameters'!$B$11:$C$89,2,FALSE)*$B75*(1+Contingency),0))</f>
        <v>0</v>
      </c>
      <c r="E75" s="94">
        <f>IF(Option1="No",0,IF($A75&lt;ImplementationYear,0,IF($A75&gt;(ImplementationYear+(Appraisal_Period-1)),0,('Project details'!$H$11-'Project details'!$D$11)*VLOOKUP(Year_cost_estimate,'Time-series parameters'!$B$11:$C$89,2,0))*$B75))</f>
        <v>0</v>
      </c>
      <c r="F75" s="94">
        <f>IF(Option1="No",0,IF($A75=ImplementationYear,('Project details'!$H$12-'Project details'!$D$12)*VLOOKUP(Year_cost_estimate,'Time-series parameters'!$B$11:$C$89,2,FALSE)*$B75,0))</f>
        <v>0</v>
      </c>
      <c r="G75" s="97">
        <f>IF(Option1="No",0,IF($A75&lt;ImplementationYear,0,IF($A75&gt;(ImplementationYear+(Appraisal_Period-1)),0,Health!$D$21*$B75)))</f>
        <v>0</v>
      </c>
      <c r="H75" s="97">
        <f>IF(Option1="No",0,IF($A75&lt;ImplementationYear,0,IF($A75&gt;(ImplementationYear+(Appraisal_Period-1)),0,Health!$D$22*$B75)))</f>
        <v>0</v>
      </c>
      <c r="I75" s="97">
        <f>IF(Option1="No",0,IF($A75&lt;ImplementationYear,0,IF($A75&gt;(ImplementationYear+(Appraisal_Period-1)),0,SUM('Travel time'!$D$22:$D$23)*$B75)))</f>
        <v>0</v>
      </c>
      <c r="J75" s="97">
        <f>IF(Option1="No",0,IF($A75&lt;ImplementationYear,0,IF($A75&gt;(ImplementationYear+(Appraisal_Period-1)),0,SUM('Travel time'!$D$20:$D$21)*$B75)))</f>
        <v>0</v>
      </c>
      <c r="K75" s="97">
        <f>IF(Option1="No",0,IF($A75&lt;ImplementationYear,0,IF($A75&gt;(ImplementationYear+(Appraisal_Period-1)),0,SUM(Quality!$D$22:$D$23)*$B75)))</f>
        <v>0</v>
      </c>
      <c r="L75" s="97">
        <f>IF(Option1="No",0,IF($A75&lt;ImplementationYear,0,IF($A75&gt;(ImplementationYear+(Appraisal_Period-1)),0,SUM(Quality!$D$20:$D$21)*$B75)))</f>
        <v>0</v>
      </c>
      <c r="M75" s="97">
        <f>IF(Option1="No",0,IF($A75&lt;ImplementationYear,0,IF($A75&gt;(ImplementationYear+(Appraisal_Period-1)),0,'Mode change'!$D$36*$B75)))</f>
        <v>0</v>
      </c>
      <c r="N75" s="97">
        <f>IF(Option1="No",0,IF($A75&lt;ImplementationYear,0,IF($A75&gt;(ImplementationYear+(Appraisal_Period-1)),0,'Mode change'!$D$37*$B75)))</f>
        <v>0</v>
      </c>
      <c r="O75" s="97">
        <f>IF(Option1="No",0,IF($A75&lt;ImplementationYear,0,IF($A75&gt;(ImplementationYear+(Appraisal_Period-1)),0,'Road safety'!$D$22*$B75)))</f>
        <v>0</v>
      </c>
      <c r="P75" s="97">
        <f>IF(Option1="No",0,IF($A75&lt;ImplementationYear,0,IF($A75&gt;(ImplementationYear+(Appraisal_Period-1)),0,'Reduction in car usage'!$D$46*$B75)))</f>
        <v>0</v>
      </c>
      <c r="Q75" s="97">
        <f>IF(Option1="No",0,IF($A75&lt;ImplementationYear,0,IF($A75&gt;(ImplementationYear+(Appraisal_Period-1)),0,'Reduction in car usage'!$D$47*$B75)))</f>
        <v>0</v>
      </c>
      <c r="R75" s="97">
        <f>IF(Option1="No",0,IF($A75&lt;ImplementationYear,0,IF($A75&gt;(ImplementationYear+(Appraisal_Period-1)),0,'Reduction in car usage'!$D$48*$B75)))</f>
        <v>0</v>
      </c>
      <c r="S75" s="92"/>
      <c r="T75" s="94">
        <f>IF(Option2="No",0,IF($A75=ImplementationYear,('Project details'!$L$10-'Project details'!$D$10)*VLOOKUP(Year_cost_estimate,'Time-series parameters'!$B$11:$C$89,2,FALSE)*$B75*(1+Contingency),0))</f>
        <v>0</v>
      </c>
      <c r="U75" s="94">
        <f>IF(Option2="No",0,IF($A75&lt;ImplementationYear,0,IF($A75&gt;(ImplementationYear+(Appraisal_Period-1)),0,('Project details'!$L$11-'Project details'!$D$11)*VLOOKUP(Year_cost_estimate,'Time-series parameters'!$B$11:$C$89,2,0))*$B75))</f>
        <v>0</v>
      </c>
      <c r="V75" s="94">
        <f>IF(Option2="No",0,IF($A75=ImplementationYear,('Project details'!$L$12-'Project details'!$D$12)*VLOOKUP(Year_cost_estimate,'Time-series parameters'!$B$11:$C$89,2,FALSE)*$B75,0))</f>
        <v>0</v>
      </c>
      <c r="W75" s="97">
        <f>IF(Option2="No",0,IF($A75&lt;ImplementationYear,0,IF($A75&gt;(ImplementationYear+(Appraisal_Period-1)),0,Health!$E$21*$B75)))</f>
        <v>0</v>
      </c>
      <c r="X75" s="97">
        <f>IF(Option2="No",0,IF($A75&lt;ImplementationYear,0,IF($A75&gt;(ImplementationYear+(Appraisal_Period-1)),0,Health!$E$22*$B75)))</f>
        <v>0</v>
      </c>
      <c r="Y75" s="97">
        <f>IF(Option2="No",0,IF($A75&lt;ImplementationYear,0,IF($A75&gt;(ImplementationYear+(Appraisal_Period-1)),0,SUM('Travel time'!$E$22:$E$23)*$B75)))</f>
        <v>0</v>
      </c>
      <c r="Z75" s="97">
        <f>IF(Option2="No",0,IF($A75&lt;ImplementationYear,0,IF($A75&gt;(ImplementationYear+(Appraisal_Period-1)),0,SUM('Travel time'!$E$20:$E$21)*$B75)))</f>
        <v>0</v>
      </c>
      <c r="AA75" s="97">
        <f>IF(Option2="No",0,IF($A75&lt;ImplementationYear,0,IF($A75&gt;(ImplementationYear+(Appraisal_Period-1)),0,SUM(Quality!$E$22:$E$23)*$B75)))</f>
        <v>0</v>
      </c>
      <c r="AB75" s="97">
        <f>IF(Option2="No",0,IF($A75&lt;ImplementationYear,0,IF($A75&gt;(ImplementationYear+(Appraisal_Period-1)),0,SUM(Quality!$E$20:$E$21)*$B75)))</f>
        <v>0</v>
      </c>
      <c r="AC75" s="97">
        <f>IF(Option2="No",0,IF($A75&lt;ImplementationYear,0,IF($A75&gt;(ImplementationYear+(Appraisal_Period-1)),0,'Mode change'!$E$36*$B75)))</f>
        <v>0</v>
      </c>
      <c r="AD75" s="97">
        <f>IF(Option2="No",0,IF($A75&lt;ImplementationYear,0,IF($A75&gt;(ImplementationYear+(Appraisal_Period-1)),0,'Mode change'!$E$37*$B75)))</f>
        <v>0</v>
      </c>
      <c r="AE75" s="97">
        <f>IF(Option2="No",0,IF($A75&lt;ImplementationYear,0,IF($A75&gt;(ImplementationYear+(Appraisal_Period-1)),0,'Road safety'!$E$22*$B75)))</f>
        <v>0</v>
      </c>
      <c r="AF75" s="97">
        <f>IF(Option2="No",0,IF($A75&lt;ImplementationYear,0,IF($A75&gt;(ImplementationYear+(Appraisal_Period-1)),0,'Reduction in car usage'!$E$46*$B75)))</f>
        <v>0</v>
      </c>
      <c r="AG75" s="97">
        <f>IF(Option2="No",0,IF($A75&lt;ImplementationYear,0,IF($A75&gt;(ImplementationYear+(Appraisal_Period-1)),0,'Reduction in car usage'!$E$47*$B75)))</f>
        <v>0</v>
      </c>
      <c r="AH75" s="97">
        <f>IF(Option2="No",0,IF($A75&lt;ImplementationYear,0,IF($A75&gt;(ImplementationYear+(Appraisal_Period-1)),0,'Reduction in car usage'!$E$48*$B75)))</f>
        <v>0</v>
      </c>
      <c r="AJ75" s="94">
        <f>IF(Option3="No",0,IF($A75=ImplementationYear,('Project details'!$P$10-'Project details'!$D$10)*VLOOKUP(Year_cost_estimate,'Time-series parameters'!$B$11:$C$89,2,FALSE)*$B75*(1+Contingency),0))</f>
        <v>0</v>
      </c>
      <c r="AK75" s="94">
        <f>IF(Option3="No",0,IF($A75&lt;ImplementationYear,0,IF($A75&gt;(ImplementationYear+(Appraisal_Period-1)),0,('Project details'!$P$11-'Project details'!$D$11)*VLOOKUP(Year_cost_estimate,'Time-series parameters'!$B$11:$C$89,2,0))*$B75))</f>
        <v>0</v>
      </c>
      <c r="AL75" s="94">
        <f>IF(Option3="No",0,IF($A75=ImplementationYear,('Project details'!$P$12-'Project details'!$D$12)*VLOOKUP(Year_cost_estimate,'Time-series parameters'!$B$11:$C$89,2,FALSE)*$B75,0))</f>
        <v>0</v>
      </c>
      <c r="AM75" s="97">
        <f>IF(Option3="No",0,IF($A75&lt;ImplementationYear,0,IF($A75&gt;(ImplementationYear+(Appraisal_Period-1)),0,Health!$F$21*$B75)))</f>
        <v>0</v>
      </c>
      <c r="AN75" s="97">
        <f>IF(Option3="No",0,IF($A75&lt;ImplementationYear,0,IF($A75&gt;(ImplementationYear+(Appraisal_Period-1)),0,Health!$F$22*$B75)))</f>
        <v>0</v>
      </c>
      <c r="AO75" s="97">
        <f>IF(Option3="No",0,IF($A75&lt;ImplementationYear,0,IF($A75&gt;(ImplementationYear+(Appraisal_Period-1)),0,SUM('Travel time'!$F$22:$F$23)*$B75)))</f>
        <v>0</v>
      </c>
      <c r="AP75" s="97">
        <f>IF(Option3="No",0,IF($A75&lt;ImplementationYear,0,IF($A75&gt;(ImplementationYear+(Appraisal_Period-1)),0,SUM('Travel time'!$F$20:$F$21)*$B75)))</f>
        <v>0</v>
      </c>
      <c r="AQ75" s="97">
        <f>IF(Option3="No",0,IF($A75&lt;ImplementationYear,0,IF($A75&gt;(ImplementationYear+(Appraisal_Period-1)),0,SUM(Quality!$F$22:$F$23)*$B75)))</f>
        <v>0</v>
      </c>
      <c r="AR75" s="97">
        <f>IF(Option3="No",0,IF($A75&lt;ImplementationYear,0,IF($A75&gt;(ImplementationYear+(Appraisal_Period-1)),0,SUM(Quality!$F$20:$F$21)*$B75)))</f>
        <v>0</v>
      </c>
      <c r="AS75" s="97">
        <f>IF(Option3="No",0,IF($A75&lt;ImplementationYear,0,IF($A75&gt;(ImplementationYear+(Appraisal_Period-1)),0,'Mode change'!$F$36*$B75)))</f>
        <v>0</v>
      </c>
      <c r="AT75" s="97">
        <f>IF(Option3="No",0,IF($A75&lt;ImplementationYear,0,IF($A75&gt;(ImplementationYear+(Appraisal_Period-1)),0,'Mode change'!$F$37*$B75)))</f>
        <v>0</v>
      </c>
      <c r="AU75" s="97">
        <f>IF(Option3="No",0,IF($A75&lt;ImplementationYear,0,IF($A75&gt;(ImplementationYear+(Appraisal_Period-1)),0,'Road safety'!$F$22*$B75)))</f>
        <v>0</v>
      </c>
      <c r="AV75" s="97">
        <f>IF(Option3="No",0,IF($A75&lt;ImplementationYear,0,IF($A75&gt;(ImplementationYear+(Appraisal_Period-1)),0,'Reduction in car usage'!$F$46*$B75)))</f>
        <v>0</v>
      </c>
      <c r="AW75" s="97">
        <f>IF(Option3="No",0,IF($A75&lt;ImplementationYear,0,IF($A75&gt;(ImplementationYear+(Appraisal_Period-1)),0,'Reduction in car usage'!$F$47*$B75)))</f>
        <v>0</v>
      </c>
      <c r="AX75" s="97">
        <f>IF(Option3="No",0,IF($A75&lt;ImplementationYear,0,IF($A75&gt;(ImplementationYear+(Appraisal_Period-1)),0,'Reduction in car usage'!$F$48*$B75)))</f>
        <v>0</v>
      </c>
    </row>
    <row r="76" spans="1:50">
      <c r="A76" s="335">
        <v>2071</v>
      </c>
      <c r="B76" s="62">
        <f>VLOOKUP($A76,'Time-series parameters'!$E$11:$H$89,4,FALSE)</f>
        <v>8.6352314485104803E-2</v>
      </c>
      <c r="C76" s="89"/>
      <c r="D76" s="94">
        <f>IF(Option1="No",0,IF($A76=ImplementationYear,('Project details'!$H$10-'Project details'!$D$10)*VLOOKUP(Year_cost_estimate,'Time-series parameters'!$B$11:$C$89,2,FALSE)*$B76*(1+Contingency),0))</f>
        <v>0</v>
      </c>
      <c r="E76" s="94">
        <f>IF(Option1="No",0,IF($A76&lt;ImplementationYear,0,IF($A76&gt;(ImplementationYear+(Appraisal_Period-1)),0,('Project details'!$H$11-'Project details'!$D$11)*VLOOKUP(Year_cost_estimate,'Time-series parameters'!$B$11:$C$89,2,0))*$B76))</f>
        <v>0</v>
      </c>
      <c r="F76" s="94">
        <f>IF(Option1="No",0,IF($A76=ImplementationYear,('Project details'!$H$12-'Project details'!$D$12)*VLOOKUP(Year_cost_estimate,'Time-series parameters'!$B$11:$C$89,2,FALSE)*$B76,0))</f>
        <v>0</v>
      </c>
      <c r="G76" s="97">
        <f>IF(Option1="No",0,IF($A76&lt;ImplementationYear,0,IF($A76&gt;(ImplementationYear+(Appraisal_Period-1)),0,Health!$D$21*$B76)))</f>
        <v>0</v>
      </c>
      <c r="H76" s="97">
        <f>IF(Option1="No",0,IF($A76&lt;ImplementationYear,0,IF($A76&gt;(ImplementationYear+(Appraisal_Period-1)),0,Health!$D$22*$B76)))</f>
        <v>0</v>
      </c>
      <c r="I76" s="97">
        <f>IF(Option1="No",0,IF($A76&lt;ImplementationYear,0,IF($A76&gt;(ImplementationYear+(Appraisal_Period-1)),0,SUM('Travel time'!$D$22:$D$23)*$B76)))</f>
        <v>0</v>
      </c>
      <c r="J76" s="97">
        <f>IF(Option1="No",0,IF($A76&lt;ImplementationYear,0,IF($A76&gt;(ImplementationYear+(Appraisal_Period-1)),0,SUM('Travel time'!$D$20:$D$21)*$B76)))</f>
        <v>0</v>
      </c>
      <c r="K76" s="97">
        <f>IF(Option1="No",0,IF($A76&lt;ImplementationYear,0,IF($A76&gt;(ImplementationYear+(Appraisal_Period-1)),0,SUM(Quality!$D$22:$D$23)*$B76)))</f>
        <v>0</v>
      </c>
      <c r="L76" s="97">
        <f>IF(Option1="No",0,IF($A76&lt;ImplementationYear,0,IF($A76&gt;(ImplementationYear+(Appraisal_Period-1)),0,SUM(Quality!$D$20:$D$21)*$B76)))</f>
        <v>0</v>
      </c>
      <c r="M76" s="97">
        <f>IF(Option1="No",0,IF($A76&lt;ImplementationYear,0,IF($A76&gt;(ImplementationYear+(Appraisal_Period-1)),0,'Mode change'!$D$36*$B76)))</f>
        <v>0</v>
      </c>
      <c r="N76" s="97">
        <f>IF(Option1="No",0,IF($A76&lt;ImplementationYear,0,IF($A76&gt;(ImplementationYear+(Appraisal_Period-1)),0,'Mode change'!$D$37*$B76)))</f>
        <v>0</v>
      </c>
      <c r="O76" s="97">
        <f>IF(Option1="No",0,IF($A76&lt;ImplementationYear,0,IF($A76&gt;(ImplementationYear+(Appraisal_Period-1)),0,'Road safety'!$D$22*$B76)))</f>
        <v>0</v>
      </c>
      <c r="P76" s="97">
        <f>IF(Option1="No",0,IF($A76&lt;ImplementationYear,0,IF($A76&gt;(ImplementationYear+(Appraisal_Period-1)),0,'Reduction in car usage'!$D$46*$B76)))</f>
        <v>0</v>
      </c>
      <c r="Q76" s="97">
        <f>IF(Option1="No",0,IF($A76&lt;ImplementationYear,0,IF($A76&gt;(ImplementationYear+(Appraisal_Period-1)),0,'Reduction in car usage'!$D$47*$B76)))</f>
        <v>0</v>
      </c>
      <c r="R76" s="97">
        <f>IF(Option1="No",0,IF($A76&lt;ImplementationYear,0,IF($A76&gt;(ImplementationYear+(Appraisal_Period-1)),0,'Reduction in car usage'!$D$48*$B76)))</f>
        <v>0</v>
      </c>
      <c r="S76" s="92"/>
      <c r="T76" s="94">
        <f>IF(Option2="No",0,IF($A76=ImplementationYear,('Project details'!$L$10-'Project details'!$D$10)*VLOOKUP(Year_cost_estimate,'Time-series parameters'!$B$11:$C$89,2,FALSE)*$B76*(1+Contingency),0))</f>
        <v>0</v>
      </c>
      <c r="U76" s="94">
        <f>IF(Option2="No",0,IF($A76&lt;ImplementationYear,0,IF($A76&gt;(ImplementationYear+(Appraisal_Period-1)),0,('Project details'!$L$11-'Project details'!$D$11)*VLOOKUP(Year_cost_estimate,'Time-series parameters'!$B$11:$C$89,2,0))*$B76))</f>
        <v>0</v>
      </c>
      <c r="V76" s="94">
        <f>IF(Option2="No",0,IF($A76=ImplementationYear,('Project details'!$L$12-'Project details'!$D$12)*VLOOKUP(Year_cost_estimate,'Time-series parameters'!$B$11:$C$89,2,FALSE)*$B76,0))</f>
        <v>0</v>
      </c>
      <c r="W76" s="97">
        <f>IF(Option2="No",0,IF($A76&lt;ImplementationYear,0,IF($A76&gt;(ImplementationYear+(Appraisal_Period-1)),0,Health!$E$21*$B76)))</f>
        <v>0</v>
      </c>
      <c r="X76" s="97">
        <f>IF(Option2="No",0,IF($A76&lt;ImplementationYear,0,IF($A76&gt;(ImplementationYear+(Appraisal_Period-1)),0,Health!$E$22*$B76)))</f>
        <v>0</v>
      </c>
      <c r="Y76" s="97">
        <f>IF(Option2="No",0,IF($A76&lt;ImplementationYear,0,IF($A76&gt;(ImplementationYear+(Appraisal_Period-1)),0,SUM('Travel time'!$E$22:$E$23)*$B76)))</f>
        <v>0</v>
      </c>
      <c r="Z76" s="97">
        <f>IF(Option2="No",0,IF($A76&lt;ImplementationYear,0,IF($A76&gt;(ImplementationYear+(Appraisal_Period-1)),0,SUM('Travel time'!$E$20:$E$21)*$B76)))</f>
        <v>0</v>
      </c>
      <c r="AA76" s="97">
        <f>IF(Option2="No",0,IF($A76&lt;ImplementationYear,0,IF($A76&gt;(ImplementationYear+(Appraisal_Period-1)),0,SUM(Quality!$E$22:$E$23)*$B76)))</f>
        <v>0</v>
      </c>
      <c r="AB76" s="97">
        <f>IF(Option2="No",0,IF($A76&lt;ImplementationYear,0,IF($A76&gt;(ImplementationYear+(Appraisal_Period-1)),0,SUM(Quality!$E$20:$E$21)*$B76)))</f>
        <v>0</v>
      </c>
      <c r="AC76" s="97">
        <f>IF(Option2="No",0,IF($A76&lt;ImplementationYear,0,IF($A76&gt;(ImplementationYear+(Appraisal_Period-1)),0,'Mode change'!$E$36*$B76)))</f>
        <v>0</v>
      </c>
      <c r="AD76" s="97">
        <f>IF(Option2="No",0,IF($A76&lt;ImplementationYear,0,IF($A76&gt;(ImplementationYear+(Appraisal_Period-1)),0,'Mode change'!$E$37*$B76)))</f>
        <v>0</v>
      </c>
      <c r="AE76" s="97">
        <f>IF(Option2="No",0,IF($A76&lt;ImplementationYear,0,IF($A76&gt;(ImplementationYear+(Appraisal_Period-1)),0,'Road safety'!$E$22*$B76)))</f>
        <v>0</v>
      </c>
      <c r="AF76" s="97">
        <f>IF(Option2="No",0,IF($A76&lt;ImplementationYear,0,IF($A76&gt;(ImplementationYear+(Appraisal_Period-1)),0,'Reduction in car usage'!$E$46*$B76)))</f>
        <v>0</v>
      </c>
      <c r="AG76" s="97">
        <f>IF(Option2="No",0,IF($A76&lt;ImplementationYear,0,IF($A76&gt;(ImplementationYear+(Appraisal_Period-1)),0,'Reduction in car usage'!$E$47*$B76)))</f>
        <v>0</v>
      </c>
      <c r="AH76" s="97">
        <f>IF(Option2="No",0,IF($A76&lt;ImplementationYear,0,IF($A76&gt;(ImplementationYear+(Appraisal_Period-1)),0,'Reduction in car usage'!$E$48*$B76)))</f>
        <v>0</v>
      </c>
      <c r="AJ76" s="94">
        <f>IF(Option3="No",0,IF($A76=ImplementationYear,('Project details'!$P$10-'Project details'!$D$10)*VLOOKUP(Year_cost_estimate,'Time-series parameters'!$B$11:$C$89,2,FALSE)*$B76*(1+Contingency),0))</f>
        <v>0</v>
      </c>
      <c r="AK76" s="94">
        <f>IF(Option3="No",0,IF($A76&lt;ImplementationYear,0,IF($A76&gt;(ImplementationYear+(Appraisal_Period-1)),0,('Project details'!$P$11-'Project details'!$D$11)*VLOOKUP(Year_cost_estimate,'Time-series parameters'!$B$11:$C$89,2,0))*$B76))</f>
        <v>0</v>
      </c>
      <c r="AL76" s="94">
        <f>IF(Option3="No",0,IF($A76=ImplementationYear,('Project details'!$P$12-'Project details'!$D$12)*VLOOKUP(Year_cost_estimate,'Time-series parameters'!$B$11:$C$89,2,FALSE)*$B76,0))</f>
        <v>0</v>
      </c>
      <c r="AM76" s="97">
        <f>IF(Option3="No",0,IF($A76&lt;ImplementationYear,0,IF($A76&gt;(ImplementationYear+(Appraisal_Period-1)),0,Health!$F$21*$B76)))</f>
        <v>0</v>
      </c>
      <c r="AN76" s="97">
        <f>IF(Option3="No",0,IF($A76&lt;ImplementationYear,0,IF($A76&gt;(ImplementationYear+(Appraisal_Period-1)),0,Health!$F$22*$B76)))</f>
        <v>0</v>
      </c>
      <c r="AO76" s="97">
        <f>IF(Option3="No",0,IF($A76&lt;ImplementationYear,0,IF($A76&gt;(ImplementationYear+(Appraisal_Period-1)),0,SUM('Travel time'!$F$22:$F$23)*$B76)))</f>
        <v>0</v>
      </c>
      <c r="AP76" s="97">
        <f>IF(Option3="No",0,IF($A76&lt;ImplementationYear,0,IF($A76&gt;(ImplementationYear+(Appraisal_Period-1)),0,SUM('Travel time'!$F$20:$F$21)*$B76)))</f>
        <v>0</v>
      </c>
      <c r="AQ76" s="97">
        <f>IF(Option3="No",0,IF($A76&lt;ImplementationYear,0,IF($A76&gt;(ImplementationYear+(Appraisal_Period-1)),0,SUM(Quality!$F$22:$F$23)*$B76)))</f>
        <v>0</v>
      </c>
      <c r="AR76" s="97">
        <f>IF(Option3="No",0,IF($A76&lt;ImplementationYear,0,IF($A76&gt;(ImplementationYear+(Appraisal_Period-1)),0,SUM(Quality!$F$20:$F$21)*$B76)))</f>
        <v>0</v>
      </c>
      <c r="AS76" s="97">
        <f>IF(Option3="No",0,IF($A76&lt;ImplementationYear,0,IF($A76&gt;(ImplementationYear+(Appraisal_Period-1)),0,'Mode change'!$F$36*$B76)))</f>
        <v>0</v>
      </c>
      <c r="AT76" s="97">
        <f>IF(Option3="No",0,IF($A76&lt;ImplementationYear,0,IF($A76&gt;(ImplementationYear+(Appraisal_Period-1)),0,'Mode change'!$F$37*$B76)))</f>
        <v>0</v>
      </c>
      <c r="AU76" s="97">
        <f>IF(Option3="No",0,IF($A76&lt;ImplementationYear,0,IF($A76&gt;(ImplementationYear+(Appraisal_Period-1)),0,'Road safety'!$F$22*$B76)))</f>
        <v>0</v>
      </c>
      <c r="AV76" s="97">
        <f>IF(Option3="No",0,IF($A76&lt;ImplementationYear,0,IF($A76&gt;(ImplementationYear+(Appraisal_Period-1)),0,'Reduction in car usage'!$F$46*$B76)))</f>
        <v>0</v>
      </c>
      <c r="AW76" s="97">
        <f>IF(Option3="No",0,IF($A76&lt;ImplementationYear,0,IF($A76&gt;(ImplementationYear+(Appraisal_Period-1)),0,'Reduction in car usage'!$F$47*$B76)))</f>
        <v>0</v>
      </c>
      <c r="AX76" s="97">
        <f>IF(Option3="No",0,IF($A76&lt;ImplementationYear,0,IF($A76&gt;(ImplementationYear+(Appraisal_Period-1)),0,'Reduction in car usage'!$F$48*$B76)))</f>
        <v>0</v>
      </c>
    </row>
    <row r="77" spans="1:50">
      <c r="A77" s="335">
        <v>2072</v>
      </c>
      <c r="B77" s="62">
        <f>VLOOKUP($A77,'Time-series parameters'!$E$11:$H$89,4,FALSE)</f>
        <v>8.2898221905700606E-2</v>
      </c>
      <c r="C77" s="89"/>
      <c r="D77" s="94">
        <f>IF(Option1="No",0,IF($A77=ImplementationYear,('Project details'!$H$10-'Project details'!$D$10)*VLOOKUP(Year_cost_estimate,'Time-series parameters'!$B$11:$C$89,2,FALSE)*$B77*(1+Contingency),0))</f>
        <v>0</v>
      </c>
      <c r="E77" s="94">
        <f>IF(Option1="No",0,IF($A77&lt;ImplementationYear,0,IF($A77&gt;(ImplementationYear+(Appraisal_Period-1)),0,('Project details'!$H$11-'Project details'!$D$11)*VLOOKUP(Year_cost_estimate,'Time-series parameters'!$B$11:$C$89,2,0))*$B77))</f>
        <v>0</v>
      </c>
      <c r="F77" s="94">
        <f>IF(Option1="No",0,IF($A77=ImplementationYear,('Project details'!$H$12-'Project details'!$D$12)*VLOOKUP(Year_cost_estimate,'Time-series parameters'!$B$11:$C$89,2,FALSE)*$B77,0))</f>
        <v>0</v>
      </c>
      <c r="G77" s="97">
        <f>IF(Option1="No",0,IF($A77&lt;ImplementationYear,0,IF($A77&gt;(ImplementationYear+(Appraisal_Period-1)),0,Health!$D$21*$B77)))</f>
        <v>0</v>
      </c>
      <c r="H77" s="97">
        <f>IF(Option1="No",0,IF($A77&lt;ImplementationYear,0,IF($A77&gt;(ImplementationYear+(Appraisal_Period-1)),0,Health!$D$22*$B77)))</f>
        <v>0</v>
      </c>
      <c r="I77" s="97">
        <f>IF(Option1="No",0,IF($A77&lt;ImplementationYear,0,IF($A77&gt;(ImplementationYear+(Appraisal_Period-1)),0,SUM('Travel time'!$D$22:$D$23)*$B77)))</f>
        <v>0</v>
      </c>
      <c r="J77" s="97">
        <f>IF(Option1="No",0,IF($A77&lt;ImplementationYear,0,IF($A77&gt;(ImplementationYear+(Appraisal_Period-1)),0,SUM('Travel time'!$D$20:$D$21)*$B77)))</f>
        <v>0</v>
      </c>
      <c r="K77" s="97">
        <f>IF(Option1="No",0,IF($A77&lt;ImplementationYear,0,IF($A77&gt;(ImplementationYear+(Appraisal_Period-1)),0,SUM(Quality!$D$22:$D$23)*$B77)))</f>
        <v>0</v>
      </c>
      <c r="L77" s="97">
        <f>IF(Option1="No",0,IF($A77&lt;ImplementationYear,0,IF($A77&gt;(ImplementationYear+(Appraisal_Period-1)),0,SUM(Quality!$D$20:$D$21)*$B77)))</f>
        <v>0</v>
      </c>
      <c r="M77" s="97">
        <f>IF(Option1="No",0,IF($A77&lt;ImplementationYear,0,IF($A77&gt;(ImplementationYear+(Appraisal_Period-1)),0,'Mode change'!$D$36*$B77)))</f>
        <v>0</v>
      </c>
      <c r="N77" s="97">
        <f>IF(Option1="No",0,IF($A77&lt;ImplementationYear,0,IF($A77&gt;(ImplementationYear+(Appraisal_Period-1)),0,'Mode change'!$D$37*$B77)))</f>
        <v>0</v>
      </c>
      <c r="O77" s="97">
        <f>IF(Option1="No",0,IF($A77&lt;ImplementationYear,0,IF($A77&gt;(ImplementationYear+(Appraisal_Period-1)),0,'Road safety'!$D$22*$B77)))</f>
        <v>0</v>
      </c>
      <c r="P77" s="97">
        <f>IF(Option1="No",0,IF($A77&lt;ImplementationYear,0,IF($A77&gt;(ImplementationYear+(Appraisal_Period-1)),0,'Reduction in car usage'!$D$46*$B77)))</f>
        <v>0</v>
      </c>
      <c r="Q77" s="97">
        <f>IF(Option1="No",0,IF($A77&lt;ImplementationYear,0,IF($A77&gt;(ImplementationYear+(Appraisal_Period-1)),0,'Reduction in car usage'!$D$47*$B77)))</f>
        <v>0</v>
      </c>
      <c r="R77" s="97">
        <f>IF(Option1="No",0,IF($A77&lt;ImplementationYear,0,IF($A77&gt;(ImplementationYear+(Appraisal_Period-1)),0,'Reduction in car usage'!$D$48*$B77)))</f>
        <v>0</v>
      </c>
      <c r="S77" s="92"/>
      <c r="T77" s="94">
        <f>IF(Option2="No",0,IF($A77=ImplementationYear,('Project details'!$L$10-'Project details'!$D$10)*VLOOKUP(Year_cost_estimate,'Time-series parameters'!$B$11:$C$89,2,FALSE)*$B77*(1+Contingency),0))</f>
        <v>0</v>
      </c>
      <c r="U77" s="94">
        <f>IF(Option2="No",0,IF($A77&lt;ImplementationYear,0,IF($A77&gt;(ImplementationYear+(Appraisal_Period-1)),0,('Project details'!$L$11-'Project details'!$D$11)*VLOOKUP(Year_cost_estimate,'Time-series parameters'!$B$11:$C$89,2,0))*$B77))</f>
        <v>0</v>
      </c>
      <c r="V77" s="94">
        <f>IF(Option2="No",0,IF($A77=ImplementationYear,('Project details'!$L$12-'Project details'!$D$12)*VLOOKUP(Year_cost_estimate,'Time-series parameters'!$B$11:$C$89,2,FALSE)*$B77,0))</f>
        <v>0</v>
      </c>
      <c r="W77" s="97">
        <f>IF(Option2="No",0,IF($A77&lt;ImplementationYear,0,IF($A77&gt;(ImplementationYear+(Appraisal_Period-1)),0,Health!$E$21*$B77)))</f>
        <v>0</v>
      </c>
      <c r="X77" s="97">
        <f>IF(Option2="No",0,IF($A77&lt;ImplementationYear,0,IF($A77&gt;(ImplementationYear+(Appraisal_Period-1)),0,Health!$E$22*$B77)))</f>
        <v>0</v>
      </c>
      <c r="Y77" s="97">
        <f>IF(Option2="No",0,IF($A77&lt;ImplementationYear,0,IF($A77&gt;(ImplementationYear+(Appraisal_Period-1)),0,SUM('Travel time'!$E$22:$E$23)*$B77)))</f>
        <v>0</v>
      </c>
      <c r="Z77" s="97">
        <f>IF(Option2="No",0,IF($A77&lt;ImplementationYear,0,IF($A77&gt;(ImplementationYear+(Appraisal_Period-1)),0,SUM('Travel time'!$E$20:$E$21)*$B77)))</f>
        <v>0</v>
      </c>
      <c r="AA77" s="97">
        <f>IF(Option2="No",0,IF($A77&lt;ImplementationYear,0,IF($A77&gt;(ImplementationYear+(Appraisal_Period-1)),0,SUM(Quality!$E$22:$E$23)*$B77)))</f>
        <v>0</v>
      </c>
      <c r="AB77" s="97">
        <f>IF(Option2="No",0,IF($A77&lt;ImplementationYear,0,IF($A77&gt;(ImplementationYear+(Appraisal_Period-1)),0,SUM(Quality!$E$20:$E$21)*$B77)))</f>
        <v>0</v>
      </c>
      <c r="AC77" s="97">
        <f>IF(Option2="No",0,IF($A77&lt;ImplementationYear,0,IF($A77&gt;(ImplementationYear+(Appraisal_Period-1)),0,'Mode change'!$E$36*$B77)))</f>
        <v>0</v>
      </c>
      <c r="AD77" s="97">
        <f>IF(Option2="No",0,IF($A77&lt;ImplementationYear,0,IF($A77&gt;(ImplementationYear+(Appraisal_Period-1)),0,'Mode change'!$E$37*$B77)))</f>
        <v>0</v>
      </c>
      <c r="AE77" s="97">
        <f>IF(Option2="No",0,IF($A77&lt;ImplementationYear,0,IF($A77&gt;(ImplementationYear+(Appraisal_Period-1)),0,'Road safety'!$E$22*$B77)))</f>
        <v>0</v>
      </c>
      <c r="AF77" s="97">
        <f>IF(Option2="No",0,IF($A77&lt;ImplementationYear,0,IF($A77&gt;(ImplementationYear+(Appraisal_Period-1)),0,'Reduction in car usage'!$E$46*$B77)))</f>
        <v>0</v>
      </c>
      <c r="AG77" s="97">
        <f>IF(Option2="No",0,IF($A77&lt;ImplementationYear,0,IF($A77&gt;(ImplementationYear+(Appraisal_Period-1)),0,'Reduction in car usage'!$E$47*$B77)))</f>
        <v>0</v>
      </c>
      <c r="AH77" s="97">
        <f>IF(Option2="No",0,IF($A77&lt;ImplementationYear,0,IF($A77&gt;(ImplementationYear+(Appraisal_Period-1)),0,'Reduction in car usage'!$E$48*$B77)))</f>
        <v>0</v>
      </c>
      <c r="AJ77" s="94">
        <f>IF(Option3="No",0,IF($A77=ImplementationYear,('Project details'!$P$10-'Project details'!$D$10)*VLOOKUP(Year_cost_estimate,'Time-series parameters'!$B$11:$C$89,2,FALSE)*$B77*(1+Contingency),0))</f>
        <v>0</v>
      </c>
      <c r="AK77" s="94">
        <f>IF(Option3="No",0,IF($A77&lt;ImplementationYear,0,IF($A77&gt;(ImplementationYear+(Appraisal_Period-1)),0,('Project details'!$P$11-'Project details'!$D$11)*VLOOKUP(Year_cost_estimate,'Time-series parameters'!$B$11:$C$89,2,0))*$B77))</f>
        <v>0</v>
      </c>
      <c r="AL77" s="94">
        <f>IF(Option3="No",0,IF($A77=ImplementationYear,('Project details'!$P$12-'Project details'!$D$12)*VLOOKUP(Year_cost_estimate,'Time-series parameters'!$B$11:$C$89,2,FALSE)*$B77,0))</f>
        <v>0</v>
      </c>
      <c r="AM77" s="97">
        <f>IF(Option3="No",0,IF($A77&lt;ImplementationYear,0,IF($A77&gt;(ImplementationYear+(Appraisal_Period-1)),0,Health!$F$21*$B77)))</f>
        <v>0</v>
      </c>
      <c r="AN77" s="97">
        <f>IF(Option3="No",0,IF($A77&lt;ImplementationYear,0,IF($A77&gt;(ImplementationYear+(Appraisal_Period-1)),0,Health!$F$22*$B77)))</f>
        <v>0</v>
      </c>
      <c r="AO77" s="97">
        <f>IF(Option3="No",0,IF($A77&lt;ImplementationYear,0,IF($A77&gt;(ImplementationYear+(Appraisal_Period-1)),0,SUM('Travel time'!$F$22:$F$23)*$B77)))</f>
        <v>0</v>
      </c>
      <c r="AP77" s="97">
        <f>IF(Option3="No",0,IF($A77&lt;ImplementationYear,0,IF($A77&gt;(ImplementationYear+(Appraisal_Period-1)),0,SUM('Travel time'!$F$20:$F$21)*$B77)))</f>
        <v>0</v>
      </c>
      <c r="AQ77" s="97">
        <f>IF(Option3="No",0,IF($A77&lt;ImplementationYear,0,IF($A77&gt;(ImplementationYear+(Appraisal_Period-1)),0,SUM(Quality!$F$22:$F$23)*$B77)))</f>
        <v>0</v>
      </c>
      <c r="AR77" s="97">
        <f>IF(Option3="No",0,IF($A77&lt;ImplementationYear,0,IF($A77&gt;(ImplementationYear+(Appraisal_Period-1)),0,SUM(Quality!$F$20:$F$21)*$B77)))</f>
        <v>0</v>
      </c>
      <c r="AS77" s="97">
        <f>IF(Option3="No",0,IF($A77&lt;ImplementationYear,0,IF($A77&gt;(ImplementationYear+(Appraisal_Period-1)),0,'Mode change'!$F$36*$B77)))</f>
        <v>0</v>
      </c>
      <c r="AT77" s="97">
        <f>IF(Option3="No",0,IF($A77&lt;ImplementationYear,0,IF($A77&gt;(ImplementationYear+(Appraisal_Period-1)),0,'Mode change'!$F$37*$B77)))</f>
        <v>0</v>
      </c>
      <c r="AU77" s="97">
        <f>IF(Option3="No",0,IF($A77&lt;ImplementationYear,0,IF($A77&gt;(ImplementationYear+(Appraisal_Period-1)),0,'Road safety'!$F$22*$B77)))</f>
        <v>0</v>
      </c>
      <c r="AV77" s="97">
        <f>IF(Option3="No",0,IF($A77&lt;ImplementationYear,0,IF($A77&gt;(ImplementationYear+(Appraisal_Period-1)),0,'Reduction in car usage'!$F$46*$B77)))</f>
        <v>0</v>
      </c>
      <c r="AW77" s="97">
        <f>IF(Option3="No",0,IF($A77&lt;ImplementationYear,0,IF($A77&gt;(ImplementationYear+(Appraisal_Period-1)),0,'Reduction in car usage'!$F$47*$B77)))</f>
        <v>0</v>
      </c>
      <c r="AX77" s="97">
        <f>IF(Option3="No",0,IF($A77&lt;ImplementationYear,0,IF($A77&gt;(ImplementationYear+(Appraisal_Period-1)),0,'Reduction in car usage'!$F$48*$B77)))</f>
        <v>0</v>
      </c>
    </row>
    <row r="78" spans="1:50">
      <c r="A78" s="335">
        <v>2073</v>
      </c>
      <c r="B78" s="62">
        <f>VLOOKUP($A78,'Time-series parameters'!$E$11:$H$89,4,FALSE)</f>
        <v>7.9582293029472576E-2</v>
      </c>
      <c r="C78" s="89"/>
      <c r="D78" s="94">
        <f>IF(Option1="No",0,IF($A78=ImplementationYear,('Project details'!$H$10-'Project details'!$D$10)*VLOOKUP(Year_cost_estimate,'Time-series parameters'!$B$11:$C$89,2,FALSE)*$B78*(1+Contingency),0))</f>
        <v>0</v>
      </c>
      <c r="E78" s="94">
        <f>IF(Option1="No",0,IF($A78&lt;ImplementationYear,0,IF($A78&gt;(ImplementationYear+(Appraisal_Period-1)),0,('Project details'!$H$11-'Project details'!$D$11)*VLOOKUP(Year_cost_estimate,'Time-series parameters'!$B$11:$C$89,2,0))*$B78))</f>
        <v>0</v>
      </c>
      <c r="F78" s="94">
        <f>IF(Option1="No",0,IF($A78=ImplementationYear,('Project details'!$H$12-'Project details'!$D$12)*VLOOKUP(Year_cost_estimate,'Time-series parameters'!$B$11:$C$89,2,FALSE)*$B78,0))</f>
        <v>0</v>
      </c>
      <c r="G78" s="97">
        <f>IF(Option1="No",0,IF($A78&lt;ImplementationYear,0,IF($A78&gt;(ImplementationYear+(Appraisal_Period-1)),0,Health!$D$21*$B78)))</f>
        <v>0</v>
      </c>
      <c r="H78" s="97">
        <f>IF(Option1="No",0,IF($A78&lt;ImplementationYear,0,IF($A78&gt;(ImplementationYear+(Appraisal_Period-1)),0,Health!$D$22*$B78)))</f>
        <v>0</v>
      </c>
      <c r="I78" s="97">
        <f>IF(Option1="No",0,IF($A78&lt;ImplementationYear,0,IF($A78&gt;(ImplementationYear+(Appraisal_Period-1)),0,SUM('Travel time'!$D$22:$D$23)*$B78)))</f>
        <v>0</v>
      </c>
      <c r="J78" s="97">
        <f>IF(Option1="No",0,IF($A78&lt;ImplementationYear,0,IF($A78&gt;(ImplementationYear+(Appraisal_Period-1)),0,SUM('Travel time'!$D$20:$D$21)*$B78)))</f>
        <v>0</v>
      </c>
      <c r="K78" s="97">
        <f>IF(Option1="No",0,IF($A78&lt;ImplementationYear,0,IF($A78&gt;(ImplementationYear+(Appraisal_Period-1)),0,SUM(Quality!$D$22:$D$23)*$B78)))</f>
        <v>0</v>
      </c>
      <c r="L78" s="97">
        <f>IF(Option1="No",0,IF($A78&lt;ImplementationYear,0,IF($A78&gt;(ImplementationYear+(Appraisal_Period-1)),0,SUM(Quality!$D$20:$D$21)*$B78)))</f>
        <v>0</v>
      </c>
      <c r="M78" s="97">
        <f>IF(Option1="No",0,IF($A78&lt;ImplementationYear,0,IF($A78&gt;(ImplementationYear+(Appraisal_Period-1)),0,'Mode change'!$D$36*$B78)))</f>
        <v>0</v>
      </c>
      <c r="N78" s="97">
        <f>IF(Option1="No",0,IF($A78&lt;ImplementationYear,0,IF($A78&gt;(ImplementationYear+(Appraisal_Period-1)),0,'Mode change'!$D$37*$B78)))</f>
        <v>0</v>
      </c>
      <c r="O78" s="97">
        <f>IF(Option1="No",0,IF($A78&lt;ImplementationYear,0,IF($A78&gt;(ImplementationYear+(Appraisal_Period-1)),0,'Road safety'!$D$22*$B78)))</f>
        <v>0</v>
      </c>
      <c r="P78" s="97">
        <f>IF(Option1="No",0,IF($A78&lt;ImplementationYear,0,IF($A78&gt;(ImplementationYear+(Appraisal_Period-1)),0,'Reduction in car usage'!$D$46*$B78)))</f>
        <v>0</v>
      </c>
      <c r="Q78" s="97">
        <f>IF(Option1="No",0,IF($A78&lt;ImplementationYear,0,IF($A78&gt;(ImplementationYear+(Appraisal_Period-1)),0,'Reduction in car usage'!$D$47*$B78)))</f>
        <v>0</v>
      </c>
      <c r="R78" s="97">
        <f>IF(Option1="No",0,IF($A78&lt;ImplementationYear,0,IF($A78&gt;(ImplementationYear+(Appraisal_Period-1)),0,'Reduction in car usage'!$D$48*$B78)))</f>
        <v>0</v>
      </c>
      <c r="S78" s="92"/>
      <c r="T78" s="94">
        <f>IF(Option2="No",0,IF($A78=ImplementationYear,('Project details'!$L$10-'Project details'!$D$10)*VLOOKUP(Year_cost_estimate,'Time-series parameters'!$B$11:$C$89,2,FALSE)*$B78*(1+Contingency),0))</f>
        <v>0</v>
      </c>
      <c r="U78" s="94">
        <f>IF(Option2="No",0,IF($A78&lt;ImplementationYear,0,IF($A78&gt;(ImplementationYear+(Appraisal_Period-1)),0,('Project details'!$L$11-'Project details'!$D$11)*VLOOKUP(Year_cost_estimate,'Time-series parameters'!$B$11:$C$89,2,0))*$B78))</f>
        <v>0</v>
      </c>
      <c r="V78" s="94">
        <f>IF(Option2="No",0,IF($A78=ImplementationYear,('Project details'!$L$12-'Project details'!$D$12)*VLOOKUP(Year_cost_estimate,'Time-series parameters'!$B$11:$C$89,2,FALSE)*$B78,0))</f>
        <v>0</v>
      </c>
      <c r="W78" s="97">
        <f>IF(Option2="No",0,IF($A78&lt;ImplementationYear,0,IF($A78&gt;(ImplementationYear+(Appraisal_Period-1)),0,Health!$E$21*$B78)))</f>
        <v>0</v>
      </c>
      <c r="X78" s="97">
        <f>IF(Option2="No",0,IF($A78&lt;ImplementationYear,0,IF($A78&gt;(ImplementationYear+(Appraisal_Period-1)),0,Health!$E$22*$B78)))</f>
        <v>0</v>
      </c>
      <c r="Y78" s="97">
        <f>IF(Option2="No",0,IF($A78&lt;ImplementationYear,0,IF($A78&gt;(ImplementationYear+(Appraisal_Period-1)),0,SUM('Travel time'!$E$22:$E$23)*$B78)))</f>
        <v>0</v>
      </c>
      <c r="Z78" s="97">
        <f>IF(Option2="No",0,IF($A78&lt;ImplementationYear,0,IF($A78&gt;(ImplementationYear+(Appraisal_Period-1)),0,SUM('Travel time'!$E$20:$E$21)*$B78)))</f>
        <v>0</v>
      </c>
      <c r="AA78" s="97">
        <f>IF(Option2="No",0,IF($A78&lt;ImplementationYear,0,IF($A78&gt;(ImplementationYear+(Appraisal_Period-1)),0,SUM(Quality!$E$22:$E$23)*$B78)))</f>
        <v>0</v>
      </c>
      <c r="AB78" s="97">
        <f>IF(Option2="No",0,IF($A78&lt;ImplementationYear,0,IF($A78&gt;(ImplementationYear+(Appraisal_Period-1)),0,SUM(Quality!$E$20:$E$21)*$B78)))</f>
        <v>0</v>
      </c>
      <c r="AC78" s="97">
        <f>IF(Option2="No",0,IF($A78&lt;ImplementationYear,0,IF($A78&gt;(ImplementationYear+(Appraisal_Period-1)),0,'Mode change'!$E$36*$B78)))</f>
        <v>0</v>
      </c>
      <c r="AD78" s="97">
        <f>IF(Option2="No",0,IF($A78&lt;ImplementationYear,0,IF($A78&gt;(ImplementationYear+(Appraisal_Period-1)),0,'Mode change'!$E$37*$B78)))</f>
        <v>0</v>
      </c>
      <c r="AE78" s="97">
        <f>IF(Option2="No",0,IF($A78&lt;ImplementationYear,0,IF($A78&gt;(ImplementationYear+(Appraisal_Period-1)),0,'Road safety'!$E$22*$B78)))</f>
        <v>0</v>
      </c>
      <c r="AF78" s="97">
        <f>IF(Option2="No",0,IF($A78&lt;ImplementationYear,0,IF($A78&gt;(ImplementationYear+(Appraisal_Period-1)),0,'Reduction in car usage'!$E$46*$B78)))</f>
        <v>0</v>
      </c>
      <c r="AG78" s="97">
        <f>IF(Option2="No",0,IF($A78&lt;ImplementationYear,0,IF($A78&gt;(ImplementationYear+(Appraisal_Period-1)),0,'Reduction in car usage'!$E$47*$B78)))</f>
        <v>0</v>
      </c>
      <c r="AH78" s="97">
        <f>IF(Option2="No",0,IF($A78&lt;ImplementationYear,0,IF($A78&gt;(ImplementationYear+(Appraisal_Period-1)),0,'Reduction in car usage'!$E$48*$B78)))</f>
        <v>0</v>
      </c>
      <c r="AJ78" s="94">
        <f>IF(Option3="No",0,IF($A78=ImplementationYear,('Project details'!$P$10-'Project details'!$D$10)*VLOOKUP(Year_cost_estimate,'Time-series parameters'!$B$11:$C$89,2,FALSE)*$B78*(1+Contingency),0))</f>
        <v>0</v>
      </c>
      <c r="AK78" s="94">
        <f>IF(Option3="No",0,IF($A78&lt;ImplementationYear,0,IF($A78&gt;(ImplementationYear+(Appraisal_Period-1)),0,('Project details'!$P$11-'Project details'!$D$11)*VLOOKUP(Year_cost_estimate,'Time-series parameters'!$B$11:$C$89,2,0))*$B78))</f>
        <v>0</v>
      </c>
      <c r="AL78" s="94">
        <f>IF(Option3="No",0,IF($A78=ImplementationYear,('Project details'!$P$12-'Project details'!$D$12)*VLOOKUP(Year_cost_estimate,'Time-series parameters'!$B$11:$C$89,2,FALSE)*$B78,0))</f>
        <v>0</v>
      </c>
      <c r="AM78" s="97">
        <f>IF(Option3="No",0,IF($A78&lt;ImplementationYear,0,IF($A78&gt;(ImplementationYear+(Appraisal_Period-1)),0,Health!$F$21*$B78)))</f>
        <v>0</v>
      </c>
      <c r="AN78" s="97">
        <f>IF(Option3="No",0,IF($A78&lt;ImplementationYear,0,IF($A78&gt;(ImplementationYear+(Appraisal_Period-1)),0,Health!$F$22*$B78)))</f>
        <v>0</v>
      </c>
      <c r="AO78" s="97">
        <f>IF(Option3="No",0,IF($A78&lt;ImplementationYear,0,IF($A78&gt;(ImplementationYear+(Appraisal_Period-1)),0,SUM('Travel time'!$F$22:$F$23)*$B78)))</f>
        <v>0</v>
      </c>
      <c r="AP78" s="97">
        <f>IF(Option3="No",0,IF($A78&lt;ImplementationYear,0,IF($A78&gt;(ImplementationYear+(Appraisal_Period-1)),0,SUM('Travel time'!$F$20:$F$21)*$B78)))</f>
        <v>0</v>
      </c>
      <c r="AQ78" s="97">
        <f>IF(Option3="No",0,IF($A78&lt;ImplementationYear,0,IF($A78&gt;(ImplementationYear+(Appraisal_Period-1)),0,SUM(Quality!$F$22:$F$23)*$B78)))</f>
        <v>0</v>
      </c>
      <c r="AR78" s="97">
        <f>IF(Option3="No",0,IF($A78&lt;ImplementationYear,0,IF($A78&gt;(ImplementationYear+(Appraisal_Period-1)),0,SUM(Quality!$F$20:$F$21)*$B78)))</f>
        <v>0</v>
      </c>
      <c r="AS78" s="97">
        <f>IF(Option3="No",0,IF($A78&lt;ImplementationYear,0,IF($A78&gt;(ImplementationYear+(Appraisal_Period-1)),0,'Mode change'!$F$36*$B78)))</f>
        <v>0</v>
      </c>
      <c r="AT78" s="97">
        <f>IF(Option3="No",0,IF($A78&lt;ImplementationYear,0,IF($A78&gt;(ImplementationYear+(Appraisal_Period-1)),0,'Mode change'!$F$37*$B78)))</f>
        <v>0</v>
      </c>
      <c r="AU78" s="97">
        <f>IF(Option3="No",0,IF($A78&lt;ImplementationYear,0,IF($A78&gt;(ImplementationYear+(Appraisal_Period-1)),0,'Road safety'!$F$22*$B78)))</f>
        <v>0</v>
      </c>
      <c r="AV78" s="97">
        <f>IF(Option3="No",0,IF($A78&lt;ImplementationYear,0,IF($A78&gt;(ImplementationYear+(Appraisal_Period-1)),0,'Reduction in car usage'!$F$46*$B78)))</f>
        <v>0</v>
      </c>
      <c r="AW78" s="97">
        <f>IF(Option3="No",0,IF($A78&lt;ImplementationYear,0,IF($A78&gt;(ImplementationYear+(Appraisal_Period-1)),0,'Reduction in car usage'!$F$47*$B78)))</f>
        <v>0</v>
      </c>
      <c r="AX78" s="97">
        <f>IF(Option3="No",0,IF($A78&lt;ImplementationYear,0,IF($A78&gt;(ImplementationYear+(Appraisal_Period-1)),0,'Reduction in car usage'!$F$48*$B78)))</f>
        <v>0</v>
      </c>
    </row>
    <row r="79" spans="1:50">
      <c r="A79" s="335">
        <v>2074</v>
      </c>
      <c r="B79" s="62">
        <f>VLOOKUP($A79,'Time-series parameters'!$E$11:$H$89,4,FALSE)</f>
        <v>7.6399001308293676E-2</v>
      </c>
      <c r="C79" s="89"/>
      <c r="D79" s="94">
        <f>IF(Option1="No",0,IF($A79=ImplementationYear,('Project details'!$H$10-'Project details'!$D$10)*VLOOKUP(Year_cost_estimate,'Time-series parameters'!$B$11:$C$89,2,FALSE)*$B79*(1+Contingency),0))</f>
        <v>0</v>
      </c>
      <c r="E79" s="94">
        <f>IF(Option1="No",0,IF($A79&lt;ImplementationYear,0,IF($A79&gt;(ImplementationYear+(Appraisal_Period-1)),0,('Project details'!$H$11-'Project details'!$D$11)*VLOOKUP(Year_cost_estimate,'Time-series parameters'!$B$11:$C$89,2,0))*$B79))</f>
        <v>0</v>
      </c>
      <c r="F79" s="94">
        <f>IF(Option1="No",0,IF($A79=ImplementationYear,('Project details'!$H$12-'Project details'!$D$12)*VLOOKUP(Year_cost_estimate,'Time-series parameters'!$B$11:$C$89,2,FALSE)*$B79,0))</f>
        <v>0</v>
      </c>
      <c r="G79" s="97">
        <f>IF(Option1="No",0,IF($A79&lt;ImplementationYear,0,IF($A79&gt;(ImplementationYear+(Appraisal_Period-1)),0,Health!$D$21*$B79)))</f>
        <v>0</v>
      </c>
      <c r="H79" s="97">
        <f>IF(Option1="No",0,IF($A79&lt;ImplementationYear,0,IF($A79&gt;(ImplementationYear+(Appraisal_Period-1)),0,Health!$D$22*$B79)))</f>
        <v>0</v>
      </c>
      <c r="I79" s="97">
        <f>IF(Option1="No",0,IF($A79&lt;ImplementationYear,0,IF($A79&gt;(ImplementationYear+(Appraisal_Period-1)),0,SUM('Travel time'!$D$22:$D$23)*$B79)))</f>
        <v>0</v>
      </c>
      <c r="J79" s="97">
        <f>IF(Option1="No",0,IF($A79&lt;ImplementationYear,0,IF($A79&gt;(ImplementationYear+(Appraisal_Period-1)),0,SUM('Travel time'!$D$20:$D$21)*$B79)))</f>
        <v>0</v>
      </c>
      <c r="K79" s="97">
        <f>IF(Option1="No",0,IF($A79&lt;ImplementationYear,0,IF($A79&gt;(ImplementationYear+(Appraisal_Period-1)),0,SUM(Quality!$D$22:$D$23)*$B79)))</f>
        <v>0</v>
      </c>
      <c r="L79" s="97">
        <f>IF(Option1="No",0,IF($A79&lt;ImplementationYear,0,IF($A79&gt;(ImplementationYear+(Appraisal_Period-1)),0,SUM(Quality!$D$20:$D$21)*$B79)))</f>
        <v>0</v>
      </c>
      <c r="M79" s="97">
        <f>IF(Option1="No",0,IF($A79&lt;ImplementationYear,0,IF($A79&gt;(ImplementationYear+(Appraisal_Period-1)),0,'Mode change'!$D$36*$B79)))</f>
        <v>0</v>
      </c>
      <c r="N79" s="97">
        <f>IF(Option1="No",0,IF($A79&lt;ImplementationYear,0,IF($A79&gt;(ImplementationYear+(Appraisal_Period-1)),0,'Mode change'!$D$37*$B79)))</f>
        <v>0</v>
      </c>
      <c r="O79" s="97">
        <f>IF(Option1="No",0,IF($A79&lt;ImplementationYear,0,IF($A79&gt;(ImplementationYear+(Appraisal_Period-1)),0,'Road safety'!$D$22*$B79)))</f>
        <v>0</v>
      </c>
      <c r="P79" s="97">
        <f>IF(Option1="No",0,IF($A79&lt;ImplementationYear,0,IF($A79&gt;(ImplementationYear+(Appraisal_Period-1)),0,'Reduction in car usage'!$D$46*$B79)))</f>
        <v>0</v>
      </c>
      <c r="Q79" s="97">
        <f>IF(Option1="No",0,IF($A79&lt;ImplementationYear,0,IF($A79&gt;(ImplementationYear+(Appraisal_Period-1)),0,'Reduction in car usage'!$D$47*$B79)))</f>
        <v>0</v>
      </c>
      <c r="R79" s="97">
        <f>IF(Option1="No",0,IF($A79&lt;ImplementationYear,0,IF($A79&gt;(ImplementationYear+(Appraisal_Period-1)),0,'Reduction in car usage'!$D$48*$B79)))</f>
        <v>0</v>
      </c>
      <c r="S79" s="92"/>
      <c r="T79" s="94">
        <f>IF(Option2="No",0,IF($A79=ImplementationYear,('Project details'!$L$10-'Project details'!$D$10)*VLOOKUP(Year_cost_estimate,'Time-series parameters'!$B$11:$C$89,2,FALSE)*$B79*(1+Contingency),0))</f>
        <v>0</v>
      </c>
      <c r="U79" s="94">
        <f>IF(Option2="No",0,IF($A79&lt;ImplementationYear,0,IF($A79&gt;(ImplementationYear+(Appraisal_Period-1)),0,('Project details'!$L$11-'Project details'!$D$11)*VLOOKUP(Year_cost_estimate,'Time-series parameters'!$B$11:$C$89,2,0))*$B79))</f>
        <v>0</v>
      </c>
      <c r="V79" s="94">
        <f>IF(Option2="No",0,IF($A79=ImplementationYear,('Project details'!$L$12-'Project details'!$D$12)*VLOOKUP(Year_cost_estimate,'Time-series parameters'!$B$11:$C$89,2,FALSE)*$B79,0))</f>
        <v>0</v>
      </c>
      <c r="W79" s="97">
        <f>IF(Option2="No",0,IF($A79&lt;ImplementationYear,0,IF($A79&gt;(ImplementationYear+(Appraisal_Period-1)),0,Health!$E$21*$B79)))</f>
        <v>0</v>
      </c>
      <c r="X79" s="97">
        <f>IF(Option2="No",0,IF($A79&lt;ImplementationYear,0,IF($A79&gt;(ImplementationYear+(Appraisal_Period-1)),0,Health!$E$22*$B79)))</f>
        <v>0</v>
      </c>
      <c r="Y79" s="97">
        <f>IF(Option2="No",0,IF($A79&lt;ImplementationYear,0,IF($A79&gt;(ImplementationYear+(Appraisal_Period-1)),0,SUM('Travel time'!$E$22:$E$23)*$B79)))</f>
        <v>0</v>
      </c>
      <c r="Z79" s="97">
        <f>IF(Option2="No",0,IF($A79&lt;ImplementationYear,0,IF($A79&gt;(ImplementationYear+(Appraisal_Period-1)),0,SUM('Travel time'!$E$20:$E$21)*$B79)))</f>
        <v>0</v>
      </c>
      <c r="AA79" s="97">
        <f>IF(Option2="No",0,IF($A79&lt;ImplementationYear,0,IF($A79&gt;(ImplementationYear+(Appraisal_Period-1)),0,SUM(Quality!$E$22:$E$23)*$B79)))</f>
        <v>0</v>
      </c>
      <c r="AB79" s="97">
        <f>IF(Option2="No",0,IF($A79&lt;ImplementationYear,0,IF($A79&gt;(ImplementationYear+(Appraisal_Period-1)),0,SUM(Quality!$E$20:$E$21)*$B79)))</f>
        <v>0</v>
      </c>
      <c r="AC79" s="97">
        <f>IF(Option2="No",0,IF($A79&lt;ImplementationYear,0,IF($A79&gt;(ImplementationYear+(Appraisal_Period-1)),0,'Mode change'!$E$36*$B79)))</f>
        <v>0</v>
      </c>
      <c r="AD79" s="97">
        <f>IF(Option2="No",0,IF($A79&lt;ImplementationYear,0,IF($A79&gt;(ImplementationYear+(Appraisal_Period-1)),0,'Mode change'!$E$37*$B79)))</f>
        <v>0</v>
      </c>
      <c r="AE79" s="97">
        <f>IF(Option2="No",0,IF($A79&lt;ImplementationYear,0,IF($A79&gt;(ImplementationYear+(Appraisal_Period-1)),0,'Road safety'!$E$22*$B79)))</f>
        <v>0</v>
      </c>
      <c r="AF79" s="97">
        <f>IF(Option2="No",0,IF($A79&lt;ImplementationYear,0,IF($A79&gt;(ImplementationYear+(Appraisal_Period-1)),0,'Reduction in car usage'!$E$46*$B79)))</f>
        <v>0</v>
      </c>
      <c r="AG79" s="97">
        <f>IF(Option2="No",0,IF($A79&lt;ImplementationYear,0,IF($A79&gt;(ImplementationYear+(Appraisal_Period-1)),0,'Reduction in car usage'!$E$47*$B79)))</f>
        <v>0</v>
      </c>
      <c r="AH79" s="97">
        <f>IF(Option2="No",0,IF($A79&lt;ImplementationYear,0,IF($A79&gt;(ImplementationYear+(Appraisal_Period-1)),0,'Reduction in car usage'!$E$48*$B79)))</f>
        <v>0</v>
      </c>
      <c r="AJ79" s="94">
        <f>IF(Option3="No",0,IF($A79=ImplementationYear,('Project details'!$P$10-'Project details'!$D$10)*VLOOKUP(Year_cost_estimate,'Time-series parameters'!$B$11:$C$89,2,FALSE)*$B79*(1+Contingency),0))</f>
        <v>0</v>
      </c>
      <c r="AK79" s="94">
        <f>IF(Option3="No",0,IF($A79&lt;ImplementationYear,0,IF($A79&gt;(ImplementationYear+(Appraisal_Period-1)),0,('Project details'!$P$11-'Project details'!$D$11)*VLOOKUP(Year_cost_estimate,'Time-series parameters'!$B$11:$C$89,2,0))*$B79))</f>
        <v>0</v>
      </c>
      <c r="AL79" s="94">
        <f>IF(Option3="No",0,IF($A79=ImplementationYear,('Project details'!$P$12-'Project details'!$D$12)*VLOOKUP(Year_cost_estimate,'Time-series parameters'!$B$11:$C$89,2,FALSE)*$B79,0))</f>
        <v>0</v>
      </c>
      <c r="AM79" s="97">
        <f>IF(Option3="No",0,IF($A79&lt;ImplementationYear,0,IF($A79&gt;(ImplementationYear+(Appraisal_Period-1)),0,Health!$F$21*$B79)))</f>
        <v>0</v>
      </c>
      <c r="AN79" s="97">
        <f>IF(Option3="No",0,IF($A79&lt;ImplementationYear,0,IF($A79&gt;(ImplementationYear+(Appraisal_Period-1)),0,Health!$F$22*$B79)))</f>
        <v>0</v>
      </c>
      <c r="AO79" s="97">
        <f>IF(Option3="No",0,IF($A79&lt;ImplementationYear,0,IF($A79&gt;(ImplementationYear+(Appraisal_Period-1)),0,SUM('Travel time'!$F$22:$F$23)*$B79)))</f>
        <v>0</v>
      </c>
      <c r="AP79" s="97">
        <f>IF(Option3="No",0,IF($A79&lt;ImplementationYear,0,IF($A79&gt;(ImplementationYear+(Appraisal_Period-1)),0,SUM('Travel time'!$F$20:$F$21)*$B79)))</f>
        <v>0</v>
      </c>
      <c r="AQ79" s="97">
        <f>IF(Option3="No",0,IF($A79&lt;ImplementationYear,0,IF($A79&gt;(ImplementationYear+(Appraisal_Period-1)),0,SUM(Quality!$F$22:$F$23)*$B79)))</f>
        <v>0</v>
      </c>
      <c r="AR79" s="97">
        <f>IF(Option3="No",0,IF($A79&lt;ImplementationYear,0,IF($A79&gt;(ImplementationYear+(Appraisal_Period-1)),0,SUM(Quality!$F$20:$F$21)*$B79)))</f>
        <v>0</v>
      </c>
      <c r="AS79" s="97">
        <f>IF(Option3="No",0,IF($A79&lt;ImplementationYear,0,IF($A79&gt;(ImplementationYear+(Appraisal_Period-1)),0,'Mode change'!$F$36*$B79)))</f>
        <v>0</v>
      </c>
      <c r="AT79" s="97">
        <f>IF(Option3="No",0,IF($A79&lt;ImplementationYear,0,IF($A79&gt;(ImplementationYear+(Appraisal_Period-1)),0,'Mode change'!$F$37*$B79)))</f>
        <v>0</v>
      </c>
      <c r="AU79" s="97">
        <f>IF(Option3="No",0,IF($A79&lt;ImplementationYear,0,IF($A79&gt;(ImplementationYear+(Appraisal_Period-1)),0,'Road safety'!$F$22*$B79)))</f>
        <v>0</v>
      </c>
      <c r="AV79" s="97">
        <f>IF(Option3="No",0,IF($A79&lt;ImplementationYear,0,IF($A79&gt;(ImplementationYear+(Appraisal_Period-1)),0,'Reduction in car usage'!$F$46*$B79)))</f>
        <v>0</v>
      </c>
      <c r="AW79" s="97">
        <f>IF(Option3="No",0,IF($A79&lt;ImplementationYear,0,IF($A79&gt;(ImplementationYear+(Appraisal_Period-1)),0,'Reduction in car usage'!$F$47*$B79)))</f>
        <v>0</v>
      </c>
      <c r="AX79" s="97">
        <f>IF(Option3="No",0,IF($A79&lt;ImplementationYear,0,IF($A79&gt;(ImplementationYear+(Appraisal_Period-1)),0,'Reduction in car usage'!$F$48*$B79)))</f>
        <v>0</v>
      </c>
    </row>
    <row r="80" spans="1:50">
      <c r="A80" s="335">
        <v>2075</v>
      </c>
      <c r="B80" s="62">
        <f>VLOOKUP($A80,'Time-series parameters'!$E$11:$H$89,4,FALSE)</f>
        <v>7.334304125596193E-2</v>
      </c>
      <c r="C80" s="89"/>
      <c r="D80" s="94">
        <f>IF(Option1="No",0,IF($A80=ImplementationYear,('Project details'!$H$10-'Project details'!$D$10)*VLOOKUP(Year_cost_estimate,'Time-series parameters'!$B$11:$C$89,2,FALSE)*$B80*(1+Contingency),0))</f>
        <v>0</v>
      </c>
      <c r="E80" s="94">
        <f>IF(Option1="No",0,IF($A80&lt;ImplementationYear,0,IF($A80&gt;(ImplementationYear+(Appraisal_Period-1)),0,('Project details'!$H$11-'Project details'!$D$11)*VLOOKUP(Year_cost_estimate,'Time-series parameters'!$B$11:$C$89,2,0))*$B80))</f>
        <v>0</v>
      </c>
      <c r="F80" s="94">
        <f>IF(Option1="No",0,IF($A80=ImplementationYear,('Project details'!$H$12-'Project details'!$D$12)*VLOOKUP(Year_cost_estimate,'Time-series parameters'!$B$11:$C$89,2,FALSE)*$B80,0))</f>
        <v>0</v>
      </c>
      <c r="G80" s="97">
        <f>IF(Option1="No",0,IF($A80&lt;ImplementationYear,0,IF($A80&gt;(ImplementationYear+(Appraisal_Period-1)),0,Health!$D$21*$B80)))</f>
        <v>0</v>
      </c>
      <c r="H80" s="97">
        <f>IF(Option1="No",0,IF($A80&lt;ImplementationYear,0,IF($A80&gt;(ImplementationYear+(Appraisal_Period-1)),0,Health!$D$22*$B80)))</f>
        <v>0</v>
      </c>
      <c r="I80" s="97">
        <f>IF(Option1="No",0,IF($A80&lt;ImplementationYear,0,IF($A80&gt;(ImplementationYear+(Appraisal_Period-1)),0,SUM('Travel time'!$D$22:$D$23)*$B80)))</f>
        <v>0</v>
      </c>
      <c r="J80" s="97">
        <f>IF(Option1="No",0,IF($A80&lt;ImplementationYear,0,IF($A80&gt;(ImplementationYear+(Appraisal_Period-1)),0,SUM('Travel time'!$D$20:$D$21)*$B80)))</f>
        <v>0</v>
      </c>
      <c r="K80" s="97">
        <f>IF(Option1="No",0,IF($A80&lt;ImplementationYear,0,IF($A80&gt;(ImplementationYear+(Appraisal_Period-1)),0,SUM(Quality!$D$22:$D$23)*$B80)))</f>
        <v>0</v>
      </c>
      <c r="L80" s="97">
        <f>IF(Option1="No",0,IF($A80&lt;ImplementationYear,0,IF($A80&gt;(ImplementationYear+(Appraisal_Period-1)),0,SUM(Quality!$D$20:$D$21)*$B80)))</f>
        <v>0</v>
      </c>
      <c r="M80" s="97">
        <f>IF(Option1="No",0,IF($A80&lt;ImplementationYear,0,IF($A80&gt;(ImplementationYear+(Appraisal_Period-1)),0,'Mode change'!$D$36*$B80)))</f>
        <v>0</v>
      </c>
      <c r="N80" s="97">
        <f>IF(Option1="No",0,IF($A80&lt;ImplementationYear,0,IF($A80&gt;(ImplementationYear+(Appraisal_Period-1)),0,'Mode change'!$D$37*$B80)))</f>
        <v>0</v>
      </c>
      <c r="O80" s="97">
        <f>IF(Option1="No",0,IF($A80&lt;ImplementationYear,0,IF($A80&gt;(ImplementationYear+(Appraisal_Period-1)),0,'Road safety'!$D$22*$B80)))</f>
        <v>0</v>
      </c>
      <c r="P80" s="97">
        <f>IF(Option1="No",0,IF($A80&lt;ImplementationYear,0,IF($A80&gt;(ImplementationYear+(Appraisal_Period-1)),0,'Reduction in car usage'!$D$46*$B80)))</f>
        <v>0</v>
      </c>
      <c r="Q80" s="97">
        <f>IF(Option1="No",0,IF($A80&lt;ImplementationYear,0,IF($A80&gt;(ImplementationYear+(Appraisal_Period-1)),0,'Reduction in car usage'!$D$47*$B80)))</f>
        <v>0</v>
      </c>
      <c r="R80" s="97">
        <f>IF(Option1="No",0,IF($A80&lt;ImplementationYear,0,IF($A80&gt;(ImplementationYear+(Appraisal_Period-1)),0,'Reduction in car usage'!$D$48*$B80)))</f>
        <v>0</v>
      </c>
      <c r="S80" s="92"/>
      <c r="T80" s="94">
        <f>IF(Option2="No",0,IF($A80=ImplementationYear,('Project details'!$L$10-'Project details'!$D$10)*VLOOKUP(Year_cost_estimate,'Time-series parameters'!$B$11:$C$89,2,FALSE)*$B80*(1+Contingency),0))</f>
        <v>0</v>
      </c>
      <c r="U80" s="94">
        <f>IF(Option2="No",0,IF($A80&lt;ImplementationYear,0,IF($A80&gt;(ImplementationYear+(Appraisal_Period-1)),0,('Project details'!$L$11-'Project details'!$D$11)*VLOOKUP(Year_cost_estimate,'Time-series parameters'!$B$11:$C$89,2,0))*$B80))</f>
        <v>0</v>
      </c>
      <c r="V80" s="94">
        <f>IF(Option2="No",0,IF($A80=ImplementationYear,('Project details'!$L$12-'Project details'!$D$12)*VLOOKUP(Year_cost_estimate,'Time-series parameters'!$B$11:$C$89,2,FALSE)*$B80,0))</f>
        <v>0</v>
      </c>
      <c r="W80" s="97">
        <f>IF(Option2="No",0,IF($A80&lt;ImplementationYear,0,IF($A80&gt;(ImplementationYear+(Appraisal_Period-1)),0,Health!$E$21*$B80)))</f>
        <v>0</v>
      </c>
      <c r="X80" s="97">
        <f>IF(Option2="No",0,IF($A80&lt;ImplementationYear,0,IF($A80&gt;(ImplementationYear+(Appraisal_Period-1)),0,Health!$E$22*$B80)))</f>
        <v>0</v>
      </c>
      <c r="Y80" s="97">
        <f>IF(Option2="No",0,IF($A80&lt;ImplementationYear,0,IF($A80&gt;(ImplementationYear+(Appraisal_Period-1)),0,SUM('Travel time'!$E$22:$E$23)*$B80)))</f>
        <v>0</v>
      </c>
      <c r="Z80" s="97">
        <f>IF(Option2="No",0,IF($A80&lt;ImplementationYear,0,IF($A80&gt;(ImplementationYear+(Appraisal_Period-1)),0,SUM('Travel time'!$E$20:$E$21)*$B80)))</f>
        <v>0</v>
      </c>
      <c r="AA80" s="97">
        <f>IF(Option2="No",0,IF($A80&lt;ImplementationYear,0,IF($A80&gt;(ImplementationYear+(Appraisal_Period-1)),0,SUM(Quality!$E$22:$E$23)*$B80)))</f>
        <v>0</v>
      </c>
      <c r="AB80" s="97">
        <f>IF(Option2="No",0,IF($A80&lt;ImplementationYear,0,IF($A80&gt;(ImplementationYear+(Appraisal_Period-1)),0,SUM(Quality!$E$20:$E$21)*$B80)))</f>
        <v>0</v>
      </c>
      <c r="AC80" s="97">
        <f>IF(Option2="No",0,IF($A80&lt;ImplementationYear,0,IF($A80&gt;(ImplementationYear+(Appraisal_Period-1)),0,'Mode change'!$E$36*$B80)))</f>
        <v>0</v>
      </c>
      <c r="AD80" s="97">
        <f>IF(Option2="No",0,IF($A80&lt;ImplementationYear,0,IF($A80&gt;(ImplementationYear+(Appraisal_Period-1)),0,'Mode change'!$E$37*$B80)))</f>
        <v>0</v>
      </c>
      <c r="AE80" s="97">
        <f>IF(Option2="No",0,IF($A80&lt;ImplementationYear,0,IF($A80&gt;(ImplementationYear+(Appraisal_Period-1)),0,'Road safety'!$E$22*$B80)))</f>
        <v>0</v>
      </c>
      <c r="AF80" s="97">
        <f>IF(Option2="No",0,IF($A80&lt;ImplementationYear,0,IF($A80&gt;(ImplementationYear+(Appraisal_Period-1)),0,'Reduction in car usage'!$E$46*$B80)))</f>
        <v>0</v>
      </c>
      <c r="AG80" s="97">
        <f>IF(Option2="No",0,IF($A80&lt;ImplementationYear,0,IF($A80&gt;(ImplementationYear+(Appraisal_Period-1)),0,'Reduction in car usage'!$E$47*$B80)))</f>
        <v>0</v>
      </c>
      <c r="AH80" s="97">
        <f>IF(Option2="No",0,IF($A80&lt;ImplementationYear,0,IF($A80&gt;(ImplementationYear+(Appraisal_Period-1)),0,'Reduction in car usage'!$E$48*$B80)))</f>
        <v>0</v>
      </c>
      <c r="AJ80" s="94">
        <f>IF(Option3="No",0,IF($A80=ImplementationYear,('Project details'!$P$10-'Project details'!$D$10)*VLOOKUP(Year_cost_estimate,'Time-series parameters'!$B$11:$C$89,2,FALSE)*$B80*(1+Contingency),0))</f>
        <v>0</v>
      </c>
      <c r="AK80" s="94">
        <f>IF(Option3="No",0,IF($A80&lt;ImplementationYear,0,IF($A80&gt;(ImplementationYear+(Appraisal_Period-1)),0,('Project details'!$P$11-'Project details'!$D$11)*VLOOKUP(Year_cost_estimate,'Time-series parameters'!$B$11:$C$89,2,0))*$B80))</f>
        <v>0</v>
      </c>
      <c r="AL80" s="94">
        <f>IF(Option3="No",0,IF($A80=ImplementationYear,('Project details'!$P$12-'Project details'!$D$12)*VLOOKUP(Year_cost_estimate,'Time-series parameters'!$B$11:$C$89,2,FALSE)*$B80,0))</f>
        <v>0</v>
      </c>
      <c r="AM80" s="97">
        <f>IF(Option3="No",0,IF($A80&lt;ImplementationYear,0,IF($A80&gt;(ImplementationYear+(Appraisal_Period-1)),0,Health!$F$21*$B80)))</f>
        <v>0</v>
      </c>
      <c r="AN80" s="97">
        <f>IF(Option3="No",0,IF($A80&lt;ImplementationYear,0,IF($A80&gt;(ImplementationYear+(Appraisal_Period-1)),0,Health!$F$22*$B80)))</f>
        <v>0</v>
      </c>
      <c r="AO80" s="97">
        <f>IF(Option3="No",0,IF($A80&lt;ImplementationYear,0,IF($A80&gt;(ImplementationYear+(Appraisal_Period-1)),0,SUM('Travel time'!$F$22:$F$23)*$B80)))</f>
        <v>0</v>
      </c>
      <c r="AP80" s="97">
        <f>IF(Option3="No",0,IF($A80&lt;ImplementationYear,0,IF($A80&gt;(ImplementationYear+(Appraisal_Period-1)),0,SUM('Travel time'!$F$20:$F$21)*$B80)))</f>
        <v>0</v>
      </c>
      <c r="AQ80" s="97">
        <f>IF(Option3="No",0,IF($A80&lt;ImplementationYear,0,IF($A80&gt;(ImplementationYear+(Appraisal_Period-1)),0,SUM(Quality!$F$22:$F$23)*$B80)))</f>
        <v>0</v>
      </c>
      <c r="AR80" s="97">
        <f>IF(Option3="No",0,IF($A80&lt;ImplementationYear,0,IF($A80&gt;(ImplementationYear+(Appraisal_Period-1)),0,SUM(Quality!$F$20:$F$21)*$B80)))</f>
        <v>0</v>
      </c>
      <c r="AS80" s="97">
        <f>IF(Option3="No",0,IF($A80&lt;ImplementationYear,0,IF($A80&gt;(ImplementationYear+(Appraisal_Period-1)),0,'Mode change'!$F$36*$B80)))</f>
        <v>0</v>
      </c>
      <c r="AT80" s="97">
        <f>IF(Option3="No",0,IF($A80&lt;ImplementationYear,0,IF($A80&gt;(ImplementationYear+(Appraisal_Period-1)),0,'Mode change'!$F$37*$B80)))</f>
        <v>0</v>
      </c>
      <c r="AU80" s="97">
        <f>IF(Option3="No",0,IF($A80&lt;ImplementationYear,0,IF($A80&gt;(ImplementationYear+(Appraisal_Period-1)),0,'Road safety'!$F$22*$B80)))</f>
        <v>0</v>
      </c>
      <c r="AV80" s="97">
        <f>IF(Option3="No",0,IF($A80&lt;ImplementationYear,0,IF($A80&gt;(ImplementationYear+(Appraisal_Period-1)),0,'Reduction in car usage'!$F$46*$B80)))</f>
        <v>0</v>
      </c>
      <c r="AW80" s="97">
        <f>IF(Option3="No",0,IF($A80&lt;ImplementationYear,0,IF($A80&gt;(ImplementationYear+(Appraisal_Period-1)),0,'Reduction in car usage'!$F$47*$B80)))</f>
        <v>0</v>
      </c>
      <c r="AX80" s="97">
        <f>IF(Option3="No",0,IF($A80&lt;ImplementationYear,0,IF($A80&gt;(ImplementationYear+(Appraisal_Period-1)),0,'Reduction in car usage'!$F$48*$B80)))</f>
        <v>0</v>
      </c>
    </row>
    <row r="81" spans="1:50">
      <c r="A81" s="335">
        <v>2076</v>
      </c>
      <c r="B81" s="62">
        <f>VLOOKUP($A81,'Time-series parameters'!$E$11:$H$89,4,FALSE)</f>
        <v>7.0409319605723455E-2</v>
      </c>
      <c r="C81" s="89"/>
      <c r="D81" s="94">
        <f>IF(Option1="No",0,IF($A81=ImplementationYear,('Project details'!$H$10-'Project details'!$D$10)*VLOOKUP(Year_cost_estimate,'Time-series parameters'!$B$11:$C$89,2,FALSE)*$B81*(1+Contingency),0))</f>
        <v>0</v>
      </c>
      <c r="E81" s="94">
        <f>IF(Option1="No",0,IF($A81&lt;ImplementationYear,0,IF($A81&gt;(ImplementationYear+(Appraisal_Period-1)),0,('Project details'!$H$11-'Project details'!$D$11)*VLOOKUP(Year_cost_estimate,'Time-series parameters'!$B$11:$C$89,2,0))*$B81))</f>
        <v>0</v>
      </c>
      <c r="F81" s="94">
        <f>IF(Option1="No",0,IF($A81=ImplementationYear,('Project details'!$H$12-'Project details'!$D$12)*VLOOKUP(Year_cost_estimate,'Time-series parameters'!$B$11:$C$89,2,FALSE)*$B81,0))</f>
        <v>0</v>
      </c>
      <c r="G81" s="97">
        <f>IF(Option1="No",0,IF($A81&lt;ImplementationYear,0,IF($A81&gt;(ImplementationYear+(Appraisal_Period-1)),0,Health!$D$21*$B81)))</f>
        <v>0</v>
      </c>
      <c r="H81" s="97">
        <f>IF(Option1="No",0,IF($A81&lt;ImplementationYear,0,IF($A81&gt;(ImplementationYear+(Appraisal_Period-1)),0,Health!$D$22*$B81)))</f>
        <v>0</v>
      </c>
      <c r="I81" s="97">
        <f>IF(Option1="No",0,IF($A81&lt;ImplementationYear,0,IF($A81&gt;(ImplementationYear+(Appraisal_Period-1)),0,SUM('Travel time'!$D$22:$D$23)*$B81)))</f>
        <v>0</v>
      </c>
      <c r="J81" s="97">
        <f>IF(Option1="No",0,IF($A81&lt;ImplementationYear,0,IF($A81&gt;(ImplementationYear+(Appraisal_Period-1)),0,SUM('Travel time'!$D$20:$D$21)*$B81)))</f>
        <v>0</v>
      </c>
      <c r="K81" s="97">
        <f>IF(Option1="No",0,IF($A81&lt;ImplementationYear,0,IF($A81&gt;(ImplementationYear+(Appraisal_Period-1)),0,SUM(Quality!$D$22:$D$23)*$B81)))</f>
        <v>0</v>
      </c>
      <c r="L81" s="97">
        <f>IF(Option1="No",0,IF($A81&lt;ImplementationYear,0,IF($A81&gt;(ImplementationYear+(Appraisal_Period-1)),0,SUM(Quality!$D$20:$D$21)*$B81)))</f>
        <v>0</v>
      </c>
      <c r="M81" s="97">
        <f>IF(Option1="No",0,IF($A81&lt;ImplementationYear,0,IF($A81&gt;(ImplementationYear+(Appraisal_Period-1)),0,'Mode change'!$D$36*$B81)))</f>
        <v>0</v>
      </c>
      <c r="N81" s="97">
        <f>IF(Option1="No",0,IF($A81&lt;ImplementationYear,0,IF($A81&gt;(ImplementationYear+(Appraisal_Period-1)),0,'Mode change'!$D$37*$B81)))</f>
        <v>0</v>
      </c>
      <c r="O81" s="97">
        <f>IF(Option1="No",0,IF($A81&lt;ImplementationYear,0,IF($A81&gt;(ImplementationYear+(Appraisal_Period-1)),0,'Road safety'!$D$22*$B81)))</f>
        <v>0</v>
      </c>
      <c r="P81" s="97">
        <f>IF(Option1="No",0,IF($A81&lt;ImplementationYear,0,IF($A81&gt;(ImplementationYear+(Appraisal_Period-1)),0,'Reduction in car usage'!$D$46*$B81)))</f>
        <v>0</v>
      </c>
      <c r="Q81" s="97">
        <f>IF(Option1="No",0,IF($A81&lt;ImplementationYear,0,IF($A81&gt;(ImplementationYear+(Appraisal_Period-1)),0,'Reduction in car usage'!$D$47*$B81)))</f>
        <v>0</v>
      </c>
      <c r="R81" s="97">
        <f>IF(Option1="No",0,IF($A81&lt;ImplementationYear,0,IF($A81&gt;(ImplementationYear+(Appraisal_Period-1)),0,'Reduction in car usage'!$D$48*$B81)))</f>
        <v>0</v>
      </c>
      <c r="S81" s="92"/>
      <c r="T81" s="94">
        <f>IF(Option2="No",0,IF($A81=ImplementationYear,('Project details'!$L$10-'Project details'!$D$10)*VLOOKUP(Year_cost_estimate,'Time-series parameters'!$B$11:$C$89,2,FALSE)*$B81*(1+Contingency),0))</f>
        <v>0</v>
      </c>
      <c r="U81" s="94">
        <f>IF(Option2="No",0,IF($A81&lt;ImplementationYear,0,IF($A81&gt;(ImplementationYear+(Appraisal_Period-1)),0,('Project details'!$L$11-'Project details'!$D$11)*VLOOKUP(Year_cost_estimate,'Time-series parameters'!$B$11:$C$89,2,0))*$B81))</f>
        <v>0</v>
      </c>
      <c r="V81" s="94">
        <f>IF(Option2="No",0,IF($A81=ImplementationYear,('Project details'!$L$12-'Project details'!$D$12)*VLOOKUP(Year_cost_estimate,'Time-series parameters'!$B$11:$C$89,2,FALSE)*$B81,0))</f>
        <v>0</v>
      </c>
      <c r="W81" s="97">
        <f>IF(Option2="No",0,IF($A81&lt;ImplementationYear,0,IF($A81&gt;(ImplementationYear+(Appraisal_Period-1)),0,Health!$E$21*$B81)))</f>
        <v>0</v>
      </c>
      <c r="X81" s="97">
        <f>IF(Option2="No",0,IF($A81&lt;ImplementationYear,0,IF($A81&gt;(ImplementationYear+(Appraisal_Period-1)),0,Health!$E$22*$B81)))</f>
        <v>0</v>
      </c>
      <c r="Y81" s="97">
        <f>IF(Option2="No",0,IF($A81&lt;ImplementationYear,0,IF($A81&gt;(ImplementationYear+(Appraisal_Period-1)),0,SUM('Travel time'!$E$22:$E$23)*$B81)))</f>
        <v>0</v>
      </c>
      <c r="Z81" s="97">
        <f>IF(Option2="No",0,IF($A81&lt;ImplementationYear,0,IF($A81&gt;(ImplementationYear+(Appraisal_Period-1)),0,SUM('Travel time'!$E$20:$E$21)*$B81)))</f>
        <v>0</v>
      </c>
      <c r="AA81" s="97">
        <f>IF(Option2="No",0,IF($A81&lt;ImplementationYear,0,IF($A81&gt;(ImplementationYear+(Appraisal_Period-1)),0,SUM(Quality!$E$22:$E$23)*$B81)))</f>
        <v>0</v>
      </c>
      <c r="AB81" s="97">
        <f>IF(Option2="No",0,IF($A81&lt;ImplementationYear,0,IF($A81&gt;(ImplementationYear+(Appraisal_Period-1)),0,SUM(Quality!$E$20:$E$21)*$B81)))</f>
        <v>0</v>
      </c>
      <c r="AC81" s="97">
        <f>IF(Option2="No",0,IF($A81&lt;ImplementationYear,0,IF($A81&gt;(ImplementationYear+(Appraisal_Period-1)),0,'Mode change'!$E$36*$B81)))</f>
        <v>0</v>
      </c>
      <c r="AD81" s="97">
        <f>IF(Option2="No",0,IF($A81&lt;ImplementationYear,0,IF($A81&gt;(ImplementationYear+(Appraisal_Period-1)),0,'Mode change'!$E$37*$B81)))</f>
        <v>0</v>
      </c>
      <c r="AE81" s="97">
        <f>IF(Option2="No",0,IF($A81&lt;ImplementationYear,0,IF($A81&gt;(ImplementationYear+(Appraisal_Period-1)),0,'Road safety'!$E$22*$B81)))</f>
        <v>0</v>
      </c>
      <c r="AF81" s="97">
        <f>IF(Option2="No",0,IF($A81&lt;ImplementationYear,0,IF($A81&gt;(ImplementationYear+(Appraisal_Period-1)),0,'Reduction in car usage'!$E$46*$B81)))</f>
        <v>0</v>
      </c>
      <c r="AG81" s="97">
        <f>IF(Option2="No",0,IF($A81&lt;ImplementationYear,0,IF($A81&gt;(ImplementationYear+(Appraisal_Period-1)),0,'Reduction in car usage'!$E$47*$B81)))</f>
        <v>0</v>
      </c>
      <c r="AH81" s="97">
        <f>IF(Option2="No",0,IF($A81&lt;ImplementationYear,0,IF($A81&gt;(ImplementationYear+(Appraisal_Period-1)),0,'Reduction in car usage'!$E$48*$B81)))</f>
        <v>0</v>
      </c>
      <c r="AJ81" s="94">
        <f>IF(Option3="No",0,IF($A81=ImplementationYear,('Project details'!$P$10-'Project details'!$D$10)*VLOOKUP(Year_cost_estimate,'Time-series parameters'!$B$11:$C$89,2,FALSE)*$B81*(1+Contingency),0))</f>
        <v>0</v>
      </c>
      <c r="AK81" s="94">
        <f>IF(Option3="No",0,IF($A81&lt;ImplementationYear,0,IF($A81&gt;(ImplementationYear+(Appraisal_Period-1)),0,('Project details'!$P$11-'Project details'!$D$11)*VLOOKUP(Year_cost_estimate,'Time-series parameters'!$B$11:$C$89,2,0))*$B81))</f>
        <v>0</v>
      </c>
      <c r="AL81" s="94">
        <f>IF(Option3="No",0,IF($A81=ImplementationYear,('Project details'!$P$12-'Project details'!$D$12)*VLOOKUP(Year_cost_estimate,'Time-series parameters'!$B$11:$C$89,2,FALSE)*$B81,0))</f>
        <v>0</v>
      </c>
      <c r="AM81" s="97">
        <f>IF(Option3="No",0,IF($A81&lt;ImplementationYear,0,IF($A81&gt;(ImplementationYear+(Appraisal_Period-1)),0,Health!$F$21*$B81)))</f>
        <v>0</v>
      </c>
      <c r="AN81" s="97">
        <f>IF(Option3="No",0,IF($A81&lt;ImplementationYear,0,IF($A81&gt;(ImplementationYear+(Appraisal_Period-1)),0,Health!$F$22*$B81)))</f>
        <v>0</v>
      </c>
      <c r="AO81" s="97">
        <f>IF(Option3="No",0,IF($A81&lt;ImplementationYear,0,IF($A81&gt;(ImplementationYear+(Appraisal_Period-1)),0,SUM('Travel time'!$F$22:$F$23)*$B81)))</f>
        <v>0</v>
      </c>
      <c r="AP81" s="97">
        <f>IF(Option3="No",0,IF($A81&lt;ImplementationYear,0,IF($A81&gt;(ImplementationYear+(Appraisal_Period-1)),0,SUM('Travel time'!$F$20:$F$21)*$B81)))</f>
        <v>0</v>
      </c>
      <c r="AQ81" s="97">
        <f>IF(Option3="No",0,IF($A81&lt;ImplementationYear,0,IF($A81&gt;(ImplementationYear+(Appraisal_Period-1)),0,SUM(Quality!$F$22:$F$23)*$B81)))</f>
        <v>0</v>
      </c>
      <c r="AR81" s="97">
        <f>IF(Option3="No",0,IF($A81&lt;ImplementationYear,0,IF($A81&gt;(ImplementationYear+(Appraisal_Period-1)),0,SUM(Quality!$F$20:$F$21)*$B81)))</f>
        <v>0</v>
      </c>
      <c r="AS81" s="97">
        <f>IF(Option3="No",0,IF($A81&lt;ImplementationYear,0,IF($A81&gt;(ImplementationYear+(Appraisal_Period-1)),0,'Mode change'!$F$36*$B81)))</f>
        <v>0</v>
      </c>
      <c r="AT81" s="97">
        <f>IF(Option3="No",0,IF($A81&lt;ImplementationYear,0,IF($A81&gt;(ImplementationYear+(Appraisal_Period-1)),0,'Mode change'!$F$37*$B81)))</f>
        <v>0</v>
      </c>
      <c r="AU81" s="97">
        <f>IF(Option3="No",0,IF($A81&lt;ImplementationYear,0,IF($A81&gt;(ImplementationYear+(Appraisal_Period-1)),0,'Road safety'!$F$22*$B81)))</f>
        <v>0</v>
      </c>
      <c r="AV81" s="97">
        <f>IF(Option3="No",0,IF($A81&lt;ImplementationYear,0,IF($A81&gt;(ImplementationYear+(Appraisal_Period-1)),0,'Reduction in car usage'!$F$46*$B81)))</f>
        <v>0</v>
      </c>
      <c r="AW81" s="97">
        <f>IF(Option3="No",0,IF($A81&lt;ImplementationYear,0,IF($A81&gt;(ImplementationYear+(Appraisal_Period-1)),0,'Reduction in car usage'!$F$47*$B81)))</f>
        <v>0</v>
      </c>
      <c r="AX81" s="97">
        <f>IF(Option3="No",0,IF($A81&lt;ImplementationYear,0,IF($A81&gt;(ImplementationYear+(Appraisal_Period-1)),0,'Reduction in car usage'!$F$48*$B81)))</f>
        <v>0</v>
      </c>
    </row>
    <row r="82" spans="1:50">
      <c r="A82" s="336">
        <v>2077</v>
      </c>
      <c r="B82" s="62">
        <f>VLOOKUP($A82,'Time-series parameters'!$E$11:$H$89,4,FALSE)</f>
        <v>6.7592946821494512E-2</v>
      </c>
      <c r="C82" s="89"/>
      <c r="D82" s="94">
        <f>IF(Option1="No",0,IF($A82=ImplementationYear,('Project details'!$H$10-'Project details'!$D$10)*VLOOKUP(Year_cost_estimate,'Time-series parameters'!$B$11:$C$89,2,FALSE)*$B82*(1+Contingency),0))</f>
        <v>0</v>
      </c>
      <c r="E82" s="94">
        <f>IF(Option1="No",0,IF($A82&lt;ImplementationYear,0,IF($A82&gt;(ImplementationYear+(Appraisal_Period-1)),0,('Project details'!$H$11-'Project details'!$D$11)*VLOOKUP(Year_cost_estimate,'Time-series parameters'!$B$11:$C$89,2,0))*$B82))</f>
        <v>0</v>
      </c>
      <c r="F82" s="94">
        <f>IF(Option1="No",0,IF($A82=ImplementationYear,('Project details'!$H$12-'Project details'!$D$12)*VLOOKUP(Year_cost_estimate,'Time-series parameters'!$B$11:$C$89,2,FALSE)*$B82,0))</f>
        <v>0</v>
      </c>
      <c r="G82" s="97">
        <f>IF(Option1="No",0,IF($A82&lt;ImplementationYear,0,IF($A82&gt;(ImplementationYear+(Appraisal_Period-1)),0,Health!$D$21*$B82)))</f>
        <v>0</v>
      </c>
      <c r="H82" s="97">
        <f>IF(Option1="No",0,IF($A82&lt;ImplementationYear,0,IF($A82&gt;(ImplementationYear+(Appraisal_Period-1)),0,Health!$D$22*$B82)))</f>
        <v>0</v>
      </c>
      <c r="I82" s="97">
        <f>IF(Option1="No",0,IF($A82&lt;ImplementationYear,0,IF($A82&gt;(ImplementationYear+(Appraisal_Period-1)),0,SUM('Travel time'!$D$22:$D$23)*$B82)))</f>
        <v>0</v>
      </c>
      <c r="J82" s="97">
        <f>IF(Option1="No",0,IF($A82&lt;ImplementationYear,0,IF($A82&gt;(ImplementationYear+(Appraisal_Period-1)),0,SUM('Travel time'!$D$20:$D$21)*$B82)))</f>
        <v>0</v>
      </c>
      <c r="K82" s="97">
        <f>IF(Option1="No",0,IF($A82&lt;ImplementationYear,0,IF($A82&gt;(ImplementationYear+(Appraisal_Period-1)),0,SUM(Quality!$D$22:$D$23)*$B82)))</f>
        <v>0</v>
      </c>
      <c r="L82" s="97">
        <f>IF(Option1="No",0,IF($A82&lt;ImplementationYear,0,IF($A82&gt;(ImplementationYear+(Appraisal_Period-1)),0,SUM(Quality!$D$20:$D$21)*$B82)))</f>
        <v>0</v>
      </c>
      <c r="M82" s="97">
        <f>IF(Option1="No",0,IF($A82&lt;ImplementationYear,0,IF($A82&gt;(ImplementationYear+(Appraisal_Period-1)),0,'Mode change'!$D$36*$B82)))</f>
        <v>0</v>
      </c>
      <c r="N82" s="97">
        <f>IF(Option1="No",0,IF($A82&lt;ImplementationYear,0,IF($A82&gt;(ImplementationYear+(Appraisal_Period-1)),0,'Mode change'!$D$37*$B82)))</f>
        <v>0</v>
      </c>
      <c r="O82" s="97">
        <f>IF(Option1="No",0,IF($A82&lt;ImplementationYear,0,IF($A82&gt;(ImplementationYear+(Appraisal_Period-1)),0,'Road safety'!$D$22*$B82)))</f>
        <v>0</v>
      </c>
      <c r="P82" s="97">
        <f>IF(Option1="No",0,IF($A82&lt;ImplementationYear,0,IF($A82&gt;(ImplementationYear+(Appraisal_Period-1)),0,'Reduction in car usage'!$D$46*$B82)))</f>
        <v>0</v>
      </c>
      <c r="Q82" s="97">
        <f>IF(Option1="No",0,IF($A82&lt;ImplementationYear,0,IF($A82&gt;(ImplementationYear+(Appraisal_Period-1)),0,'Reduction in car usage'!$D$47*$B82)))</f>
        <v>0</v>
      </c>
      <c r="R82" s="97">
        <f>IF(Option1="No",0,IF($A82&lt;ImplementationYear,0,IF($A82&gt;(ImplementationYear+(Appraisal_Period-1)),0,'Reduction in car usage'!$D$48*$B82)))</f>
        <v>0</v>
      </c>
      <c r="S82" s="92"/>
      <c r="T82" s="94">
        <f>IF(Option2="No",0,IF($A82=ImplementationYear,('Project details'!$L$10-'Project details'!$D$10)*VLOOKUP(Year_cost_estimate,'Time-series parameters'!$B$11:$C$89,2,FALSE)*$B82*(1+Contingency),0))</f>
        <v>0</v>
      </c>
      <c r="U82" s="94">
        <f>IF(Option2="No",0,IF($A82&lt;ImplementationYear,0,IF($A82&gt;(ImplementationYear+(Appraisal_Period-1)),0,('Project details'!$L$11-'Project details'!$D$11)*VLOOKUP(Year_cost_estimate,'Time-series parameters'!$B$11:$C$89,2,0))*$B82))</f>
        <v>0</v>
      </c>
      <c r="V82" s="94">
        <f>IF(Option2="No",0,IF($A82=ImplementationYear,('Project details'!$L$12-'Project details'!$D$12)*VLOOKUP(Year_cost_estimate,'Time-series parameters'!$B$11:$C$89,2,FALSE)*$B82,0))</f>
        <v>0</v>
      </c>
      <c r="W82" s="97">
        <f>IF(Option2="No",0,IF($A82&lt;ImplementationYear,0,IF($A82&gt;(ImplementationYear+(Appraisal_Period-1)),0,Health!$E$21*$B82)))</f>
        <v>0</v>
      </c>
      <c r="X82" s="97">
        <f>IF(Option2="No",0,IF($A82&lt;ImplementationYear,0,IF($A82&gt;(ImplementationYear+(Appraisal_Period-1)),0,Health!$E$22*$B82)))</f>
        <v>0</v>
      </c>
      <c r="Y82" s="97">
        <f>IF(Option2="No",0,IF($A82&lt;ImplementationYear,0,IF($A82&gt;(ImplementationYear+(Appraisal_Period-1)),0,SUM('Travel time'!$E$22:$E$23)*$B82)))</f>
        <v>0</v>
      </c>
      <c r="Z82" s="97">
        <f>IF(Option2="No",0,IF($A82&lt;ImplementationYear,0,IF($A82&gt;(ImplementationYear+(Appraisal_Period-1)),0,SUM('Travel time'!$E$20:$E$21)*$B82)))</f>
        <v>0</v>
      </c>
      <c r="AA82" s="97">
        <f>IF(Option2="No",0,IF($A82&lt;ImplementationYear,0,IF($A82&gt;(ImplementationYear+(Appraisal_Period-1)),0,SUM(Quality!$E$22:$E$23)*$B82)))</f>
        <v>0</v>
      </c>
      <c r="AB82" s="97">
        <f>IF(Option2="No",0,IF($A82&lt;ImplementationYear,0,IF($A82&gt;(ImplementationYear+(Appraisal_Period-1)),0,SUM(Quality!$E$20:$E$21)*$B82)))</f>
        <v>0</v>
      </c>
      <c r="AC82" s="97">
        <f>IF(Option2="No",0,IF($A82&lt;ImplementationYear,0,IF($A82&gt;(ImplementationYear+(Appraisal_Period-1)),0,'Mode change'!$E$36*$B82)))</f>
        <v>0</v>
      </c>
      <c r="AD82" s="97">
        <f>IF(Option2="No",0,IF($A82&lt;ImplementationYear,0,IF($A82&gt;(ImplementationYear+(Appraisal_Period-1)),0,'Mode change'!$E$37*$B82)))</f>
        <v>0</v>
      </c>
      <c r="AE82" s="97">
        <f>IF(Option2="No",0,IF($A82&lt;ImplementationYear,0,IF($A82&gt;(ImplementationYear+(Appraisal_Period-1)),0,'Road safety'!$E$22*$B82)))</f>
        <v>0</v>
      </c>
      <c r="AF82" s="97">
        <f>IF(Option2="No",0,IF($A82&lt;ImplementationYear,0,IF($A82&gt;(ImplementationYear+(Appraisal_Period-1)),0,'Reduction in car usage'!$E$46*$B82)))</f>
        <v>0</v>
      </c>
      <c r="AG82" s="97">
        <f>IF(Option2="No",0,IF($A82&lt;ImplementationYear,0,IF($A82&gt;(ImplementationYear+(Appraisal_Period-1)),0,'Reduction in car usage'!$E$47*$B82)))</f>
        <v>0</v>
      </c>
      <c r="AH82" s="97">
        <f>IF(Option2="No",0,IF($A82&lt;ImplementationYear,0,IF($A82&gt;(ImplementationYear+(Appraisal_Period-1)),0,'Reduction in car usage'!$E$48*$B82)))</f>
        <v>0</v>
      </c>
      <c r="AJ82" s="94">
        <f>IF(Option3="No",0,IF($A82=ImplementationYear,('Project details'!$P$10-'Project details'!$D$10)*VLOOKUP(Year_cost_estimate,'Time-series parameters'!$B$11:$C$89,2,FALSE)*$B82*(1+Contingency),0))</f>
        <v>0</v>
      </c>
      <c r="AK82" s="94">
        <f>IF(Option3="No",0,IF($A82&lt;ImplementationYear,0,IF($A82&gt;(ImplementationYear+(Appraisal_Period-1)),0,('Project details'!$P$11-'Project details'!$D$11)*VLOOKUP(Year_cost_estimate,'Time-series parameters'!$B$11:$C$89,2,0))*$B82))</f>
        <v>0</v>
      </c>
      <c r="AL82" s="94">
        <f>IF(Option3="No",0,IF($A82=ImplementationYear,('Project details'!$P$12-'Project details'!$D$12)*VLOOKUP(Year_cost_estimate,'Time-series parameters'!$B$11:$C$89,2,FALSE)*$B82,0))</f>
        <v>0</v>
      </c>
      <c r="AM82" s="97">
        <f>IF(Option3="No",0,IF($A82&lt;ImplementationYear,0,IF($A82&gt;(ImplementationYear+(Appraisal_Period-1)),0,Health!$F$21*$B82)))</f>
        <v>0</v>
      </c>
      <c r="AN82" s="97">
        <f>IF(Option3="No",0,IF($A82&lt;ImplementationYear,0,IF($A82&gt;(ImplementationYear+(Appraisal_Period-1)),0,Health!$F$22*$B82)))</f>
        <v>0</v>
      </c>
      <c r="AO82" s="97">
        <f>IF(Option3="No",0,IF($A82&lt;ImplementationYear,0,IF($A82&gt;(ImplementationYear+(Appraisal_Period-1)),0,SUM('Travel time'!$F$22:$F$23)*$B82)))</f>
        <v>0</v>
      </c>
      <c r="AP82" s="97">
        <f>IF(Option3="No",0,IF($A82&lt;ImplementationYear,0,IF($A82&gt;(ImplementationYear+(Appraisal_Period-1)),0,SUM('Travel time'!$F$20:$F$21)*$B82)))</f>
        <v>0</v>
      </c>
      <c r="AQ82" s="97">
        <f>IF(Option3="No",0,IF($A82&lt;ImplementationYear,0,IF($A82&gt;(ImplementationYear+(Appraisal_Period-1)),0,SUM(Quality!$F$22:$F$23)*$B82)))</f>
        <v>0</v>
      </c>
      <c r="AR82" s="97">
        <f>IF(Option3="No",0,IF($A82&lt;ImplementationYear,0,IF($A82&gt;(ImplementationYear+(Appraisal_Period-1)),0,SUM(Quality!$F$20:$F$21)*$B82)))</f>
        <v>0</v>
      </c>
      <c r="AS82" s="97">
        <f>IF(Option3="No",0,IF($A82&lt;ImplementationYear,0,IF($A82&gt;(ImplementationYear+(Appraisal_Period-1)),0,'Mode change'!$F$36*$B82)))</f>
        <v>0</v>
      </c>
      <c r="AT82" s="97">
        <f>IF(Option3="No",0,IF($A82&lt;ImplementationYear,0,IF($A82&gt;(ImplementationYear+(Appraisal_Period-1)),0,'Mode change'!$F$37*$B82)))</f>
        <v>0</v>
      </c>
      <c r="AU82" s="97">
        <f>IF(Option3="No",0,IF($A82&lt;ImplementationYear,0,IF($A82&gt;(ImplementationYear+(Appraisal_Period-1)),0,'Road safety'!$F$22*$B82)))</f>
        <v>0</v>
      </c>
      <c r="AV82" s="97">
        <f>IF(Option3="No",0,IF($A82&lt;ImplementationYear,0,IF($A82&gt;(ImplementationYear+(Appraisal_Period-1)),0,'Reduction in car usage'!$F$46*$B82)))</f>
        <v>0</v>
      </c>
      <c r="AW82" s="97">
        <f>IF(Option3="No",0,IF($A82&lt;ImplementationYear,0,IF($A82&gt;(ImplementationYear+(Appraisal_Period-1)),0,'Reduction in car usage'!$F$47*$B82)))</f>
        <v>0</v>
      </c>
      <c r="AX82" s="97">
        <f>IF(Option3="No",0,IF($A82&lt;ImplementationYear,0,IF($A82&gt;(ImplementationYear+(Appraisal_Period-1)),0,'Reduction in car usage'!$F$48*$B82)))</f>
        <v>0</v>
      </c>
    </row>
    <row r="83" spans="1:50">
      <c r="A83" s="336">
        <v>2078</v>
      </c>
      <c r="B83" s="62">
        <f>VLOOKUP($A83,'Time-series parameters'!$E$11:$H$89,4,FALSE)</f>
        <v>6.4889228948634733E-2</v>
      </c>
      <c r="C83" s="89"/>
      <c r="D83" s="94">
        <f>IF(Option1="No",0,IF($A83=ImplementationYear,('Project details'!$H$10-'Project details'!$D$10)*VLOOKUP(Year_cost_estimate,'Time-series parameters'!$B$11:$C$89,2,FALSE)*$B83*(1+Contingency),0))</f>
        <v>0</v>
      </c>
      <c r="E83" s="94">
        <f>IF(Option1="No",0,IF($A83&lt;ImplementationYear,0,IF($A83&gt;(ImplementationYear+(Appraisal_Period-1)),0,('Project details'!$H$11-'Project details'!$D$11)*VLOOKUP(Year_cost_estimate,'Time-series parameters'!$B$11:$C$89,2,0))*$B83))</f>
        <v>0</v>
      </c>
      <c r="F83" s="94">
        <f>IF(Option1="No",0,IF($A83=ImplementationYear,('Project details'!$H$12-'Project details'!$D$12)*VLOOKUP(Year_cost_estimate,'Time-series parameters'!$B$11:$C$89,2,FALSE)*$B83,0))</f>
        <v>0</v>
      </c>
      <c r="G83" s="97">
        <f>IF(Option1="No",0,IF($A83&lt;ImplementationYear,0,IF($A83&gt;(ImplementationYear+(Appraisal_Period-1)),0,Health!$D$21*$B83)))</f>
        <v>0</v>
      </c>
      <c r="H83" s="97">
        <f>IF(Option1="No",0,IF($A83&lt;ImplementationYear,0,IF($A83&gt;(ImplementationYear+(Appraisal_Period-1)),0,Health!$D$22*$B83)))</f>
        <v>0</v>
      </c>
      <c r="I83" s="97">
        <f>IF(Option1="No",0,IF($A83&lt;ImplementationYear,0,IF($A83&gt;(ImplementationYear+(Appraisal_Period-1)),0,SUM('Travel time'!$D$22:$D$23)*$B83)))</f>
        <v>0</v>
      </c>
      <c r="J83" s="97">
        <f>IF(Option1="No",0,IF($A83&lt;ImplementationYear,0,IF($A83&gt;(ImplementationYear+(Appraisal_Period-1)),0,SUM('Travel time'!$D$20:$D$21)*$B83)))</f>
        <v>0</v>
      </c>
      <c r="K83" s="97">
        <f>IF(Option1="No",0,IF($A83&lt;ImplementationYear,0,IF($A83&gt;(ImplementationYear+(Appraisal_Period-1)),0,SUM(Quality!$D$22:$D$23)*$B83)))</f>
        <v>0</v>
      </c>
      <c r="L83" s="97">
        <f>IF(Option1="No",0,IF($A83&lt;ImplementationYear,0,IF($A83&gt;(ImplementationYear+(Appraisal_Period-1)),0,SUM(Quality!$D$20:$D$21)*$B83)))</f>
        <v>0</v>
      </c>
      <c r="M83" s="97">
        <f>IF(Option1="No",0,IF($A83&lt;ImplementationYear,0,IF($A83&gt;(ImplementationYear+(Appraisal_Period-1)),0,'Mode change'!$D$36*$B83)))</f>
        <v>0</v>
      </c>
      <c r="N83" s="97">
        <f>IF(Option1="No",0,IF($A83&lt;ImplementationYear,0,IF($A83&gt;(ImplementationYear+(Appraisal_Period-1)),0,'Mode change'!$D$37*$B83)))</f>
        <v>0</v>
      </c>
      <c r="O83" s="97">
        <f>IF(Option1="No",0,IF($A83&lt;ImplementationYear,0,IF($A83&gt;(ImplementationYear+(Appraisal_Period-1)),0,'Road safety'!$D$22*$B83)))</f>
        <v>0</v>
      </c>
      <c r="P83" s="97">
        <f>IF(Option1="No",0,IF($A83&lt;ImplementationYear,0,IF($A83&gt;(ImplementationYear+(Appraisal_Period-1)),0,'Reduction in car usage'!$D$46*$B83)))</f>
        <v>0</v>
      </c>
      <c r="Q83" s="97">
        <f>IF(Option1="No",0,IF($A83&lt;ImplementationYear,0,IF($A83&gt;(ImplementationYear+(Appraisal_Period-1)),0,'Reduction in car usage'!$D$47*$B83)))</f>
        <v>0</v>
      </c>
      <c r="R83" s="97">
        <f>IF(Option1="No",0,IF($A83&lt;ImplementationYear,0,IF($A83&gt;(ImplementationYear+(Appraisal_Period-1)),0,'Reduction in car usage'!$D$48*$B83)))</f>
        <v>0</v>
      </c>
      <c r="S83" s="92"/>
      <c r="T83" s="94">
        <f>IF(Option2="No",0,IF($A83=ImplementationYear,('Project details'!$L$10-'Project details'!$D$10)*VLOOKUP(Year_cost_estimate,'Time-series parameters'!$B$11:$C$89,2,FALSE)*$B83*(1+Contingency),0))</f>
        <v>0</v>
      </c>
      <c r="U83" s="94">
        <f>IF(Option2="No",0,IF($A83&lt;ImplementationYear,0,IF($A83&gt;(ImplementationYear+(Appraisal_Period-1)),0,('Project details'!$L$11-'Project details'!$D$11)*VLOOKUP(Year_cost_estimate,'Time-series parameters'!$B$11:$C$89,2,0))*$B83))</f>
        <v>0</v>
      </c>
      <c r="V83" s="94">
        <f>IF(Option2="No",0,IF($A83=ImplementationYear,('Project details'!$L$12-'Project details'!$D$12)*VLOOKUP(Year_cost_estimate,'Time-series parameters'!$B$11:$C$89,2,FALSE)*$B83,0))</f>
        <v>0</v>
      </c>
      <c r="W83" s="97">
        <f>IF(Option2="No",0,IF($A83&lt;ImplementationYear,0,IF($A83&gt;(ImplementationYear+(Appraisal_Period-1)),0,Health!$E$21*$B83)))</f>
        <v>0</v>
      </c>
      <c r="X83" s="97">
        <f>IF(Option2="No",0,IF($A83&lt;ImplementationYear,0,IF($A83&gt;(ImplementationYear+(Appraisal_Period-1)),0,Health!$E$22*$B83)))</f>
        <v>0</v>
      </c>
      <c r="Y83" s="97">
        <f>IF(Option2="No",0,IF($A83&lt;ImplementationYear,0,IF($A83&gt;(ImplementationYear+(Appraisal_Period-1)),0,SUM('Travel time'!$E$22:$E$23)*$B83)))</f>
        <v>0</v>
      </c>
      <c r="Z83" s="97">
        <f>IF(Option2="No",0,IF($A83&lt;ImplementationYear,0,IF($A83&gt;(ImplementationYear+(Appraisal_Period-1)),0,SUM('Travel time'!$E$20:$E$21)*$B83)))</f>
        <v>0</v>
      </c>
      <c r="AA83" s="97">
        <f>IF(Option2="No",0,IF($A83&lt;ImplementationYear,0,IF($A83&gt;(ImplementationYear+(Appraisal_Period-1)),0,SUM(Quality!$E$22:$E$23)*$B83)))</f>
        <v>0</v>
      </c>
      <c r="AB83" s="97">
        <f>IF(Option2="No",0,IF($A83&lt;ImplementationYear,0,IF($A83&gt;(ImplementationYear+(Appraisal_Period-1)),0,SUM(Quality!$E$20:$E$21)*$B83)))</f>
        <v>0</v>
      </c>
      <c r="AC83" s="97">
        <f>IF(Option2="No",0,IF($A83&lt;ImplementationYear,0,IF($A83&gt;(ImplementationYear+(Appraisal_Period-1)),0,'Mode change'!$E$36*$B83)))</f>
        <v>0</v>
      </c>
      <c r="AD83" s="97">
        <f>IF(Option2="No",0,IF($A83&lt;ImplementationYear,0,IF($A83&gt;(ImplementationYear+(Appraisal_Period-1)),0,'Mode change'!$E$37*$B83)))</f>
        <v>0</v>
      </c>
      <c r="AE83" s="97">
        <f>IF(Option2="No",0,IF($A83&lt;ImplementationYear,0,IF($A83&gt;(ImplementationYear+(Appraisal_Period-1)),0,'Road safety'!$E$22*$B83)))</f>
        <v>0</v>
      </c>
      <c r="AF83" s="97">
        <f>IF(Option2="No",0,IF($A83&lt;ImplementationYear,0,IF($A83&gt;(ImplementationYear+(Appraisal_Period-1)),0,'Reduction in car usage'!$E$46*$B83)))</f>
        <v>0</v>
      </c>
      <c r="AG83" s="97">
        <f>IF(Option2="No",0,IF($A83&lt;ImplementationYear,0,IF($A83&gt;(ImplementationYear+(Appraisal_Period-1)),0,'Reduction in car usage'!$E$47*$B83)))</f>
        <v>0</v>
      </c>
      <c r="AH83" s="97">
        <f>IF(Option2="No",0,IF($A83&lt;ImplementationYear,0,IF($A83&gt;(ImplementationYear+(Appraisal_Period-1)),0,'Reduction in car usage'!$E$48*$B83)))</f>
        <v>0</v>
      </c>
      <c r="AJ83" s="94">
        <f>IF(Option3="No",0,IF($A83=ImplementationYear,('Project details'!$P$10-'Project details'!$D$10)*VLOOKUP(Year_cost_estimate,'Time-series parameters'!$B$11:$C$89,2,FALSE)*$B83*(1+Contingency),0))</f>
        <v>0</v>
      </c>
      <c r="AK83" s="94">
        <f>IF(Option3="No",0,IF($A83&lt;ImplementationYear,0,IF($A83&gt;(ImplementationYear+(Appraisal_Period-1)),0,('Project details'!$P$11-'Project details'!$D$11)*VLOOKUP(Year_cost_estimate,'Time-series parameters'!$B$11:$C$89,2,0))*$B83))</f>
        <v>0</v>
      </c>
      <c r="AL83" s="94">
        <f>IF(Option3="No",0,IF($A83=ImplementationYear,('Project details'!$P$12-'Project details'!$D$12)*VLOOKUP(Year_cost_estimate,'Time-series parameters'!$B$11:$C$89,2,FALSE)*$B83,0))</f>
        <v>0</v>
      </c>
      <c r="AM83" s="97">
        <f>IF(Option3="No",0,IF($A83&lt;ImplementationYear,0,IF($A83&gt;(ImplementationYear+(Appraisal_Period-1)),0,Health!$F$21*$B83)))</f>
        <v>0</v>
      </c>
      <c r="AN83" s="97">
        <f>IF(Option3="No",0,IF($A83&lt;ImplementationYear,0,IF($A83&gt;(ImplementationYear+(Appraisal_Period-1)),0,Health!$F$22*$B83)))</f>
        <v>0</v>
      </c>
      <c r="AO83" s="97">
        <f>IF(Option3="No",0,IF($A83&lt;ImplementationYear,0,IF($A83&gt;(ImplementationYear+(Appraisal_Period-1)),0,SUM('Travel time'!$F$22:$F$23)*$B83)))</f>
        <v>0</v>
      </c>
      <c r="AP83" s="97">
        <f>IF(Option3="No",0,IF($A83&lt;ImplementationYear,0,IF($A83&gt;(ImplementationYear+(Appraisal_Period-1)),0,SUM('Travel time'!$F$20:$F$21)*$B83)))</f>
        <v>0</v>
      </c>
      <c r="AQ83" s="97">
        <f>IF(Option3="No",0,IF($A83&lt;ImplementationYear,0,IF($A83&gt;(ImplementationYear+(Appraisal_Period-1)),0,SUM(Quality!$F$22:$F$23)*$B83)))</f>
        <v>0</v>
      </c>
      <c r="AR83" s="97">
        <f>IF(Option3="No",0,IF($A83&lt;ImplementationYear,0,IF($A83&gt;(ImplementationYear+(Appraisal_Period-1)),0,SUM(Quality!$F$20:$F$21)*$B83)))</f>
        <v>0</v>
      </c>
      <c r="AS83" s="97">
        <f>IF(Option3="No",0,IF($A83&lt;ImplementationYear,0,IF($A83&gt;(ImplementationYear+(Appraisal_Period-1)),0,'Mode change'!$F$36*$B83)))</f>
        <v>0</v>
      </c>
      <c r="AT83" s="97">
        <f>IF(Option3="No",0,IF($A83&lt;ImplementationYear,0,IF($A83&gt;(ImplementationYear+(Appraisal_Period-1)),0,'Mode change'!$F$37*$B83)))</f>
        <v>0</v>
      </c>
      <c r="AU83" s="97">
        <f>IF(Option3="No",0,IF($A83&lt;ImplementationYear,0,IF($A83&gt;(ImplementationYear+(Appraisal_Period-1)),0,'Road safety'!$F$22*$B83)))</f>
        <v>0</v>
      </c>
      <c r="AV83" s="97">
        <f>IF(Option3="No",0,IF($A83&lt;ImplementationYear,0,IF($A83&gt;(ImplementationYear+(Appraisal_Period-1)),0,'Reduction in car usage'!$F$46*$B83)))</f>
        <v>0</v>
      </c>
      <c r="AW83" s="97">
        <f>IF(Option3="No",0,IF($A83&lt;ImplementationYear,0,IF($A83&gt;(ImplementationYear+(Appraisal_Period-1)),0,'Reduction in car usage'!$F$47*$B83)))</f>
        <v>0</v>
      </c>
      <c r="AX83" s="97">
        <f>IF(Option3="No",0,IF($A83&lt;ImplementationYear,0,IF($A83&gt;(ImplementationYear+(Appraisal_Period-1)),0,'Reduction in car usage'!$F$48*$B83)))</f>
        <v>0</v>
      </c>
    </row>
    <row r="84" spans="1:50">
      <c r="A84" s="336">
        <v>2079</v>
      </c>
      <c r="B84" s="62">
        <f>VLOOKUP($A84,'Time-series parameters'!$E$11:$H$89,4,FALSE)</f>
        <v>6.2293659790689342E-2</v>
      </c>
      <c r="C84" s="89"/>
      <c r="D84" s="94">
        <f>IF(Option1="No",0,IF($A84=ImplementationYear,('Project details'!$H$10-'Project details'!$D$10)*VLOOKUP(Year_cost_estimate,'Time-series parameters'!$B$11:$C$89,2,FALSE)*$B84*(1+Contingency),0))</f>
        <v>0</v>
      </c>
      <c r="E84" s="94">
        <f>IF(Option1="No",0,IF($A84&lt;ImplementationYear,0,IF($A84&gt;(ImplementationYear+(Appraisal_Period-1)),0,('Project details'!$H$11-'Project details'!$D$11)*VLOOKUP(Year_cost_estimate,'Time-series parameters'!$B$11:$C$89,2,0))*$B84))</f>
        <v>0</v>
      </c>
      <c r="F84" s="94">
        <f>IF(Option1="No",0,IF($A84=ImplementationYear,('Project details'!$H$12-'Project details'!$D$12)*VLOOKUP(Year_cost_estimate,'Time-series parameters'!$B$11:$C$89,2,FALSE)*$B84,0))</f>
        <v>0</v>
      </c>
      <c r="G84" s="97">
        <f>IF(Option1="No",0,IF($A84&lt;ImplementationYear,0,IF($A84&gt;(ImplementationYear+(Appraisal_Period-1)),0,Health!$D$21*$B84)))</f>
        <v>0</v>
      </c>
      <c r="H84" s="97">
        <f>IF(Option1="No",0,IF($A84&lt;ImplementationYear,0,IF($A84&gt;(ImplementationYear+(Appraisal_Period-1)),0,Health!$D$22*$B84)))</f>
        <v>0</v>
      </c>
      <c r="I84" s="97">
        <f>IF(Option1="No",0,IF($A84&lt;ImplementationYear,0,IF($A84&gt;(ImplementationYear+(Appraisal_Period-1)),0,SUM('Travel time'!$D$22:$D$23)*$B84)))</f>
        <v>0</v>
      </c>
      <c r="J84" s="97">
        <f>IF(Option1="No",0,IF($A84&lt;ImplementationYear,0,IF($A84&gt;(ImplementationYear+(Appraisal_Period-1)),0,SUM('Travel time'!$D$20:$D$21)*$B84)))</f>
        <v>0</v>
      </c>
      <c r="K84" s="97">
        <f>IF(Option1="No",0,IF($A84&lt;ImplementationYear,0,IF($A84&gt;(ImplementationYear+(Appraisal_Period-1)),0,SUM(Quality!$D$22:$D$23)*$B84)))</f>
        <v>0</v>
      </c>
      <c r="L84" s="97">
        <f>IF(Option1="No",0,IF($A84&lt;ImplementationYear,0,IF($A84&gt;(ImplementationYear+(Appraisal_Period-1)),0,SUM(Quality!$D$20:$D$21)*$B84)))</f>
        <v>0</v>
      </c>
      <c r="M84" s="97">
        <f>IF(Option1="No",0,IF($A84&lt;ImplementationYear,0,IF($A84&gt;(ImplementationYear+(Appraisal_Period-1)),0,'Mode change'!$D$36*$B84)))</f>
        <v>0</v>
      </c>
      <c r="N84" s="97">
        <f>IF(Option1="No",0,IF($A84&lt;ImplementationYear,0,IF($A84&gt;(ImplementationYear+(Appraisal_Period-1)),0,'Mode change'!$D$37*$B84)))</f>
        <v>0</v>
      </c>
      <c r="O84" s="97">
        <f>IF(Option1="No",0,IF($A84&lt;ImplementationYear,0,IF($A84&gt;(ImplementationYear+(Appraisal_Period-1)),0,'Road safety'!$D$22*$B84)))</f>
        <v>0</v>
      </c>
      <c r="P84" s="97">
        <f>IF(Option1="No",0,IF($A84&lt;ImplementationYear,0,IF($A84&gt;(ImplementationYear+(Appraisal_Period-1)),0,'Reduction in car usage'!$D$46*$B84)))</f>
        <v>0</v>
      </c>
      <c r="Q84" s="97">
        <f>IF(Option1="No",0,IF($A84&lt;ImplementationYear,0,IF($A84&gt;(ImplementationYear+(Appraisal_Period-1)),0,'Reduction in car usage'!$D$47*$B84)))</f>
        <v>0</v>
      </c>
      <c r="R84" s="97">
        <f>IF(Option1="No",0,IF($A84&lt;ImplementationYear,0,IF($A84&gt;(ImplementationYear+(Appraisal_Period-1)),0,'Reduction in car usage'!$D$48*$B84)))</f>
        <v>0</v>
      </c>
      <c r="S84" s="92"/>
      <c r="T84" s="94">
        <f>IF(Option2="No",0,IF($A84=ImplementationYear,('Project details'!$L$10-'Project details'!$D$10)*VLOOKUP(Year_cost_estimate,'Time-series parameters'!$B$11:$C$89,2,FALSE)*$B84*(1+Contingency),0))</f>
        <v>0</v>
      </c>
      <c r="U84" s="94">
        <f>IF(Option2="No",0,IF($A84&lt;ImplementationYear,0,IF($A84&gt;(ImplementationYear+(Appraisal_Period-1)),0,('Project details'!$L$11-'Project details'!$D$11)*VLOOKUP(Year_cost_estimate,'Time-series parameters'!$B$11:$C$89,2,0))*$B84))</f>
        <v>0</v>
      </c>
      <c r="V84" s="94">
        <f>IF(Option2="No",0,IF($A84=ImplementationYear,('Project details'!$L$12-'Project details'!$D$12)*VLOOKUP(Year_cost_estimate,'Time-series parameters'!$B$11:$C$89,2,FALSE)*$B84,0))</f>
        <v>0</v>
      </c>
      <c r="W84" s="97">
        <f>IF(Option2="No",0,IF($A84&lt;ImplementationYear,0,IF($A84&gt;(ImplementationYear+(Appraisal_Period-1)),0,Health!$E$21*$B84)))</f>
        <v>0</v>
      </c>
      <c r="X84" s="97">
        <f>IF(Option2="No",0,IF($A84&lt;ImplementationYear,0,IF($A84&gt;(ImplementationYear+(Appraisal_Period-1)),0,Health!$E$22*$B84)))</f>
        <v>0</v>
      </c>
      <c r="Y84" s="97">
        <f>IF(Option2="No",0,IF($A84&lt;ImplementationYear,0,IF($A84&gt;(ImplementationYear+(Appraisal_Period-1)),0,SUM('Travel time'!$E$22:$E$23)*$B84)))</f>
        <v>0</v>
      </c>
      <c r="Z84" s="97">
        <f>IF(Option2="No",0,IF($A84&lt;ImplementationYear,0,IF($A84&gt;(ImplementationYear+(Appraisal_Period-1)),0,SUM('Travel time'!$E$20:$E$21)*$B84)))</f>
        <v>0</v>
      </c>
      <c r="AA84" s="97">
        <f>IF(Option2="No",0,IF($A84&lt;ImplementationYear,0,IF($A84&gt;(ImplementationYear+(Appraisal_Period-1)),0,SUM(Quality!$E$22:$E$23)*$B84)))</f>
        <v>0</v>
      </c>
      <c r="AB84" s="97">
        <f>IF(Option2="No",0,IF($A84&lt;ImplementationYear,0,IF($A84&gt;(ImplementationYear+(Appraisal_Period-1)),0,SUM(Quality!$E$20:$E$21)*$B84)))</f>
        <v>0</v>
      </c>
      <c r="AC84" s="97">
        <f>IF(Option2="No",0,IF($A84&lt;ImplementationYear,0,IF($A84&gt;(ImplementationYear+(Appraisal_Period-1)),0,'Mode change'!$E$36*$B84)))</f>
        <v>0</v>
      </c>
      <c r="AD84" s="97">
        <f>IF(Option2="No",0,IF($A84&lt;ImplementationYear,0,IF($A84&gt;(ImplementationYear+(Appraisal_Period-1)),0,'Mode change'!$E$37*$B84)))</f>
        <v>0</v>
      </c>
      <c r="AE84" s="97">
        <f>IF(Option2="No",0,IF($A84&lt;ImplementationYear,0,IF($A84&gt;(ImplementationYear+(Appraisal_Period-1)),0,'Road safety'!$E$22*$B84)))</f>
        <v>0</v>
      </c>
      <c r="AF84" s="97">
        <f>IF(Option2="No",0,IF($A84&lt;ImplementationYear,0,IF($A84&gt;(ImplementationYear+(Appraisal_Period-1)),0,'Reduction in car usage'!$E$46*$B84)))</f>
        <v>0</v>
      </c>
      <c r="AG84" s="97">
        <f>IF(Option2="No",0,IF($A84&lt;ImplementationYear,0,IF($A84&gt;(ImplementationYear+(Appraisal_Period-1)),0,'Reduction in car usage'!$E$47*$B84)))</f>
        <v>0</v>
      </c>
      <c r="AH84" s="97">
        <f>IF(Option2="No",0,IF($A84&lt;ImplementationYear,0,IF($A84&gt;(ImplementationYear+(Appraisal_Period-1)),0,'Reduction in car usage'!$E$48*$B84)))</f>
        <v>0</v>
      </c>
      <c r="AJ84" s="94">
        <f>IF(Option3="No",0,IF($A84=ImplementationYear,('Project details'!$P$10-'Project details'!$D$10)*VLOOKUP(Year_cost_estimate,'Time-series parameters'!$B$11:$C$89,2,FALSE)*$B84*(1+Contingency),0))</f>
        <v>0</v>
      </c>
      <c r="AK84" s="94">
        <f>IF(Option3="No",0,IF($A84&lt;ImplementationYear,0,IF($A84&gt;(ImplementationYear+(Appraisal_Period-1)),0,('Project details'!$P$11-'Project details'!$D$11)*VLOOKUP(Year_cost_estimate,'Time-series parameters'!$B$11:$C$89,2,0))*$B84))</f>
        <v>0</v>
      </c>
      <c r="AL84" s="94">
        <f>IF(Option3="No",0,IF($A84=ImplementationYear,('Project details'!$P$12-'Project details'!$D$12)*VLOOKUP(Year_cost_estimate,'Time-series parameters'!$B$11:$C$89,2,FALSE)*$B84,0))</f>
        <v>0</v>
      </c>
      <c r="AM84" s="97">
        <f>IF(Option3="No",0,IF($A84&lt;ImplementationYear,0,IF($A84&gt;(ImplementationYear+(Appraisal_Period-1)),0,Health!$F$21*$B84)))</f>
        <v>0</v>
      </c>
      <c r="AN84" s="97">
        <f>IF(Option3="No",0,IF($A84&lt;ImplementationYear,0,IF($A84&gt;(ImplementationYear+(Appraisal_Period-1)),0,Health!$F$22*$B84)))</f>
        <v>0</v>
      </c>
      <c r="AO84" s="97">
        <f>IF(Option3="No",0,IF($A84&lt;ImplementationYear,0,IF($A84&gt;(ImplementationYear+(Appraisal_Period-1)),0,SUM('Travel time'!$F$22:$F$23)*$B84)))</f>
        <v>0</v>
      </c>
      <c r="AP84" s="97">
        <f>IF(Option3="No",0,IF($A84&lt;ImplementationYear,0,IF($A84&gt;(ImplementationYear+(Appraisal_Period-1)),0,SUM('Travel time'!$F$20:$F$21)*$B84)))</f>
        <v>0</v>
      </c>
      <c r="AQ84" s="97">
        <f>IF(Option3="No",0,IF($A84&lt;ImplementationYear,0,IF($A84&gt;(ImplementationYear+(Appraisal_Period-1)),0,SUM(Quality!$F$22:$F$23)*$B84)))</f>
        <v>0</v>
      </c>
      <c r="AR84" s="97">
        <f>IF(Option3="No",0,IF($A84&lt;ImplementationYear,0,IF($A84&gt;(ImplementationYear+(Appraisal_Period-1)),0,SUM(Quality!$F$20:$F$21)*$B84)))</f>
        <v>0</v>
      </c>
      <c r="AS84" s="97">
        <f>IF(Option3="No",0,IF($A84&lt;ImplementationYear,0,IF($A84&gt;(ImplementationYear+(Appraisal_Period-1)),0,'Mode change'!$F$36*$B84)))</f>
        <v>0</v>
      </c>
      <c r="AT84" s="97">
        <f>IF(Option3="No",0,IF($A84&lt;ImplementationYear,0,IF($A84&gt;(ImplementationYear+(Appraisal_Period-1)),0,'Mode change'!$F$37*$B84)))</f>
        <v>0</v>
      </c>
      <c r="AU84" s="97">
        <f>IF(Option3="No",0,IF($A84&lt;ImplementationYear,0,IF($A84&gt;(ImplementationYear+(Appraisal_Period-1)),0,'Road safety'!$F$22*$B84)))</f>
        <v>0</v>
      </c>
      <c r="AV84" s="97">
        <f>IF(Option3="No",0,IF($A84&lt;ImplementationYear,0,IF($A84&gt;(ImplementationYear+(Appraisal_Period-1)),0,'Reduction in car usage'!$F$46*$B84)))</f>
        <v>0</v>
      </c>
      <c r="AW84" s="97">
        <f>IF(Option3="No",0,IF($A84&lt;ImplementationYear,0,IF($A84&gt;(ImplementationYear+(Appraisal_Period-1)),0,'Reduction in car usage'!$F$47*$B84)))</f>
        <v>0</v>
      </c>
      <c r="AX84" s="97">
        <f>IF(Option3="No",0,IF($A84&lt;ImplementationYear,0,IF($A84&gt;(ImplementationYear+(Appraisal_Period-1)),0,'Reduction in car usage'!$F$48*$B84)))</f>
        <v>0</v>
      </c>
    </row>
    <row r="85" spans="1:50">
      <c r="A85" s="337">
        <v>2080</v>
      </c>
      <c r="B85" s="62">
        <f>VLOOKUP($A85,'Time-series parameters'!$E$11:$H$89,4,FALSE)</f>
        <v>5.9801913399061768E-2</v>
      </c>
      <c r="C85" s="89"/>
      <c r="D85" s="95">
        <f>IF(Option1="No",0,IF($A85=ImplementationYear,('Project details'!$H$10-'Project details'!$D$10)*VLOOKUP(Year_cost_estimate,'Time-series parameters'!$B$11:$C$89,2,FALSE)*$B85*(1+Contingency),0))</f>
        <v>0</v>
      </c>
      <c r="E85" s="95">
        <f>IF(Option1="No",0,IF($A85&lt;ImplementationYear,0,IF($A85&gt;(ImplementationYear+(Appraisal_Period-1)),0,('Project details'!$H$11-'Project details'!$D$11)*VLOOKUP(Year_cost_estimate,'Time-series parameters'!$B$11:$C$89,2,0))*$B85))</f>
        <v>0</v>
      </c>
      <c r="F85" s="95">
        <f>IF(Option1="No",0,IF($A85=ImplementationYear,('Project details'!$H$12-'Project details'!$D$12)*VLOOKUP(Year_cost_estimate,'Time-series parameters'!$B$11:$C$89,2,FALSE)*$B85,0))</f>
        <v>0</v>
      </c>
      <c r="G85" s="98">
        <f>IF(Option1="No",0,IF($A85&lt;ImplementationYear,0,IF($A85&gt;(ImplementationYear+(Appraisal_Period-1)),0,Health!$D$21*$B85)))</f>
        <v>0</v>
      </c>
      <c r="H85" s="98">
        <f>IF(Option1="No",0,IF($A85&lt;ImplementationYear,0,IF($A85&gt;(ImplementationYear+(Appraisal_Period-1)),0,Health!$D$22*$B85)))</f>
        <v>0</v>
      </c>
      <c r="I85" s="98">
        <f>IF(Option1="No",0,IF($A85&lt;ImplementationYear,0,IF($A85&gt;(ImplementationYear+(Appraisal_Period-1)),0,SUM('Travel time'!$D$22:$D$23)*$B85)))</f>
        <v>0</v>
      </c>
      <c r="J85" s="98">
        <f>IF(Option1="No",0,IF($A85&lt;ImplementationYear,0,IF($A85&gt;(ImplementationYear+(Appraisal_Period-1)),0,SUM('Travel time'!$D$20:$D$21)*$B85)))</f>
        <v>0</v>
      </c>
      <c r="K85" s="98">
        <f>IF(Option1="No",0,IF($A85&lt;ImplementationYear,0,IF($A85&gt;(ImplementationYear+(Appraisal_Period-1)),0,SUM(Quality!$D$22:$D$23)*$B85)))</f>
        <v>0</v>
      </c>
      <c r="L85" s="98">
        <f>IF(Option1="No",0,IF($A85&lt;ImplementationYear,0,IF($A85&gt;(ImplementationYear+(Appraisal_Period-1)),0,SUM(Quality!$D$20:$D$21)*$B85)))</f>
        <v>0</v>
      </c>
      <c r="M85" s="97">
        <f>IF(Option1="No",0,IF($A85&lt;ImplementationYear,0,IF($A85&gt;(ImplementationYear+(Appraisal_Period-1)),0,'Mode change'!$D$36*$B85)))</f>
        <v>0</v>
      </c>
      <c r="N85" s="97">
        <f>IF(Option1="No",0,IF($A85&lt;ImplementationYear,0,IF($A85&gt;(ImplementationYear+(Appraisal_Period-1)),0,'Mode change'!$D$37*$B85)))</f>
        <v>0</v>
      </c>
      <c r="O85" s="98">
        <f>IF(Option1="No",0,IF($A85&lt;ImplementationYear,0,IF($A85&gt;(ImplementationYear+(Appraisal_Period-1)),0,'Road safety'!$D$22*$B85)))</f>
        <v>0</v>
      </c>
      <c r="P85" s="98">
        <f>IF(Option1="No",0,IF($A85&lt;ImplementationYear,0,IF($A85&gt;(ImplementationYear+(Appraisal_Period-1)),0,'Reduction in car usage'!$D$46*$B85)))</f>
        <v>0</v>
      </c>
      <c r="Q85" s="98">
        <f>IF(Option1="No",0,IF($A85&lt;ImplementationYear,0,IF($A85&gt;(ImplementationYear+(Appraisal_Period-1)),0,'Reduction in car usage'!$D$47*$B85)))</f>
        <v>0</v>
      </c>
      <c r="R85" s="98">
        <f>IF(Option1="No",0,IF($A85&lt;ImplementationYear,0,IF($A85&gt;(ImplementationYear+(Appraisal_Period-1)),0,'Reduction in car usage'!$D$48*$B85)))</f>
        <v>0</v>
      </c>
      <c r="S85" s="92"/>
      <c r="T85" s="95">
        <f>IF(Option2="No",0,IF($A85=ImplementationYear,('Project details'!$L$10-'Project details'!$D$10)*VLOOKUP(Year_cost_estimate,'Time-series parameters'!$B$11:$C$89,2,FALSE)*$B85*(1+Contingency),0))</f>
        <v>0</v>
      </c>
      <c r="U85" s="95">
        <f>IF(Option2="No",0,IF($A85&lt;ImplementationYear,0,IF($A85&gt;(ImplementationYear+(Appraisal_Period-1)),0,('Project details'!$L$11-'Project details'!$D$11)*VLOOKUP(Year_cost_estimate,'Time-series parameters'!$B$11:$C$89,2,0))*$B85))</f>
        <v>0</v>
      </c>
      <c r="V85" s="95">
        <f>IF(Option2="No",0,IF($A85=ImplementationYear,('Project details'!$L$12-'Project details'!$D$12)*VLOOKUP(Year_cost_estimate,'Time-series parameters'!$B$11:$C$89,2,FALSE)*$B85,0))</f>
        <v>0</v>
      </c>
      <c r="W85" s="98">
        <f>IF(Option2="No",0,IF($A85&lt;ImplementationYear,0,IF($A85&gt;(ImplementationYear+(Appraisal_Period-1)),0,Health!$E$21*$B85)))</f>
        <v>0</v>
      </c>
      <c r="X85" s="98">
        <f>IF(Option2="No",0,IF($A85&lt;ImplementationYear,0,IF($A85&gt;(ImplementationYear+(Appraisal_Period-1)),0,Health!$E$22*$B85)))</f>
        <v>0</v>
      </c>
      <c r="Y85" s="98">
        <f>IF(Option2="No",0,IF($A85&lt;ImplementationYear,0,IF($A85&gt;(ImplementationYear+(Appraisal_Period-1)),0,SUM('Travel time'!$E$22:$E$23)*$B85)))</f>
        <v>0</v>
      </c>
      <c r="Z85" s="98">
        <f>IF(Option2="No",0,IF($A85&lt;ImplementationYear,0,IF($A85&gt;(ImplementationYear+(Appraisal_Period-1)),0,SUM('Travel time'!$E$20:$E$21)*$B85)))</f>
        <v>0</v>
      </c>
      <c r="AA85" s="98">
        <f>IF(Option2="No",0,IF($A85&lt;ImplementationYear,0,IF($A85&gt;(ImplementationYear+(Appraisal_Period-1)),0,SUM(Quality!$E$22:$E$23)*$B85)))</f>
        <v>0</v>
      </c>
      <c r="AB85" s="98">
        <f>IF(Option2="No",0,IF($A85&lt;ImplementationYear,0,IF($A85&gt;(ImplementationYear+(Appraisal_Period-1)),0,SUM(Quality!$E$20:$E$21)*$B85)))</f>
        <v>0</v>
      </c>
      <c r="AC85" s="97">
        <f>IF(Option2="No",0,IF($A85&lt;ImplementationYear,0,IF($A85&gt;(ImplementationYear+(Appraisal_Period-1)),0,'Mode change'!$E$36*$B85)))</f>
        <v>0</v>
      </c>
      <c r="AD85" s="97">
        <f>IF(Option2="No",0,IF($A85&lt;ImplementationYear,0,IF($A85&gt;(ImplementationYear+(Appraisal_Period-1)),0,'Mode change'!$E$37*$B85)))</f>
        <v>0</v>
      </c>
      <c r="AE85" s="98">
        <f>IF(Option2="No",0,IF($A85&lt;ImplementationYear,0,IF($A85&gt;(ImplementationYear+(Appraisal_Period-1)),0,'Road safety'!$E$22*$B85)))</f>
        <v>0</v>
      </c>
      <c r="AF85" s="98">
        <f>IF(Option2="No",0,IF($A85&lt;ImplementationYear,0,IF($A85&gt;(ImplementationYear+(Appraisal_Period-1)),0,'Reduction in car usage'!$E$46*$B85)))</f>
        <v>0</v>
      </c>
      <c r="AG85" s="98">
        <f>IF(Option2="No",0,IF($A85&lt;ImplementationYear,0,IF($A85&gt;(ImplementationYear+(Appraisal_Period-1)),0,'Reduction in car usage'!$E$47*$B85)))</f>
        <v>0</v>
      </c>
      <c r="AH85" s="98">
        <f>IF(Option2="No",0,IF($A85&lt;ImplementationYear,0,IF($A85&gt;(ImplementationYear+(Appraisal_Period-1)),0,'Reduction in car usage'!$E$48*$B85)))</f>
        <v>0</v>
      </c>
      <c r="AJ85" s="95">
        <f>IF(Option3="No",0,IF($A85=ImplementationYear,('Project details'!$P$10-'Project details'!$D$10)*VLOOKUP(Year_cost_estimate,'Time-series parameters'!$B$11:$C$89,2,FALSE)*$B85*(1+Contingency),0))</f>
        <v>0</v>
      </c>
      <c r="AK85" s="95">
        <f>IF(Option3="No",0,IF($A85&lt;ImplementationYear,0,IF($A85&gt;(ImplementationYear+(Appraisal_Period-1)),0,('Project details'!$P$11-'Project details'!$D$11)*VLOOKUP(Year_cost_estimate,'Time-series parameters'!$B$11:$C$89,2,0))*$B85))</f>
        <v>0</v>
      </c>
      <c r="AL85" s="95">
        <f>IF(Option3="No",0,IF($A85=ImplementationYear,('Project details'!$P$12-'Project details'!$D$12)*VLOOKUP(Year_cost_estimate,'Time-series parameters'!$B$11:$C$89,2,FALSE)*$B85,0))</f>
        <v>0</v>
      </c>
      <c r="AM85" s="98">
        <f>IF(Option3="No",0,IF($A85&lt;ImplementationYear,0,IF($A85&gt;(ImplementationYear+(Appraisal_Period-1)),0,Health!$F$21*$B85)))</f>
        <v>0</v>
      </c>
      <c r="AN85" s="98">
        <f>IF(Option3="No",0,IF($A85&lt;ImplementationYear,0,IF($A85&gt;(ImplementationYear+(Appraisal_Period-1)),0,Health!$F$22*$B85)))</f>
        <v>0</v>
      </c>
      <c r="AO85" s="98">
        <f>IF(Option3="No",0,IF($A85&lt;ImplementationYear,0,IF($A85&gt;(ImplementationYear+(Appraisal_Period-1)),0,SUM('Travel time'!$F$22:$F$23)*$B85)))</f>
        <v>0</v>
      </c>
      <c r="AP85" s="98">
        <f>IF(Option3="No",0,IF($A85&lt;ImplementationYear,0,IF($A85&gt;(ImplementationYear+(Appraisal_Period-1)),0,SUM('Travel time'!$F$20:$F$21)*$B85)))</f>
        <v>0</v>
      </c>
      <c r="AQ85" s="98">
        <f>IF(Option3="No",0,IF($A85&lt;ImplementationYear,0,IF($A85&gt;(ImplementationYear+(Appraisal_Period-1)),0,SUM(Quality!$F$22:$F$23)*$B85)))</f>
        <v>0</v>
      </c>
      <c r="AR85" s="98">
        <f>IF(Option3="No",0,IF($A85&lt;ImplementationYear,0,IF($A85&gt;(ImplementationYear+(Appraisal_Period-1)),0,SUM(Quality!$F$20:$F$21)*$B85)))</f>
        <v>0</v>
      </c>
      <c r="AS85" s="97">
        <f>IF(Option3="No",0,IF($A85&lt;ImplementationYear,0,IF($A85&gt;(ImplementationYear+(Appraisal_Period-1)),0,'Mode change'!$F$36*$B85)))</f>
        <v>0</v>
      </c>
      <c r="AT85" s="97">
        <f>IF(Option3="No",0,IF($A85&lt;ImplementationYear,0,IF($A85&gt;(ImplementationYear+(Appraisal_Period-1)),0,'Mode change'!$F$37*$B85)))</f>
        <v>0</v>
      </c>
      <c r="AU85" s="98">
        <f>IF(Option3="No",0,IF($A85&lt;ImplementationYear,0,IF($A85&gt;(ImplementationYear+(Appraisal_Period-1)),0,'Road safety'!$F$22*$B85)))</f>
        <v>0</v>
      </c>
      <c r="AV85" s="98">
        <f>IF(Option3="No",0,IF($A85&lt;ImplementationYear,0,IF($A85&gt;(ImplementationYear+(Appraisal_Period-1)),0,'Reduction in car usage'!$F$46*$B85)))</f>
        <v>0</v>
      </c>
      <c r="AW85" s="98">
        <f>IF(Option3="No",0,IF($A85&lt;ImplementationYear,0,IF($A85&gt;(ImplementationYear+(Appraisal_Period-1)),0,'Reduction in car usage'!$F$47*$B85)))</f>
        <v>0</v>
      </c>
      <c r="AX85" s="98">
        <f>IF(Option3="No",0,IF($A85&lt;ImplementationYear,0,IF($A85&gt;(ImplementationYear+(Appraisal_Period-1)),0,'Reduction in car usage'!$F$48*$B85)))</f>
        <v>0</v>
      </c>
    </row>
  </sheetData>
  <sheetProtection password="EA07" sheet="1" objects="1" scenarios="1"/>
  <mergeCells count="4">
    <mergeCell ref="A6:A7"/>
    <mergeCell ref="G6:R6"/>
    <mergeCell ref="W6:AH6"/>
    <mergeCell ref="AM6:AX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3"/>
  </sheetPr>
  <dimension ref="B2:Q81"/>
  <sheetViews>
    <sheetView zoomScale="85" zoomScaleNormal="85" workbookViewId="0">
      <selection activeCell="C6" sqref="C6:D6"/>
    </sheetView>
  </sheetViews>
  <sheetFormatPr defaultColWidth="9.140625" defaultRowHeight="15"/>
  <cols>
    <col min="1" max="1" width="9.140625" style="8"/>
    <col min="2" max="2" width="50.5703125" style="8" customWidth="1"/>
    <col min="3" max="4" width="27.5703125" style="8" customWidth="1"/>
    <col min="5" max="5" width="23.7109375" style="8" customWidth="1"/>
    <col min="6" max="6" width="14.7109375" style="8" customWidth="1"/>
    <col min="7" max="7" width="14.5703125" style="8" customWidth="1"/>
    <col min="8" max="8" width="21.42578125" style="8" customWidth="1"/>
    <col min="9" max="11" width="9.140625" style="8" customWidth="1"/>
    <col min="12" max="12" width="29.42578125" style="8" hidden="1" customWidth="1"/>
    <col min="13" max="13" width="14.28515625" style="8" hidden="1" customWidth="1"/>
    <col min="14" max="14" width="4" style="8" hidden="1" customWidth="1"/>
    <col min="15" max="15" width="34.85546875" style="8" hidden="1" customWidth="1"/>
    <col min="16" max="16" width="52.42578125" style="8" hidden="1" customWidth="1"/>
    <col min="17" max="17" width="23.140625" style="8" hidden="1" customWidth="1"/>
    <col min="18" max="16384" width="9.140625" style="8"/>
  </cols>
  <sheetData>
    <row r="2" spans="2:17" ht="18.75" customHeight="1">
      <c r="B2" s="110" t="s">
        <v>65</v>
      </c>
      <c r="L2" s="109"/>
      <c r="M2" s="109"/>
    </row>
    <row r="3" spans="2:17" ht="16.5" customHeight="1">
      <c r="L3" s="23" t="s">
        <v>176</v>
      </c>
      <c r="M3" s="23" t="s">
        <v>34</v>
      </c>
      <c r="O3" s="435" t="str">
        <f>IF($C$15="Yes",VLOOKUP($C$8,$L$3:$M$8,2,FALSE)&amp;"_Rail",IF($C$16="Yes","Ferry",IF($C$17="Yes","BRT_LRT",IF($C$18="Yes",VLOOKUP($C$8,$L$3:$M$8,2,FALSE)&amp;"_Bus",""))))</f>
        <v/>
      </c>
    </row>
    <row r="4" spans="2:17" ht="15.75">
      <c r="B4" s="422" t="s">
        <v>181</v>
      </c>
      <c r="C4" s="132"/>
      <c r="D4" s="132"/>
      <c r="E4" s="132"/>
      <c r="F4" s="132"/>
      <c r="G4" s="132"/>
      <c r="L4" s="23" t="s">
        <v>177</v>
      </c>
      <c r="M4" s="23" t="s">
        <v>35</v>
      </c>
    </row>
    <row r="5" spans="2:17" ht="15.75">
      <c r="B5" s="111"/>
      <c r="L5" s="23" t="s">
        <v>178</v>
      </c>
      <c r="M5" s="23" t="s">
        <v>283</v>
      </c>
    </row>
    <row r="6" spans="2:17" ht="15.75">
      <c r="B6" s="138" t="s">
        <v>128</v>
      </c>
      <c r="C6" s="530"/>
      <c r="D6" s="545"/>
      <c r="L6" s="23" t="s">
        <v>179</v>
      </c>
      <c r="M6" s="23" t="s">
        <v>284</v>
      </c>
    </row>
    <row r="7" spans="2:17" ht="15.75">
      <c r="B7" s="111"/>
      <c r="L7" s="23" t="s">
        <v>180</v>
      </c>
      <c r="M7" s="23" t="s">
        <v>285</v>
      </c>
    </row>
    <row r="8" spans="2:17" ht="15.75">
      <c r="B8" s="138" t="s">
        <v>64</v>
      </c>
      <c r="C8" s="449"/>
      <c r="L8" s="23" t="s">
        <v>116</v>
      </c>
      <c r="M8" s="23" t="s">
        <v>116</v>
      </c>
    </row>
    <row r="9" spans="2:17" ht="15.75">
      <c r="B9" s="111"/>
    </row>
    <row r="10" spans="2:17" ht="15.75">
      <c r="B10" s="111" t="s">
        <v>182</v>
      </c>
      <c r="O10" s="109"/>
      <c r="P10" s="109"/>
    </row>
    <row r="11" spans="2:17" ht="16.5">
      <c r="B11" s="418" t="s">
        <v>430</v>
      </c>
      <c r="D11" s="1"/>
      <c r="O11" s="23" t="s">
        <v>405</v>
      </c>
      <c r="P11" s="109" t="s">
        <v>403</v>
      </c>
      <c r="Q11" s="516" t="s">
        <v>622</v>
      </c>
    </row>
    <row r="12" spans="2:17" ht="76.5" customHeight="1">
      <c r="B12" s="289" t="s">
        <v>398</v>
      </c>
      <c r="C12" s="450"/>
      <c r="D12" s="546" t="str">
        <f>IFERROR(VLOOKUP(C12,$O$10:$P$22,2,FALSE),"")</f>
        <v/>
      </c>
      <c r="E12" s="547"/>
      <c r="O12" s="109" t="s">
        <v>406</v>
      </c>
      <c r="P12" s="109" t="s">
        <v>404</v>
      </c>
      <c r="Q12" s="516" t="s">
        <v>614</v>
      </c>
    </row>
    <row r="13" spans="2:17" ht="16.5">
      <c r="B13" s="111"/>
      <c r="C13" s="108"/>
      <c r="O13" s="109" t="s">
        <v>407</v>
      </c>
      <c r="P13" s="109" t="s">
        <v>408</v>
      </c>
      <c r="Q13" s="516" t="s">
        <v>616</v>
      </c>
    </row>
    <row r="14" spans="2:17" ht="16.5">
      <c r="B14" s="418" t="s">
        <v>340</v>
      </c>
      <c r="O14" s="109" t="s">
        <v>409</v>
      </c>
      <c r="P14" s="109" t="s">
        <v>410</v>
      </c>
      <c r="Q14" s="516" t="s">
        <v>616</v>
      </c>
    </row>
    <row r="15" spans="2:17" ht="16.5">
      <c r="B15" s="138" t="s">
        <v>183</v>
      </c>
      <c r="C15" s="449"/>
      <c r="L15" s="23" t="s">
        <v>45</v>
      </c>
      <c r="O15" s="109" t="s">
        <v>411</v>
      </c>
      <c r="P15" s="109" t="s">
        <v>412</v>
      </c>
      <c r="Q15" s="516" t="s">
        <v>620</v>
      </c>
    </row>
    <row r="16" spans="2:17" ht="16.5">
      <c r="B16" s="138" t="s">
        <v>184</v>
      </c>
      <c r="C16" s="449"/>
      <c r="L16" s="23" t="s">
        <v>46</v>
      </c>
      <c r="O16" s="109" t="s">
        <v>413</v>
      </c>
      <c r="P16" s="109" t="s">
        <v>420</v>
      </c>
      <c r="Q16" s="516" t="s">
        <v>616</v>
      </c>
    </row>
    <row r="17" spans="2:17" ht="16.5">
      <c r="B17" s="138" t="s">
        <v>195</v>
      </c>
      <c r="C17" s="449"/>
      <c r="L17" s="15"/>
      <c r="O17" s="109" t="s">
        <v>414</v>
      </c>
      <c r="P17" s="109" t="s">
        <v>421</v>
      </c>
      <c r="Q17" s="516" t="s">
        <v>616</v>
      </c>
    </row>
    <row r="18" spans="2:17" ht="16.5">
      <c r="B18" s="138" t="s">
        <v>185</v>
      </c>
      <c r="C18" s="449"/>
      <c r="O18" s="109" t="s">
        <v>415</v>
      </c>
      <c r="P18" s="23" t="s">
        <v>422</v>
      </c>
      <c r="Q18" s="516" t="s">
        <v>618</v>
      </c>
    </row>
    <row r="19" spans="2:17" ht="16.5">
      <c r="B19" s="111"/>
      <c r="O19" s="109" t="s">
        <v>416</v>
      </c>
      <c r="P19" s="109" t="s">
        <v>423</v>
      </c>
      <c r="Q19" s="516" t="s">
        <v>616</v>
      </c>
    </row>
    <row r="20" spans="2:17" ht="16.5">
      <c r="B20" s="423" t="s">
        <v>578</v>
      </c>
      <c r="C20" s="132"/>
      <c r="D20" s="132"/>
      <c r="E20" s="132"/>
      <c r="F20" s="132"/>
      <c r="G20" s="132"/>
      <c r="O20" s="109" t="s">
        <v>417</v>
      </c>
      <c r="P20" s="109" t="s">
        <v>424</v>
      </c>
      <c r="Q20" s="516" t="s">
        <v>618</v>
      </c>
    </row>
    <row r="21" spans="2:17" ht="16.5">
      <c r="B21" s="117" t="s">
        <v>527</v>
      </c>
      <c r="O21" s="109" t="s">
        <v>418</v>
      </c>
      <c r="P21" s="109" t="s">
        <v>425</v>
      </c>
      <c r="Q21" s="516" t="s">
        <v>622</v>
      </c>
    </row>
    <row r="22" spans="2:17" ht="16.5">
      <c r="B22" s="117"/>
      <c r="O22" s="109" t="s">
        <v>419</v>
      </c>
      <c r="P22" s="109" t="s">
        <v>426</v>
      </c>
      <c r="Q22" s="516" t="s">
        <v>620</v>
      </c>
    </row>
    <row r="23" spans="2:17" ht="15.75">
      <c r="B23" s="486" t="s">
        <v>573</v>
      </c>
      <c r="C23" s="485"/>
      <c r="D23" s="487" t="s">
        <v>572</v>
      </c>
      <c r="E23" s="485"/>
    </row>
    <row r="24" spans="2:17" ht="15.75">
      <c r="B24" s="484"/>
      <c r="L24" s="23" t="s">
        <v>580</v>
      </c>
      <c r="M24" s="327">
        <f>(E23-C23)*24</f>
        <v>0</v>
      </c>
    </row>
    <row r="25" spans="2:17" ht="15.75">
      <c r="C25" s="138" t="s">
        <v>62</v>
      </c>
      <c r="D25" s="138" t="s">
        <v>63</v>
      </c>
      <c r="E25" s="138" t="s">
        <v>11</v>
      </c>
      <c r="L25" s="23" t="s">
        <v>581</v>
      </c>
      <c r="M25" s="327">
        <f>(E31-C31)*24</f>
        <v>0</v>
      </c>
    </row>
    <row r="26" spans="2:17" ht="15.75">
      <c r="B26" s="138" t="s">
        <v>183</v>
      </c>
      <c r="C26" s="451"/>
      <c r="D26" s="451"/>
      <c r="E26" s="353">
        <f>SUM(C26:D26)</f>
        <v>0</v>
      </c>
    </row>
    <row r="27" spans="2:17" ht="15.75">
      <c r="B27" s="138" t="s">
        <v>184</v>
      </c>
      <c r="C27" s="451"/>
      <c r="D27" s="451"/>
      <c r="E27" s="353">
        <f t="shared" ref="E27:E29" si="0">SUM(C27:D27)</f>
        <v>0</v>
      </c>
      <c r="L27" s="144" t="s">
        <v>632</v>
      </c>
      <c r="M27" s="113">
        <f>SUM(C26:C29)+SUM(D34:D37)+(SUM(E44:E47)/2)</f>
        <v>0</v>
      </c>
    </row>
    <row r="28" spans="2:17" ht="15.75">
      <c r="B28" s="138" t="s">
        <v>195</v>
      </c>
      <c r="C28" s="451"/>
      <c r="D28" s="451"/>
      <c r="E28" s="353">
        <f t="shared" si="0"/>
        <v>0</v>
      </c>
      <c r="L28" s="23" t="s">
        <v>633</v>
      </c>
      <c r="M28" s="113">
        <f>SUM(D26:D29)+SUM(C34:C37)+(SUM(E44:E47)/2)</f>
        <v>0</v>
      </c>
    </row>
    <row r="29" spans="2:17" ht="15.75">
      <c r="B29" s="138" t="s">
        <v>185</v>
      </c>
      <c r="C29" s="451"/>
      <c r="D29" s="451"/>
      <c r="E29" s="353">
        <f t="shared" si="0"/>
        <v>0</v>
      </c>
    </row>
    <row r="30" spans="2:17">
      <c r="B30" s="117"/>
      <c r="L30" s="15"/>
      <c r="M30" s="108"/>
    </row>
    <row r="31" spans="2:17" ht="15.75">
      <c r="B31" s="486" t="s">
        <v>574</v>
      </c>
      <c r="C31" s="485"/>
      <c r="D31" s="487" t="s">
        <v>572</v>
      </c>
      <c r="E31" s="485"/>
      <c r="L31" s="15"/>
      <c r="M31" s="108"/>
    </row>
    <row r="32" spans="2:17">
      <c r="H32" s="112"/>
      <c r="L32" s="15"/>
      <c r="M32" s="108"/>
    </row>
    <row r="33" spans="2:13" ht="15.75">
      <c r="C33" s="138" t="s">
        <v>62</v>
      </c>
      <c r="D33" s="138" t="s">
        <v>63</v>
      </c>
      <c r="E33" s="138" t="s">
        <v>11</v>
      </c>
      <c r="H33" s="114"/>
    </row>
    <row r="34" spans="2:13" ht="15.75">
      <c r="B34" s="138" t="s">
        <v>183</v>
      </c>
      <c r="C34" s="451"/>
      <c r="D34" s="451"/>
      <c r="E34" s="353">
        <f>SUM(C34:D34)</f>
        <v>0</v>
      </c>
      <c r="H34" s="114"/>
      <c r="L34" s="15"/>
      <c r="M34" s="129"/>
    </row>
    <row r="35" spans="2:13" ht="15.75">
      <c r="B35" s="138" t="s">
        <v>184</v>
      </c>
      <c r="C35" s="451"/>
      <c r="D35" s="451"/>
      <c r="E35" s="353">
        <f t="shared" ref="E35:E37" si="1">SUM(C35:D35)</f>
        <v>0</v>
      </c>
      <c r="H35" s="114"/>
      <c r="L35" s="15"/>
      <c r="M35" s="129"/>
    </row>
    <row r="36" spans="2:13" ht="15.75">
      <c r="B36" s="138" t="s">
        <v>195</v>
      </c>
      <c r="C36" s="451"/>
      <c r="D36" s="451"/>
      <c r="E36" s="353">
        <f t="shared" si="1"/>
        <v>0</v>
      </c>
      <c r="H36" s="114"/>
      <c r="L36" s="15"/>
      <c r="M36" s="129"/>
    </row>
    <row r="37" spans="2:13" ht="15.75">
      <c r="B37" s="138" t="s">
        <v>185</v>
      </c>
      <c r="C37" s="451"/>
      <c r="D37" s="451"/>
      <c r="E37" s="353">
        <f t="shared" si="1"/>
        <v>0</v>
      </c>
      <c r="H37" s="114"/>
      <c r="L37" s="15"/>
      <c r="M37" s="129"/>
    </row>
    <row r="38" spans="2:13" ht="15.75">
      <c r="H38" s="114"/>
      <c r="L38" s="15"/>
      <c r="M38" s="129"/>
    </row>
    <row r="39" spans="2:13" ht="15.75">
      <c r="B39" s="352" t="s">
        <v>575</v>
      </c>
      <c r="C39" s="353">
        <f>SUM(C26:C29,C34:C37)</f>
        <v>0</v>
      </c>
      <c r="D39" s="353">
        <f>SUM(D26:D29,D34:D37)</f>
        <v>0</v>
      </c>
      <c r="E39" s="353">
        <f>SUM(C39:D39)</f>
        <v>0</v>
      </c>
      <c r="H39" s="114"/>
      <c r="L39" s="15"/>
      <c r="M39" s="129"/>
    </row>
    <row r="40" spans="2:13" ht="15.75">
      <c r="H40" s="114"/>
      <c r="L40" s="15"/>
      <c r="M40" s="129"/>
    </row>
    <row r="41" spans="2:13" ht="15.75">
      <c r="B41" s="422" t="s">
        <v>160</v>
      </c>
      <c r="C41" s="133"/>
      <c r="H41" s="114"/>
      <c r="I41" s="108"/>
      <c r="J41" s="108"/>
    </row>
    <row r="42" spans="2:13" ht="15.75">
      <c r="H42" s="114"/>
      <c r="I42" s="108"/>
      <c r="J42" s="108"/>
    </row>
    <row r="43" spans="2:13" ht="15.75">
      <c r="C43" s="138" t="s">
        <v>62</v>
      </c>
      <c r="D43" s="138" t="s">
        <v>63</v>
      </c>
      <c r="E43" s="138" t="s">
        <v>11</v>
      </c>
      <c r="H43" s="114"/>
      <c r="I43" s="108"/>
      <c r="J43" s="108"/>
    </row>
    <row r="44" spans="2:13" ht="15.75">
      <c r="B44" s="138" t="s">
        <v>183</v>
      </c>
      <c r="C44" s="451"/>
      <c r="D44" s="451"/>
      <c r="E44" s="353">
        <f>SUM(C44:D44)</f>
        <v>0</v>
      </c>
      <c r="H44" s="114"/>
      <c r="I44" s="108"/>
      <c r="J44" s="108"/>
    </row>
    <row r="45" spans="2:13" ht="15.75">
      <c r="B45" s="138" t="s">
        <v>184</v>
      </c>
      <c r="C45" s="451"/>
      <c r="D45" s="451"/>
      <c r="E45" s="353">
        <f t="shared" ref="E45" si="2">SUM(C45:D45)</f>
        <v>0</v>
      </c>
      <c r="H45" s="114"/>
      <c r="I45" s="108"/>
      <c r="J45" s="108"/>
    </row>
    <row r="46" spans="2:13" ht="15.75">
      <c r="B46" s="138" t="s">
        <v>195</v>
      </c>
      <c r="C46" s="451"/>
      <c r="D46" s="451"/>
      <c r="E46" s="353">
        <f t="shared" ref="E46" si="3">SUM(C46:D46)</f>
        <v>0</v>
      </c>
      <c r="H46" s="114"/>
      <c r="I46" s="108"/>
      <c r="J46" s="108"/>
    </row>
    <row r="47" spans="2:13" ht="15.75">
      <c r="B47" s="138" t="s">
        <v>185</v>
      </c>
      <c r="C47" s="451"/>
      <c r="D47" s="451"/>
      <c r="E47" s="353">
        <f t="shared" ref="E47" si="4">SUM(C47:D47)</f>
        <v>0</v>
      </c>
      <c r="H47" s="114"/>
      <c r="I47" s="108"/>
      <c r="J47" s="108"/>
    </row>
    <row r="48" spans="2:13" ht="15.75">
      <c r="B48" s="488"/>
      <c r="C48" s="489"/>
      <c r="D48" s="489"/>
      <c r="E48" s="490"/>
      <c r="H48" s="114"/>
      <c r="I48" s="108"/>
      <c r="J48" s="108"/>
    </row>
    <row r="49" spans="2:12" ht="15.75">
      <c r="B49" s="352" t="s">
        <v>579</v>
      </c>
      <c r="C49" s="353">
        <f>SUM(C26:C29,C34:C37,C44:C47)</f>
        <v>0</v>
      </c>
      <c r="D49" s="353">
        <f>SUM(D26:D29,D34:D37,D44:D47)</f>
        <v>0</v>
      </c>
      <c r="E49" s="353">
        <f>SUM(C49:D49)</f>
        <v>0</v>
      </c>
      <c r="H49" s="115"/>
      <c r="I49" s="108"/>
      <c r="J49" s="108"/>
    </row>
    <row r="50" spans="2:12">
      <c r="B50" s="115"/>
      <c r="D50" s="129"/>
      <c r="E50" s="129"/>
      <c r="H50" s="115"/>
      <c r="I50" s="108"/>
      <c r="J50" s="108"/>
    </row>
    <row r="51" spans="2:12">
      <c r="B51" s="142" t="s">
        <v>303</v>
      </c>
      <c r="C51" s="143"/>
      <c r="D51" s="143"/>
      <c r="E51" s="129"/>
      <c r="H51" s="115"/>
      <c r="I51" s="108"/>
      <c r="J51" s="108"/>
    </row>
    <row r="52" spans="2:12">
      <c r="B52" s="491"/>
      <c r="C52" s="129"/>
      <c r="D52" s="129"/>
      <c r="E52" s="129"/>
      <c r="H52" s="115"/>
      <c r="I52" s="108"/>
      <c r="J52" s="108"/>
    </row>
    <row r="53" spans="2:12" ht="15.75">
      <c r="B53" s="199" t="s">
        <v>576</v>
      </c>
      <c r="C53" s="451"/>
      <c r="F53" s="129"/>
      <c r="H53" s="115"/>
      <c r="I53" s="108"/>
      <c r="J53" s="108"/>
    </row>
    <row r="54" spans="2:12" ht="15.75">
      <c r="B54" s="492" t="s">
        <v>577</v>
      </c>
      <c r="C54" s="451"/>
      <c r="D54" s="129"/>
      <c r="H54" s="115"/>
      <c r="I54" s="108"/>
      <c r="J54" s="108"/>
    </row>
    <row r="55" spans="2:12" ht="15.75">
      <c r="B55" s="492" t="s">
        <v>160</v>
      </c>
      <c r="C55" s="451"/>
      <c r="D55" s="129"/>
      <c r="I55" s="108"/>
      <c r="J55" s="108"/>
    </row>
    <row r="56" spans="2:12">
      <c r="I56" s="108"/>
      <c r="J56" s="108"/>
    </row>
    <row r="57" spans="2:12" ht="15.75">
      <c r="B57" s="423" t="s">
        <v>55</v>
      </c>
      <c r="C57" s="134"/>
      <c r="D57" s="134"/>
      <c r="E57" s="132"/>
      <c r="F57" s="132"/>
      <c r="G57" s="132"/>
      <c r="I57" s="108"/>
      <c r="J57" s="108"/>
    </row>
    <row r="59" spans="2:12">
      <c r="B59" s="421" t="s">
        <v>301</v>
      </c>
    </row>
    <row r="60" spans="2:12">
      <c r="B60" s="421" t="s">
        <v>428</v>
      </c>
    </row>
    <row r="61" spans="2:12">
      <c r="B61" s="421" t="s">
        <v>429</v>
      </c>
    </row>
    <row r="62" spans="2:12">
      <c r="B62" s="222" t="s">
        <v>399</v>
      </c>
      <c r="C62" s="449"/>
    </row>
    <row r="63" spans="2:12">
      <c r="B63" s="419"/>
      <c r="C63" s="108"/>
      <c r="L63" s="23" t="s">
        <v>279</v>
      </c>
    </row>
    <row r="64" spans="2:12">
      <c r="B64" s="421" t="s">
        <v>528</v>
      </c>
      <c r="L64" s="23" t="s">
        <v>278</v>
      </c>
    </row>
    <row r="65" spans="2:12" ht="30">
      <c r="B65" s="188" t="s">
        <v>281</v>
      </c>
      <c r="C65" s="190" t="s">
        <v>631</v>
      </c>
      <c r="D65" s="190" t="s">
        <v>280</v>
      </c>
      <c r="L65" s="23" t="s">
        <v>400</v>
      </c>
    </row>
    <row r="66" spans="2:12">
      <c r="B66" s="141" t="s">
        <v>42</v>
      </c>
      <c r="C66" s="452"/>
      <c r="D66" s="453"/>
    </row>
    <row r="67" spans="2:12">
      <c r="B67" s="141" t="s">
        <v>40</v>
      </c>
      <c r="C67" s="452"/>
      <c r="D67" s="452"/>
    </row>
    <row r="68" spans="2:12">
      <c r="B68" s="199" t="s">
        <v>197</v>
      </c>
      <c r="C68" s="218">
        <f>IF(SUM($C$53:$C$55)=0,0,(SUM($C$53:$C$55)/2)/$M$27)</f>
        <v>0</v>
      </c>
      <c r="D68" s="218">
        <f>IF(SUM($C$53:$C$55)=0,0,(SUM($C$53:$C$55)/2)/$M$28)</f>
        <v>0</v>
      </c>
    </row>
    <row r="69" spans="2:12">
      <c r="B69" s="141" t="s">
        <v>157</v>
      </c>
      <c r="C69" s="452"/>
      <c r="D69" s="452"/>
    </row>
    <row r="70" spans="2:12">
      <c r="B70" s="141" t="s">
        <v>158</v>
      </c>
      <c r="C70" s="452"/>
      <c r="D70" s="452"/>
    </row>
    <row r="71" spans="2:12">
      <c r="B71" s="141" t="s">
        <v>25</v>
      </c>
      <c r="C71" s="452"/>
      <c r="D71" s="452"/>
    </row>
    <row r="72" spans="2:12">
      <c r="B72" s="199" t="s">
        <v>11</v>
      </c>
      <c r="C72" s="217">
        <f>SUM(C66:C71)</f>
        <v>0</v>
      </c>
      <c r="D72" s="217">
        <f>SUM(D66:D71)</f>
        <v>0</v>
      </c>
      <c r="G72" s="108"/>
    </row>
    <row r="73" spans="2:12">
      <c r="G73" s="108"/>
      <c r="H73" s="112"/>
    </row>
    <row r="74" spans="2:12" ht="30">
      <c r="B74" s="188" t="s">
        <v>282</v>
      </c>
      <c r="C74" s="190" t="s">
        <v>631</v>
      </c>
      <c r="D74" s="190" t="s">
        <v>280</v>
      </c>
      <c r="G74" s="108"/>
      <c r="H74" s="25"/>
    </row>
    <row r="75" spans="2:12">
      <c r="B75" s="141" t="s">
        <v>42</v>
      </c>
      <c r="C75" s="218" t="b">
        <f>IF($C$62="Local data (manual entry)",C66,IF($C$62="Regional average",VLOOKUP($O$3,Catchments!$B$23:$N$39,4,FALSE)*(1-$C$77),IF($C$62="Station typology",AVERAGE(VLOOKUP($O$3,Catchments!$B$23:$N$39,4,FALSE),VLOOKUP($C$12,Catchments!$B$5:$N$16,4,FALSE))*(1-$C$77))))</f>
        <v>0</v>
      </c>
      <c r="D75" s="218" t="b">
        <f>IF($C$62="Local data (manual entry)",D66,IF($C$62="Regional average",VLOOKUP($O$3,Catchments!$B$23:$N$39,9,FALSE)*(1-$D$77),IF($C$62="Station typology",AVERAGE(VLOOKUP($O$3,Catchments!$B$23:$N$39,9,FALSE),VLOOKUP($C$12,Catchments!$B$5:$N$16,9,FALSE))*(1-$D$77))))</f>
        <v>0</v>
      </c>
      <c r="G75" s="108"/>
      <c r="H75" s="108"/>
    </row>
    <row r="76" spans="2:12">
      <c r="B76" s="141" t="s">
        <v>40</v>
      </c>
      <c r="C76" s="218" t="b">
        <f>IF($C$62="Local data (manual entry)",C67,IF($C$62="Regional average",VLOOKUP($O$3,Catchments!$B$23:$N$39,5,FALSE)*(1-$C$77),IF($C$62="Station typology",AVERAGE(VLOOKUP($O$3,Catchments!$B$23:$N$39,5,FALSE),VLOOKUP($C$12,Catchments!$B$5:$N$16,5,FALSE))*(1-$C$77))))</f>
        <v>0</v>
      </c>
      <c r="D76" s="218" t="b">
        <f>IF($C$62="Local data (manual entry)",D67,IF($C$62="Regional average",VLOOKUP($O$3,Catchments!$B$23:$N$39,10,FALSE)*(1-$D$77),IF($C$62="Station typology",AVERAGE(VLOOKUP($O$3,Catchments!$B$23:$N$39,10,FALSE),VLOOKUP($C$12,Catchments!$B$5:$N$16,10,FALSE))*(1-$D$77))))</f>
        <v>0</v>
      </c>
      <c r="G76" s="108"/>
      <c r="H76" s="108"/>
    </row>
    <row r="77" spans="2:12">
      <c r="B77" s="199" t="s">
        <v>197</v>
      </c>
      <c r="C77" s="218">
        <f>IF(SUM($C$53:$C$55)=0,0,(SUM($C$53:$C$55)/2)/$M$27)</f>
        <v>0</v>
      </c>
      <c r="D77" s="218">
        <f>IF(SUM($C$53:$C$55)=0,0,(SUM($C$53:$C$55)/2)/$M$28)</f>
        <v>0</v>
      </c>
      <c r="G77" s="108"/>
      <c r="H77" s="108"/>
    </row>
    <row r="78" spans="2:12">
      <c r="B78" s="141" t="s">
        <v>157</v>
      </c>
      <c r="C78" s="218" t="b">
        <f>IF($C$62="Local data (manual entry)",C69,IF($C$62="Regional average",VLOOKUP($O$3,Catchments!$B$23:$N$39,6,FALSE)*(1-$C$77),IF($C$62="Station typology",AVERAGE(VLOOKUP($O$3,Catchments!$B$23:$N$39,6,FALSE),VLOOKUP($C$12,Catchments!$B$5:$N$16,6,FALSE))*(1-$C$77))))</f>
        <v>0</v>
      </c>
      <c r="D78" s="218" t="b">
        <f>IF($C$62="Local data (manual entry)",D69,IF($C$62="Regional average",VLOOKUP($O$3,Catchments!$B$23:$N$39,11,FALSE)*(1-$D$77),IF($C$62="Station typology",AVERAGE(VLOOKUP($O$3,Catchments!$B$23:$N$39,11,FALSE),VLOOKUP($C$12,Catchments!$B$5:$N$16,11,FALSE))*(1-$D$77))))</f>
        <v>0</v>
      </c>
      <c r="G78" s="108"/>
      <c r="H78" s="108"/>
    </row>
    <row r="79" spans="2:12">
      <c r="B79" s="141" t="s">
        <v>158</v>
      </c>
      <c r="C79" s="218" t="b">
        <f>IF($C$62="Local data (manual entry)",C70,IF($C$62="Regional average",VLOOKUP($O$3,Catchments!$B$23:$N$39,7,FALSE)*(1-$C$77),IF($C$62="Station typology",AVERAGE(VLOOKUP($O$3,Catchments!$B$23:$N$39,7,FALSE),VLOOKUP($C$12,Catchments!$B$5:$N$16,7,FALSE))*(1-$C$77))))</f>
        <v>0</v>
      </c>
      <c r="D79" s="218" t="b">
        <f>IF($C$62="Local data (manual entry)",D70,IF($C$62="Regional average",VLOOKUP($O$3,Catchments!$B$23:$N$39,12,FALSE)*(1-$D$77),IF($C$62="Station typology",AVERAGE(VLOOKUP($O$3,Catchments!$B$23:$N$39,12,FALSE),VLOOKUP($C$12,Catchments!$B$5:$N$16,12,FALSE))*(1-$D$77))))</f>
        <v>0</v>
      </c>
      <c r="G79" s="108"/>
      <c r="H79" s="108"/>
    </row>
    <row r="80" spans="2:12">
      <c r="B80" s="141" t="s">
        <v>25</v>
      </c>
      <c r="C80" s="218" t="b">
        <f>IF($C$62="Local data (manual entry)",C71,IF($C$62="Regional average",VLOOKUP($O$3,Catchments!$B$23:$N$39,8,FALSE)*(1-$C$77),IF($C$62="Station typology",AVERAGE(VLOOKUP($O$3,Catchments!$B$23:$N$39,8,FALSE),0)*(1-$C$77))))</f>
        <v>0</v>
      </c>
      <c r="D80" s="218" t="b">
        <f>IF($C$62="Local data (manual entry)",D71,IF($C$62="Regional average",VLOOKUP($O$3,Catchments!$B$23:$N$39,13,FALSE)*(1-$D$77),IF($C$62="Station typology",AVERAGE(VLOOKUP($O$3,Catchments!$B$23:$N$39,13,FALSE),0)*(1-$D$77))))</f>
        <v>0</v>
      </c>
      <c r="G80" s="108"/>
      <c r="H80" s="15"/>
    </row>
    <row r="81" spans="2:8">
      <c r="B81" s="199" t="s">
        <v>11</v>
      </c>
      <c r="C81" s="217">
        <f>SUM(C75:C80)</f>
        <v>0</v>
      </c>
      <c r="D81" s="217">
        <f>SUM(D75:D80)</f>
        <v>0</v>
      </c>
      <c r="H81" s="108"/>
    </row>
  </sheetData>
  <sheetProtection password="EA07" sheet="1" objects="1" scenarios="1"/>
  <mergeCells count="2">
    <mergeCell ref="C6:D6"/>
    <mergeCell ref="D12:E12"/>
  </mergeCells>
  <conditionalFormatting sqref="C81:D81 C72:D72">
    <cfRule type="cellIs" dxfId="39" priority="11" operator="notBetween">
      <formula>99.5%</formula>
      <formula>100.5%</formula>
    </cfRule>
  </conditionalFormatting>
  <conditionalFormatting sqref="C66:D67 C69:D71">
    <cfRule type="expression" dxfId="38" priority="6">
      <formula>$C$62="Station typology"</formula>
    </cfRule>
    <cfRule type="expression" dxfId="37" priority="7">
      <formula>$C$62="Regional average"</formula>
    </cfRule>
  </conditionalFormatting>
  <conditionalFormatting sqref="C72:D72">
    <cfRule type="expression" dxfId="36" priority="5">
      <formula>C$68=SUM(C$66:C$71)</formula>
    </cfRule>
  </conditionalFormatting>
  <conditionalFormatting sqref="C26:E26 C34:E34 C44:E44">
    <cfRule type="expression" dxfId="35" priority="4">
      <formula>$C$15="No"</formula>
    </cfRule>
  </conditionalFormatting>
  <conditionalFormatting sqref="C27:E27 C35:E35 C45:E45">
    <cfRule type="expression" dxfId="34" priority="3">
      <formula>$C$16="No"</formula>
    </cfRule>
  </conditionalFormatting>
  <conditionalFormatting sqref="C28:E28 C36:E36 C46:E46">
    <cfRule type="expression" dxfId="33" priority="2">
      <formula>$C$17="No"</formula>
    </cfRule>
  </conditionalFormatting>
  <conditionalFormatting sqref="C29:E29 C37:E37 C47:E47">
    <cfRule type="expression" dxfId="32" priority="1">
      <formula>$C$18="No"</formula>
    </cfRule>
  </conditionalFormatting>
  <dataValidations count="4">
    <dataValidation type="list" allowBlank="1" showInputMessage="1" showErrorMessage="1" sqref="C62:C63">
      <formula1>$L$63:$L$65</formula1>
    </dataValidation>
    <dataValidation type="list" allowBlank="1" showInputMessage="1" showErrorMessage="1" sqref="C8">
      <formula1>$L$2:$L$8</formula1>
    </dataValidation>
    <dataValidation type="list" allowBlank="1" showInputMessage="1" showErrorMessage="1" sqref="C15:C18">
      <formula1>$L$15:$L$16</formula1>
    </dataValidation>
    <dataValidation type="list" allowBlank="1" showInputMessage="1" showErrorMessage="1" sqref="C12">
      <formula1>$O$10:$O$22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3"/>
  </sheetPr>
  <dimension ref="B2:T36"/>
  <sheetViews>
    <sheetView zoomScaleNormal="100" workbookViewId="0">
      <selection activeCell="D17" sqref="D17"/>
    </sheetView>
  </sheetViews>
  <sheetFormatPr defaultColWidth="9.140625" defaultRowHeight="15"/>
  <cols>
    <col min="1" max="1" width="9.140625" style="1"/>
    <col min="2" max="2" width="62" style="1" customWidth="1"/>
    <col min="3" max="3" width="10.42578125" style="1" customWidth="1"/>
    <col min="4" max="4" width="14.28515625" style="1" customWidth="1"/>
    <col min="5" max="5" width="20.85546875" style="1" customWidth="1"/>
    <col min="6" max="7" width="16.85546875" style="1" customWidth="1"/>
    <col min="8" max="8" width="22.5703125" style="1" customWidth="1"/>
    <col min="9" max="9" width="18.7109375" style="1" customWidth="1"/>
    <col min="10" max="10" width="20.42578125" style="1" customWidth="1"/>
    <col min="11" max="12" width="9.140625" style="1"/>
    <col min="13" max="13" width="26.42578125" style="1" customWidth="1"/>
    <col min="14" max="14" width="18.140625" style="1" customWidth="1"/>
    <col min="15" max="16384" width="9.140625" style="1"/>
  </cols>
  <sheetData>
    <row r="2" spans="2:13">
      <c r="B2" s="110" t="s">
        <v>585</v>
      </c>
    </row>
    <row r="4" spans="2:13">
      <c r="B4" s="34" t="s">
        <v>586</v>
      </c>
    </row>
    <row r="5" spans="2:13">
      <c r="B5" s="34"/>
    </row>
    <row r="7" spans="2:13">
      <c r="B7" s="222" t="s">
        <v>308</v>
      </c>
      <c r="C7" s="224">
        <f>'Station parameters'!$E$49</f>
        <v>0</v>
      </c>
    </row>
    <row r="8" spans="2:13">
      <c r="B8" s="34" t="s">
        <v>584</v>
      </c>
    </row>
    <row r="9" spans="2:13" ht="15.75">
      <c r="B9" s="138" t="s">
        <v>173</v>
      </c>
      <c r="C9" s="494" t="e">
        <f>IF('Station parameters'!$C15="No",0,SUM('Station parameters'!$E26,'Station parameters'!$E34,'Station parameters'!$E44)/'Route capacity parameters'!$C$7)</f>
        <v>#DIV/0!</v>
      </c>
      <c r="M9" s="23">
        <f>'Station parameters'!C15</f>
        <v>0</v>
      </c>
    </row>
    <row r="10" spans="2:13" ht="15.75">
      <c r="B10" s="138" t="s">
        <v>94</v>
      </c>
      <c r="C10" s="494" t="e">
        <f>IF('Station parameters'!$C16="No",0,SUM('Station parameters'!$E27,'Station parameters'!$E35,'Station parameters'!$E45)/'Route capacity parameters'!$C$7)</f>
        <v>#DIV/0!</v>
      </c>
      <c r="M10" s="23">
        <f>'Station parameters'!C16</f>
        <v>0</v>
      </c>
    </row>
    <row r="11" spans="2:13" ht="15.75">
      <c r="B11" s="138" t="s">
        <v>311</v>
      </c>
      <c r="C11" s="494" t="e">
        <f>IF('Station parameters'!$C17="No",0,SUM('Station parameters'!$E28,'Station parameters'!$E36,'Station parameters'!$E46)/'Route capacity parameters'!$C$7)</f>
        <v>#DIV/0!</v>
      </c>
      <c r="M11" s="23">
        <f>'Station parameters'!C17</f>
        <v>0</v>
      </c>
    </row>
    <row r="12" spans="2:13" ht="15.75">
      <c r="B12" s="138" t="s">
        <v>53</v>
      </c>
      <c r="C12" s="494" t="e">
        <f>IF('Station parameters'!$C18="No",0,SUM('Station parameters'!$E29,'Station parameters'!$E37,'Station parameters'!$E47)/'Route capacity parameters'!$C$7)</f>
        <v>#DIV/0!</v>
      </c>
      <c r="M12" s="23">
        <f>'Station parameters'!C18</f>
        <v>0</v>
      </c>
    </row>
    <row r="13" spans="2:13">
      <c r="C13" s="493"/>
    </row>
    <row r="14" spans="2:13">
      <c r="B14" s="34" t="s">
        <v>587</v>
      </c>
    </row>
    <row r="15" spans="2:13" ht="30">
      <c r="G15" s="548" t="s">
        <v>656</v>
      </c>
      <c r="H15" s="364" t="s">
        <v>506</v>
      </c>
      <c r="I15" s="365"/>
      <c r="J15" s="374" t="s">
        <v>507</v>
      </c>
    </row>
    <row r="16" spans="2:13" s="27" customFormat="1" ht="45">
      <c r="B16" s="225" t="s">
        <v>304</v>
      </c>
      <c r="C16" s="226" t="s">
        <v>305</v>
      </c>
      <c r="D16" s="225" t="s">
        <v>307</v>
      </c>
      <c r="E16" s="225" t="s">
        <v>508</v>
      </c>
      <c r="F16" s="226" t="s">
        <v>306</v>
      </c>
      <c r="G16" s="549"/>
      <c r="H16" s="225" t="s">
        <v>505</v>
      </c>
      <c r="I16" s="225" t="s">
        <v>504</v>
      </c>
      <c r="J16" s="225" t="s">
        <v>514</v>
      </c>
      <c r="M16" s="223"/>
    </row>
    <row r="17" spans="2:20">
      <c r="B17" s="454"/>
      <c r="C17" s="454"/>
      <c r="D17" s="454"/>
      <c r="E17" s="454"/>
      <c r="F17" s="455"/>
      <c r="G17" s="367" t="str">
        <f>IF(B17="","",IF('Route capacity parameters'!D17="Dep",IF(E17=$M$27,VLOOKUP(C17,$M$21:$T$24,3,FALSE),IF(E17=$M$28,VLOOKUP(C17,$M$21:$T$24,5,FALSE),VLOOKUP(C17,$M$21:$T$24,7,FALSE))),IF('Route capacity parameters'!D17="Arr",IF(E17=$M$27,VLOOKUP(C17,$M$21:$T$24,4,FALSE),IF(E17=$M$28,VLOOKUP(C17,$M$21:$T$24,6,FALSE),VLOOKUP(C17,$M$21:$T$24,8,FALSE))),0)))</f>
        <v/>
      </c>
      <c r="H17" s="456"/>
      <c r="I17" s="456"/>
      <c r="J17" s="390" t="str">
        <f>IF(B17="","",IF(VLOOKUP(C17,'Project details'!$B$34:$D$37,2,FALSE)="Yes",VLOOKUP(C17,'Project details'!$B$34:$D$37,3,FALSE),0))</f>
        <v/>
      </c>
      <c r="M17" s="23" t="s">
        <v>309</v>
      </c>
      <c r="O17" s="44"/>
    </row>
    <row r="18" spans="2:20">
      <c r="B18" s="454"/>
      <c r="C18" s="454"/>
      <c r="D18" s="454"/>
      <c r="E18" s="454"/>
      <c r="F18" s="455"/>
      <c r="G18" s="367" t="str">
        <f>IF(B18="","",IF('Route capacity parameters'!D18="Dep",IF(E18=$M$27,VLOOKUP(C18,$M$21:$T$24,3,FALSE),IF(E18=$M$28,VLOOKUP(C18,$M$21:$T$24,5,FALSE),VLOOKUP(C18,$M$21:$T$24,7,FALSE))),IF('Route capacity parameters'!D18="Arr",IF(E18=$M$27,VLOOKUP(C18,$M$21:$T$24,4,FALSE),IF(E18=$M$28,VLOOKUP(C18,$M$21:$T$24,6,FALSE),VLOOKUP(C18,$M$21:$T$24,8,FALSE))),0)))</f>
        <v/>
      </c>
      <c r="H18" s="456"/>
      <c r="I18" s="456"/>
      <c r="J18" s="390" t="str">
        <f>IF(B18="","",IF(VLOOKUP(C18,'Project details'!$B$34:$D$37,2,FALSE)="Yes",VLOOKUP(C18,'Project details'!$B$34:$D$37,3,FALSE),0))</f>
        <v/>
      </c>
      <c r="M18" s="23" t="s">
        <v>310</v>
      </c>
      <c r="O18" s="366"/>
    </row>
    <row r="19" spans="2:20">
      <c r="B19" s="454"/>
      <c r="C19" s="454"/>
      <c r="D19" s="454"/>
      <c r="E19" s="454"/>
      <c r="F19" s="455"/>
      <c r="G19" s="367" t="str">
        <f>IF(B19="","",IF('Route capacity parameters'!D19="Dep",IF(E19=$M$27,VLOOKUP(C19,$M$21:$T$24,3,FALSE),IF(E19=$M$28,VLOOKUP(C19,$M$21:$T$24,5,FALSE),VLOOKUP(C19,$M$21:$T$24,7,FALSE))),IF('Route capacity parameters'!D19="Arr",IF(E19=$M$27,VLOOKUP(C19,$M$21:$T$24,4,FALSE),IF(E19=$M$28,VLOOKUP(C19,$M$21:$T$24,6,FALSE),VLOOKUP(C19,$M$21:$T$24,8,FALSE))),0)))</f>
        <v/>
      </c>
      <c r="H19" s="456"/>
      <c r="I19" s="456"/>
      <c r="J19" s="390" t="str">
        <f>IF(B19="","",IF(VLOOKUP(C19,'Project details'!$B$34:$D$37,2,FALSE)="Yes",VLOOKUP(C19,'Project details'!$B$34:$D$37,3,FALSE),0))</f>
        <v/>
      </c>
      <c r="O19" s="1" t="s">
        <v>576</v>
      </c>
      <c r="Q19" s="1" t="s">
        <v>577</v>
      </c>
      <c r="S19" s="1" t="s">
        <v>331</v>
      </c>
    </row>
    <row r="20" spans="2:20">
      <c r="B20" s="454"/>
      <c r="C20" s="454"/>
      <c r="D20" s="454"/>
      <c r="E20" s="454"/>
      <c r="F20" s="455"/>
      <c r="G20" s="367" t="str">
        <f>IF(B20="","",IF('Route capacity parameters'!D20="Dep",IF(E20=$M$27,VLOOKUP(C20,$M$21:$T$24,3,FALSE),IF(E20=$M$28,VLOOKUP(C20,$M$21:$T$24,5,FALSE),VLOOKUP(C20,$M$21:$T$24,7,FALSE))),IF('Route capacity parameters'!D20="Arr",IF(E20=$M$27,VLOOKUP(C20,$M$21:$T$24,4,FALSE),IF(E20=$M$28,VLOOKUP(C20,$M$21:$T$24,6,FALSE),VLOOKUP(C20,$M$21:$T$24,8,FALSE))),0)))</f>
        <v/>
      </c>
      <c r="H20" s="456"/>
      <c r="I20" s="456"/>
      <c r="J20" s="390" t="str">
        <f>IF(B20="","",IF(VLOOKUP(C20,'Project details'!$B$34:$D$37,2,FALSE)="Yes",VLOOKUP(C20,'Project details'!$B$34:$D$37,3,FALSE),0))</f>
        <v/>
      </c>
      <c r="M20" s="23"/>
      <c r="O20" s="1" t="s">
        <v>582</v>
      </c>
      <c r="P20" s="1" t="s">
        <v>583</v>
      </c>
      <c r="Q20" s="1" t="s">
        <v>582</v>
      </c>
      <c r="R20" s="1" t="s">
        <v>583</v>
      </c>
      <c r="S20" s="1" t="s">
        <v>582</v>
      </c>
      <c r="T20" s="1" t="s">
        <v>583</v>
      </c>
    </row>
    <row r="21" spans="2:20">
      <c r="B21" s="454"/>
      <c r="C21" s="454"/>
      <c r="D21" s="454"/>
      <c r="E21" s="454"/>
      <c r="F21" s="455"/>
      <c r="G21" s="367" t="str">
        <f>IF(B21="","",IF('Route capacity parameters'!D21="Dep",IF(E21=$M$27,VLOOKUP(C21,$M$21:$T$24,3,FALSE),IF(E21=$M$28,VLOOKUP(C21,$M$21:$T$24,5,FALSE),VLOOKUP(C21,$M$21:$T$24,7,FALSE))),IF('Route capacity parameters'!D21="Arr",IF(E21=$M$27,VLOOKUP(C21,$M$21:$T$24,4,FALSE),IF(E21=$M$28,VLOOKUP(C21,$M$21:$T$24,6,FALSE),VLOOKUP(C21,$M$21:$T$24,8,FALSE))),0)))</f>
        <v/>
      </c>
      <c r="H21" s="456"/>
      <c r="I21" s="456"/>
      <c r="J21" s="390" t="str">
        <f>IF(B21="","",IF(VLOOKUP(C21,'Project details'!$B$34:$D$37,2,FALSE)="Yes",VLOOKUP(C21,'Project details'!$B$34:$D$37,3,FALSE),0))</f>
        <v/>
      </c>
      <c r="M21" s="23" t="s">
        <v>173</v>
      </c>
      <c r="N21" s="23" t="s">
        <v>183</v>
      </c>
      <c r="O21" s="279">
        <f>'Station parameters'!C26</f>
        <v>0</v>
      </c>
      <c r="P21" s="279">
        <f>'Station parameters'!D26</f>
        <v>0</v>
      </c>
      <c r="Q21" s="279">
        <f>'Station parameters'!C34</f>
        <v>0</v>
      </c>
      <c r="R21" s="279">
        <f>'Station parameters'!D34</f>
        <v>0</v>
      </c>
      <c r="S21" s="279">
        <f>'Station parameters'!C44</f>
        <v>0</v>
      </c>
      <c r="T21" s="279">
        <f>'Station parameters'!D44</f>
        <v>0</v>
      </c>
    </row>
    <row r="22" spans="2:20">
      <c r="B22" s="454"/>
      <c r="C22" s="454"/>
      <c r="D22" s="454"/>
      <c r="E22" s="454"/>
      <c r="F22" s="455"/>
      <c r="G22" s="367" t="str">
        <f>IF(B22="","",IF('Route capacity parameters'!D22="Dep",IF(E22=$M$27,VLOOKUP(C22,$M$21:$T$24,3,FALSE),IF(E22=$M$28,VLOOKUP(C22,$M$21:$T$24,5,FALSE),VLOOKUP(C22,$M$21:$T$24,7,FALSE))),IF('Route capacity parameters'!D22="Arr",IF(E22=$M$27,VLOOKUP(C22,$M$21:$T$24,4,FALSE),IF(E22=$M$28,VLOOKUP(C22,$M$21:$T$24,6,FALSE),VLOOKUP(C22,$M$21:$T$24,8,FALSE))),0)))</f>
        <v/>
      </c>
      <c r="H22" s="456"/>
      <c r="I22" s="456"/>
      <c r="J22" s="390" t="str">
        <f>IF(B22="","",IF(VLOOKUP(C22,'Project details'!$B$34:$D$37,2,FALSE)="Yes",VLOOKUP(C22,'Project details'!$B$34:$D$37,3,FALSE),0))</f>
        <v/>
      </c>
      <c r="M22" s="23" t="s">
        <v>94</v>
      </c>
      <c r="N22" s="23" t="s">
        <v>184</v>
      </c>
      <c r="O22" s="279">
        <f>'Station parameters'!C27</f>
        <v>0</v>
      </c>
      <c r="P22" s="279">
        <f>'Station parameters'!D27</f>
        <v>0</v>
      </c>
      <c r="Q22" s="279">
        <f>'Station parameters'!C35</f>
        <v>0</v>
      </c>
      <c r="R22" s="279">
        <f>'Station parameters'!D35</f>
        <v>0</v>
      </c>
      <c r="S22" s="279">
        <f>'Station parameters'!C45</f>
        <v>0</v>
      </c>
      <c r="T22" s="279">
        <f>'Station parameters'!D45</f>
        <v>0</v>
      </c>
    </row>
    <row r="23" spans="2:20">
      <c r="B23" s="454"/>
      <c r="C23" s="454"/>
      <c r="D23" s="454"/>
      <c r="E23" s="454"/>
      <c r="F23" s="455"/>
      <c r="G23" s="367" t="str">
        <f>IF(B23="","",IF('Route capacity parameters'!D23="Dep",IF(E23=$M$27,VLOOKUP(C23,$M$21:$T$24,3,FALSE),IF(E23=$M$28,VLOOKUP(C23,$M$21:$T$24,5,FALSE),VLOOKUP(C23,$M$21:$T$24,7,FALSE))),IF('Route capacity parameters'!D23="Arr",IF(E23=$M$27,VLOOKUP(C23,$M$21:$T$24,4,FALSE),IF(E23=$M$28,VLOOKUP(C23,$M$21:$T$24,6,FALSE),VLOOKUP(C23,$M$21:$T$24,8,FALSE))),0)))</f>
        <v/>
      </c>
      <c r="H23" s="456"/>
      <c r="I23" s="456"/>
      <c r="J23" s="390" t="str">
        <f>IF(B23="","",IF(VLOOKUP(C23,'Project details'!$B$34:$D$37,2,FALSE)="Yes",VLOOKUP(C23,'Project details'!$B$34:$D$37,3,FALSE),0))</f>
        <v/>
      </c>
      <c r="M23" s="23" t="s">
        <v>311</v>
      </c>
      <c r="N23" s="23" t="s">
        <v>195</v>
      </c>
      <c r="O23" s="279">
        <f>'Station parameters'!C28</f>
        <v>0</v>
      </c>
      <c r="P23" s="279">
        <f>'Station parameters'!D28</f>
        <v>0</v>
      </c>
      <c r="Q23" s="279">
        <f>'Station parameters'!C36</f>
        <v>0</v>
      </c>
      <c r="R23" s="279">
        <f>'Station parameters'!D36</f>
        <v>0</v>
      </c>
      <c r="S23" s="279">
        <f>'Station parameters'!C46</f>
        <v>0</v>
      </c>
      <c r="T23" s="279">
        <f>'Station parameters'!D46</f>
        <v>0</v>
      </c>
    </row>
    <row r="24" spans="2:20">
      <c r="B24" s="454"/>
      <c r="C24" s="454"/>
      <c r="D24" s="454"/>
      <c r="E24" s="454"/>
      <c r="F24" s="455"/>
      <c r="G24" s="367" t="str">
        <f>IF(B24="","",IF('Route capacity parameters'!D24="Dep",IF(E24=$M$27,VLOOKUP(C24,$M$21:$T$24,3,FALSE),IF(E24=$M$28,VLOOKUP(C24,$M$21:$T$24,5,FALSE),VLOOKUP(C24,$M$21:$T$24,7,FALSE))),IF('Route capacity parameters'!D24="Arr",IF(E24=$M$27,VLOOKUP(C24,$M$21:$T$24,4,FALSE),IF(E24=$M$28,VLOOKUP(C24,$M$21:$T$24,6,FALSE),VLOOKUP(C24,$M$21:$T$24,8,FALSE))),0)))</f>
        <v/>
      </c>
      <c r="H24" s="456"/>
      <c r="I24" s="456"/>
      <c r="J24" s="390" t="str">
        <f>IF(B24="","",IF(VLOOKUP(C24,'Project details'!$B$34:$D$37,2,FALSE)="Yes",VLOOKUP(C24,'Project details'!$B$34:$D$37,3,FALSE),0))</f>
        <v/>
      </c>
      <c r="M24" s="23" t="s">
        <v>53</v>
      </c>
      <c r="N24" s="23" t="s">
        <v>185</v>
      </c>
      <c r="O24" s="279">
        <f>'Station parameters'!C29</f>
        <v>0</v>
      </c>
      <c r="P24" s="279">
        <f>'Station parameters'!D29</f>
        <v>0</v>
      </c>
      <c r="Q24" s="279">
        <f>'Station parameters'!C37</f>
        <v>0</v>
      </c>
      <c r="R24" s="279">
        <f>'Station parameters'!D37</f>
        <v>0</v>
      </c>
      <c r="S24" s="279">
        <f>'Station parameters'!C47</f>
        <v>0</v>
      </c>
      <c r="T24" s="279">
        <f>'Station parameters'!D47</f>
        <v>0</v>
      </c>
    </row>
    <row r="25" spans="2:20">
      <c r="B25" s="454"/>
      <c r="C25" s="454"/>
      <c r="D25" s="454"/>
      <c r="E25" s="454"/>
      <c r="F25" s="455"/>
      <c r="G25" s="367" t="str">
        <f>IF(B25="","",IF('Route capacity parameters'!D25="Dep",IF(E25=$M$27,VLOOKUP(C25,$M$21:$T$24,3,FALSE),IF(E25=$M$28,VLOOKUP(C25,$M$21:$T$24,5,FALSE),VLOOKUP(C25,$M$21:$T$24,7,FALSE))),IF('Route capacity parameters'!D25="Arr",IF(E25=$M$27,VLOOKUP(C25,$M$21:$T$24,4,FALSE),IF(E25=$M$28,VLOOKUP(C25,$M$21:$T$24,6,FALSE),VLOOKUP(C25,$M$21:$T$24,8,FALSE))),0)))</f>
        <v/>
      </c>
      <c r="H25" s="456"/>
      <c r="I25" s="456"/>
      <c r="J25" s="390" t="str">
        <f>IF(B25="","",IF(VLOOKUP(C25,'Project details'!$B$34:$D$37,2,FALSE)="Yes",VLOOKUP(C25,'Project details'!$B$34:$D$37,3,FALSE),0))</f>
        <v/>
      </c>
    </row>
    <row r="26" spans="2:20">
      <c r="B26" s="454"/>
      <c r="C26" s="454"/>
      <c r="D26" s="454"/>
      <c r="E26" s="454"/>
      <c r="F26" s="455"/>
      <c r="G26" s="367" t="str">
        <f>IF(B26="","",IF('Route capacity parameters'!D26="Dep",IF(E26=$M$27,VLOOKUP(C26,$M$21:$T$24,3,FALSE),IF(E26=$M$28,VLOOKUP(C26,$M$21:$T$24,5,FALSE),VLOOKUP(C26,$M$21:$T$24,7,FALSE))),IF('Route capacity parameters'!D26="Arr",IF(E26=$M$27,VLOOKUP(C26,$M$21:$T$24,4,FALSE),IF(E26=$M$28,VLOOKUP(C26,$M$21:$T$24,6,FALSE),VLOOKUP(C26,$M$21:$T$24,8,FALSE))),0)))</f>
        <v/>
      </c>
      <c r="H26" s="456"/>
      <c r="I26" s="456"/>
      <c r="J26" s="390" t="str">
        <f>IF(B26="","",IF(VLOOKUP(C26,'Project details'!$B$34:$D$37,2,FALSE)="Yes",VLOOKUP(C26,'Project details'!$B$34:$D$37,3,FALSE),0))</f>
        <v/>
      </c>
      <c r="M26" s="23"/>
    </row>
    <row r="27" spans="2:20">
      <c r="B27" s="454"/>
      <c r="C27" s="454"/>
      <c r="D27" s="454"/>
      <c r="E27" s="454"/>
      <c r="F27" s="455"/>
      <c r="G27" s="367" t="str">
        <f>IF(B27="","",IF('Route capacity parameters'!D27="Dep",IF(E27=$M$27,VLOOKUP(C27,$M$21:$T$24,3,FALSE),IF(E27=$M$28,VLOOKUP(C27,$M$21:$T$24,5,FALSE),VLOOKUP(C27,$M$21:$T$24,7,FALSE))),IF('Route capacity parameters'!D27="Arr",IF(E27=$M$27,VLOOKUP(C27,$M$21:$T$24,4,FALSE),IF(E27=$M$28,VLOOKUP(C27,$M$21:$T$24,6,FALSE),VLOOKUP(C27,$M$21:$T$24,8,FALSE))),0)))</f>
        <v/>
      </c>
      <c r="H27" s="456"/>
      <c r="I27" s="456"/>
      <c r="J27" s="390" t="str">
        <f>IF(B27="","",IF(VLOOKUP(C27,'Project details'!$B$34:$D$37,2,FALSE)="Yes",VLOOKUP(C27,'Project details'!$B$34:$D$37,3,FALSE),0))</f>
        <v/>
      </c>
      <c r="M27" s="23" t="s">
        <v>576</v>
      </c>
    </row>
    <row r="28" spans="2:20">
      <c r="B28" s="454"/>
      <c r="C28" s="454"/>
      <c r="D28" s="454"/>
      <c r="E28" s="454"/>
      <c r="F28" s="455"/>
      <c r="G28" s="367" t="str">
        <f>IF(B28="","",IF('Route capacity parameters'!D28="Dep",IF(E28=$M$27,VLOOKUP(C28,$M$21:$T$24,3,FALSE),IF(E28=$M$28,VLOOKUP(C28,$M$21:$T$24,5,FALSE),VLOOKUP(C28,$M$21:$T$24,7,FALSE))),IF('Route capacity parameters'!D28="Arr",IF(E28=$M$27,VLOOKUP(C28,$M$21:$T$24,4,FALSE),IF(E28=$M$28,VLOOKUP(C28,$M$21:$T$24,6,FALSE),VLOOKUP(C28,$M$21:$T$24,8,FALSE))),0)))</f>
        <v/>
      </c>
      <c r="H28" s="456"/>
      <c r="I28" s="456"/>
      <c r="J28" s="390" t="str">
        <f>IF(B28="","",IF(VLOOKUP(C28,'Project details'!$B$34:$D$37,2,FALSE)="Yes",VLOOKUP(C28,'Project details'!$B$34:$D$37,3,FALSE),0))</f>
        <v/>
      </c>
      <c r="M28" s="23" t="s">
        <v>577</v>
      </c>
    </row>
    <row r="29" spans="2:20">
      <c r="B29" s="454"/>
      <c r="C29" s="454"/>
      <c r="D29" s="454"/>
      <c r="E29" s="454"/>
      <c r="F29" s="455"/>
      <c r="G29" s="367" t="str">
        <f>IF(B29="","",IF('Route capacity parameters'!D29="Dep",IF(E29=$M$27,VLOOKUP(C29,$M$21:$T$24,3,FALSE),IF(E29=$M$28,VLOOKUP(C29,$M$21:$T$24,5,FALSE),VLOOKUP(C29,$M$21:$T$24,7,FALSE))),IF('Route capacity parameters'!D29="Arr",IF(E29=$M$27,VLOOKUP(C29,$M$21:$T$24,4,FALSE),IF(E29=$M$28,VLOOKUP(C29,$M$21:$T$24,6,FALSE),VLOOKUP(C29,$M$21:$T$24,8,FALSE))),0)))</f>
        <v/>
      </c>
      <c r="H29" s="456"/>
      <c r="I29" s="456"/>
      <c r="J29" s="390" t="str">
        <f>IF(B29="","",IF(VLOOKUP(C29,'Project details'!$B$34:$D$37,2,FALSE)="Yes",VLOOKUP(C29,'Project details'!$B$34:$D$37,3,FALSE),0))</f>
        <v/>
      </c>
      <c r="M29" s="23" t="s">
        <v>160</v>
      </c>
    </row>
    <row r="30" spans="2:20">
      <c r="B30" s="454"/>
      <c r="C30" s="454"/>
      <c r="D30" s="454"/>
      <c r="E30" s="454"/>
      <c r="F30" s="455"/>
      <c r="G30" s="367" t="str">
        <f>IF(B30="","",IF('Route capacity parameters'!D30="Dep",IF(E30=$M$27,VLOOKUP(C30,$M$21:$T$24,3,FALSE),IF(E30=$M$28,VLOOKUP(C30,$M$21:$T$24,5,FALSE),VLOOKUP(C30,$M$21:$T$24,7,FALSE))),IF('Route capacity parameters'!D30="Arr",IF(E30=$M$27,VLOOKUP(C30,$M$21:$T$24,4,FALSE),IF(E30=$M$28,VLOOKUP(C30,$M$21:$T$24,6,FALSE),VLOOKUP(C30,$M$21:$T$24,8,FALSE))),0)))</f>
        <v/>
      </c>
      <c r="H30" s="456"/>
      <c r="I30" s="456"/>
      <c r="J30" s="390" t="str">
        <f>IF(B30="","",IF(VLOOKUP(C30,'Project details'!$B$34:$D$37,2,FALSE)="Yes",VLOOKUP(C30,'Project details'!$B$34:$D$37,3,FALSE),0))</f>
        <v/>
      </c>
    </row>
    <row r="31" spans="2:20">
      <c r="B31" s="454"/>
      <c r="C31" s="454"/>
      <c r="D31" s="454"/>
      <c r="E31" s="454"/>
      <c r="F31" s="455"/>
      <c r="G31" s="367" t="str">
        <f>IF(B31="","",IF('Route capacity parameters'!D31="Dep",IF(E31=$M$27,VLOOKUP(C31,$M$21:$T$24,3,FALSE),IF(E31=$M$28,VLOOKUP(C31,$M$21:$T$24,5,FALSE),VLOOKUP(C31,$M$21:$T$24,7,FALSE))),IF('Route capacity parameters'!D31="Arr",IF(E31=$M$27,VLOOKUP(C31,$M$21:$T$24,4,FALSE),IF(E31=$M$28,VLOOKUP(C31,$M$21:$T$24,6,FALSE),VLOOKUP(C31,$M$21:$T$24,8,FALSE))),0)))</f>
        <v/>
      </c>
      <c r="H31" s="456"/>
      <c r="I31" s="456"/>
      <c r="J31" s="390" t="str">
        <f>IF(B31="","",IF(VLOOKUP(C31,'Project details'!$B$34:$D$37,2,FALSE)="Yes",VLOOKUP(C31,'Project details'!$B$34:$D$37,3,FALSE),0))</f>
        <v/>
      </c>
    </row>
    <row r="32" spans="2:20">
      <c r="B32" s="454"/>
      <c r="C32" s="454"/>
      <c r="D32" s="454"/>
      <c r="E32" s="454"/>
      <c r="F32" s="455"/>
      <c r="G32" s="367" t="str">
        <f>IF(B32="","",IF('Route capacity parameters'!D32="Dep",IF(E32=$M$27,VLOOKUP(C32,$M$21:$T$24,3,FALSE),IF(E32=$M$28,VLOOKUP(C32,$M$21:$T$24,5,FALSE),VLOOKUP(C32,$M$21:$T$24,7,FALSE))),IF('Route capacity parameters'!D32="Arr",IF(E32=$M$27,VLOOKUP(C32,$M$21:$T$24,4,FALSE),IF(E32=$M$28,VLOOKUP(C32,$M$21:$T$24,6,FALSE),VLOOKUP(C32,$M$21:$T$24,8,FALSE))),0)))</f>
        <v/>
      </c>
      <c r="H32" s="456"/>
      <c r="I32" s="456"/>
      <c r="J32" s="390" t="str">
        <f>IF(B32="","",IF(VLOOKUP(C32,'Project details'!$B$34:$D$37,2,FALSE)="Yes",VLOOKUP(C32,'Project details'!$B$34:$D$37,3,FALSE),0))</f>
        <v/>
      </c>
    </row>
    <row r="33" spans="2:10">
      <c r="B33" s="454"/>
      <c r="C33" s="454"/>
      <c r="D33" s="454"/>
      <c r="E33" s="454"/>
      <c r="F33" s="455"/>
      <c r="G33" s="367" t="str">
        <f>IF(B33="","",IF('Route capacity parameters'!D33="Dep",IF(E33=$M$27,VLOOKUP(C33,$M$21:$T$24,3,FALSE),IF(E33=$M$28,VLOOKUP(C33,$M$21:$T$24,5,FALSE),VLOOKUP(C33,$M$21:$T$24,7,FALSE))),IF('Route capacity parameters'!D33="Arr",IF(E33=$M$27,VLOOKUP(C33,$M$21:$T$24,4,FALSE),IF(E33=$M$28,VLOOKUP(C33,$M$21:$T$24,6,FALSE),VLOOKUP(C33,$M$21:$T$24,8,FALSE))),0)))</f>
        <v/>
      </c>
      <c r="H33" s="456"/>
      <c r="I33" s="456"/>
      <c r="J33" s="390" t="str">
        <f>IF(B33="","",IF(VLOOKUP(C33,'Project details'!$B$34:$D$37,2,FALSE)="Yes",VLOOKUP(C33,'Project details'!$B$34:$D$37,3,FALSE),0))</f>
        <v/>
      </c>
    </row>
    <row r="34" spans="2:10">
      <c r="B34" s="454"/>
      <c r="C34" s="454"/>
      <c r="D34" s="454"/>
      <c r="E34" s="454"/>
      <c r="F34" s="455"/>
      <c r="G34" s="367" t="str">
        <f>IF(B34="","",IF('Route capacity parameters'!D34="Dep",IF(E34=$M$27,VLOOKUP(C34,$M$21:$T$24,3,FALSE),IF(E34=$M$28,VLOOKUP(C34,$M$21:$T$24,5,FALSE),VLOOKUP(C34,$M$21:$T$24,7,FALSE))),IF('Route capacity parameters'!D34="Arr",IF(E34=$M$27,VLOOKUP(C34,$M$21:$T$24,4,FALSE),IF(E34=$M$28,VLOOKUP(C34,$M$21:$T$24,6,FALSE),VLOOKUP(C34,$M$21:$T$24,8,FALSE))),0)))</f>
        <v/>
      </c>
      <c r="H34" s="456"/>
      <c r="I34" s="456"/>
      <c r="J34" s="390" t="str">
        <f>IF(B34="","",IF(VLOOKUP(C34,'Project details'!$B$34:$D$37,2,FALSE)="Yes",VLOOKUP(C34,'Project details'!$B$34:$D$37,3,FALSE),0))</f>
        <v/>
      </c>
    </row>
    <row r="35" spans="2:10">
      <c r="B35" s="454"/>
      <c r="C35" s="454"/>
      <c r="D35" s="454"/>
      <c r="E35" s="454"/>
      <c r="F35" s="455"/>
      <c r="G35" s="367" t="str">
        <f>IF(B35="","",IF('Route capacity parameters'!D35="Dep",IF(E35=$M$27,VLOOKUP(C35,$M$21:$T$24,3,FALSE),IF(E35=$M$28,VLOOKUP(C35,$M$21:$T$24,5,FALSE),VLOOKUP(C35,$M$21:$T$24,7,FALSE))),IF('Route capacity parameters'!D35="Arr",IF(E35=$M$27,VLOOKUP(C35,$M$21:$T$24,4,FALSE),IF(E35=$M$28,VLOOKUP(C35,$M$21:$T$24,6,FALSE),VLOOKUP(C35,$M$21:$T$24,8,FALSE))),0)))</f>
        <v/>
      </c>
      <c r="H35" s="456"/>
      <c r="I35" s="456"/>
      <c r="J35" s="390" t="str">
        <f>IF(B35="","",IF(VLOOKUP(C35,'Project details'!$B$34:$D$37,2,FALSE)="Yes",VLOOKUP(C35,'Project details'!$B$34:$D$37,3,FALSE),0))</f>
        <v/>
      </c>
    </row>
    <row r="36" spans="2:10">
      <c r="B36" s="454"/>
      <c r="C36" s="454"/>
      <c r="D36" s="454"/>
      <c r="E36" s="454"/>
      <c r="F36" s="455"/>
      <c r="G36" s="367" t="str">
        <f>IF(B36="","",IF('Route capacity parameters'!D36="Dep",IF(E36=$M$27,VLOOKUP(C36,$M$21:$T$24,3,FALSE),IF(E36=$M$28,VLOOKUP(C36,$M$21:$T$24,5,FALSE),VLOOKUP(C36,$M$21:$T$24,7,FALSE))),IF('Route capacity parameters'!D36="Arr",IF(E36=$M$27,VLOOKUP(C36,$M$21:$T$24,4,FALSE),IF(E36=$M$28,VLOOKUP(C36,$M$21:$T$24,6,FALSE),VLOOKUP(C36,$M$21:$T$24,8,FALSE))),0)))</f>
        <v/>
      </c>
      <c r="H36" s="456"/>
      <c r="I36" s="456"/>
      <c r="J36" s="390" t="str">
        <f>IF(B36="","",IF(VLOOKUP(C36,'Project details'!$B$34:$D$37,2,FALSE)="Yes",VLOOKUP(C36,'Project details'!$B$34:$D$37,3,FALSE),0))</f>
        <v/>
      </c>
    </row>
  </sheetData>
  <sheetProtection password="EA07" sheet="1" objects="1" scenarios="1"/>
  <mergeCells count="1">
    <mergeCell ref="G15:G16"/>
  </mergeCells>
  <dataValidations count="3">
    <dataValidation type="list" allowBlank="1" showInputMessage="1" showErrorMessage="1" sqref="C17:C36">
      <formula1>$M$20:$M$24</formula1>
    </dataValidation>
    <dataValidation type="list" allowBlank="1" showInputMessage="1" showErrorMessage="1" sqref="D17:D36">
      <formula1>$M$16:$M$18</formula1>
    </dataValidation>
    <dataValidation type="list" allowBlank="1" showInputMessage="1" showErrorMessage="1" sqref="E17:E36">
      <formula1>$M$26:$M$29</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sheetPr>
    <tabColor theme="3"/>
  </sheetPr>
  <dimension ref="A1:P84"/>
  <sheetViews>
    <sheetView workbookViewId="0">
      <selection activeCell="C9" sqref="C9"/>
    </sheetView>
  </sheetViews>
  <sheetFormatPr defaultColWidth="9.140625" defaultRowHeight="15"/>
  <cols>
    <col min="1" max="1" width="4.7109375" style="1" customWidth="1"/>
    <col min="2" max="2" width="57.28515625" style="1" customWidth="1"/>
    <col min="3" max="3" width="22" style="1" customWidth="1"/>
    <col min="4" max="4" width="15.140625" style="1" customWidth="1"/>
    <col min="5" max="7" width="4.42578125" style="1" customWidth="1"/>
    <col min="8" max="8" width="57.28515625" style="1" customWidth="1"/>
    <col min="9" max="9" width="24.28515625" style="1" customWidth="1"/>
    <col min="10" max="10" width="14.42578125" style="1" customWidth="1"/>
    <col min="11" max="12" width="9.140625" style="1"/>
    <col min="13" max="13" width="16.5703125" style="1" customWidth="1"/>
    <col min="14" max="14" width="51.28515625" style="1" hidden="1" customWidth="1"/>
    <col min="15" max="15" width="12.5703125" style="1" hidden="1" customWidth="1"/>
    <col min="16" max="16" width="12" style="1" customWidth="1"/>
    <col min="17" max="16384" width="9.140625" style="1"/>
  </cols>
  <sheetData>
    <row r="1" spans="1:11" ht="16.5">
      <c r="A1" s="9"/>
      <c r="B1" s="9"/>
      <c r="C1" s="9"/>
      <c r="D1" s="9"/>
      <c r="E1" s="9"/>
      <c r="F1" s="9"/>
      <c r="G1" s="9"/>
      <c r="H1" s="9"/>
      <c r="I1" s="9"/>
      <c r="J1" s="9"/>
      <c r="K1" s="9"/>
    </row>
    <row r="2" spans="1:11" ht="16.5">
      <c r="A2" s="9"/>
      <c r="B2" s="110" t="s">
        <v>66</v>
      </c>
      <c r="C2" s="9"/>
      <c r="D2" s="9"/>
      <c r="E2" s="9"/>
      <c r="F2" s="9"/>
      <c r="G2" s="9"/>
      <c r="H2" s="110" t="s">
        <v>388</v>
      </c>
      <c r="I2" s="9"/>
      <c r="J2" s="9"/>
      <c r="K2" s="9"/>
    </row>
    <row r="3" spans="1:11" s="498" customFormat="1" ht="16.5">
      <c r="A3" s="497"/>
      <c r="B3" s="500" t="s">
        <v>593</v>
      </c>
      <c r="C3" s="497"/>
      <c r="D3" s="497"/>
      <c r="E3" s="497"/>
      <c r="F3" s="497"/>
      <c r="G3" s="497"/>
      <c r="H3" s="499"/>
      <c r="I3" s="497"/>
      <c r="J3" s="497"/>
      <c r="K3" s="497"/>
    </row>
    <row r="4" spans="1:11" ht="16.5">
      <c r="A4" s="9"/>
      <c r="B4" s="9"/>
      <c r="C4" s="9"/>
      <c r="D4" s="9"/>
      <c r="E4" s="9"/>
      <c r="F4" s="9"/>
      <c r="G4" s="9"/>
      <c r="H4" s="9"/>
      <c r="I4" s="9"/>
      <c r="J4" s="9"/>
    </row>
    <row r="5" spans="1:11" ht="16.5">
      <c r="A5" s="9"/>
      <c r="B5" s="135" t="s">
        <v>188</v>
      </c>
      <c r="C5" s="136" t="e">
        <f>VLOOKUP('Station parameters'!$O$3,Catchments!$B$23:$C$39,2,FALSE)</f>
        <v>#N/A</v>
      </c>
      <c r="D5" s="135" t="s">
        <v>189</v>
      </c>
      <c r="E5" s="9"/>
      <c r="F5" s="9"/>
      <c r="G5" s="9"/>
      <c r="H5" s="135" t="s">
        <v>188</v>
      </c>
      <c r="I5" s="136" t="e">
        <f>VLOOKUP('Station parameters'!$O$3,Catchments!$B$23:$D$39,3,FALSE)</f>
        <v>#N/A</v>
      </c>
      <c r="J5" s="135" t="s">
        <v>189</v>
      </c>
      <c r="K5" s="9"/>
    </row>
    <row r="6" spans="1:11" ht="16.5">
      <c r="A6" s="9"/>
      <c r="B6" s="421" t="s">
        <v>529</v>
      </c>
      <c r="C6" s="420"/>
      <c r="D6" s="420"/>
      <c r="E6" s="424"/>
      <c r="F6" s="424"/>
      <c r="G6" s="424"/>
      <c r="H6" s="421" t="s">
        <v>530</v>
      </c>
      <c r="K6" s="9"/>
    </row>
    <row r="7" spans="1:11" ht="16.5">
      <c r="A7" s="9"/>
      <c r="B7" s="137" t="s">
        <v>314</v>
      </c>
      <c r="C7" s="351" t="e">
        <f>ROUND(((C5/1.33)/60),0)</f>
        <v>#N/A</v>
      </c>
      <c r="D7" s="137" t="s">
        <v>190</v>
      </c>
      <c r="E7" s="9"/>
      <c r="F7" s="9"/>
      <c r="G7" s="9"/>
      <c r="H7" s="137" t="s">
        <v>315</v>
      </c>
      <c r="I7" s="351" t="e">
        <f>ROUND(((I5/(15/3.6))/60),0)</f>
        <v>#N/A</v>
      </c>
      <c r="J7" s="137" t="s">
        <v>190</v>
      </c>
      <c r="K7" s="9"/>
    </row>
    <row r="8" spans="1:11" ht="16.5" customHeight="1">
      <c r="A8" s="9"/>
      <c r="B8" s="29"/>
      <c r="C8" s="139"/>
      <c r="D8" s="29"/>
      <c r="E8" s="9"/>
      <c r="F8" s="9"/>
      <c r="G8" s="9"/>
      <c r="H8" s="18"/>
      <c r="I8" s="18"/>
      <c r="J8" s="18"/>
      <c r="K8" s="9"/>
    </row>
    <row r="9" spans="1:11" ht="16.5" customHeight="1">
      <c r="A9" s="9"/>
      <c r="B9" s="64" t="s">
        <v>589</v>
      </c>
      <c r="C9" s="505"/>
      <c r="D9" s="29"/>
      <c r="E9" s="9"/>
      <c r="F9" s="9"/>
      <c r="G9" s="9"/>
      <c r="H9" s="64" t="s">
        <v>588</v>
      </c>
      <c r="I9" s="505"/>
      <c r="J9" s="18"/>
      <c r="K9" s="9"/>
    </row>
    <row r="10" spans="1:11" ht="16.5" customHeight="1">
      <c r="A10" s="9"/>
      <c r="B10" s="29"/>
      <c r="C10" s="139"/>
      <c r="D10" s="29"/>
      <c r="E10" s="9"/>
      <c r="F10" s="9"/>
      <c r="G10" s="9"/>
      <c r="H10" s="18"/>
      <c r="I10" s="18"/>
      <c r="J10" s="18"/>
      <c r="K10" s="9"/>
    </row>
    <row r="11" spans="1:11" ht="16.5">
      <c r="A11" s="9"/>
      <c r="B11" s="133" t="s">
        <v>191</v>
      </c>
      <c r="C11" s="135"/>
      <c r="D11" s="135"/>
      <c r="E11" s="9"/>
      <c r="F11" s="9"/>
      <c r="G11" s="9"/>
      <c r="H11" s="133" t="s">
        <v>191</v>
      </c>
      <c r="I11" s="135"/>
      <c r="J11" s="425"/>
      <c r="K11" s="9"/>
    </row>
    <row r="12" spans="1:11" ht="16.5">
      <c r="A12" s="9"/>
      <c r="B12" s="421" t="s">
        <v>341</v>
      </c>
      <c r="C12" s="9"/>
      <c r="D12" s="9"/>
      <c r="E12" s="9"/>
      <c r="F12" s="9"/>
      <c r="G12" s="9"/>
      <c r="H12" s="34"/>
      <c r="I12" s="9"/>
      <c r="J12" s="18"/>
      <c r="K12" s="9"/>
    </row>
    <row r="13" spans="1:11" ht="16.5">
      <c r="A13" s="9"/>
      <c r="B13" s="421" t="s">
        <v>499</v>
      </c>
      <c r="C13" s="9"/>
      <c r="D13" s="9"/>
      <c r="E13" s="9"/>
      <c r="F13" s="9"/>
      <c r="G13" s="9"/>
      <c r="H13" s="34"/>
      <c r="I13" s="9"/>
      <c r="J13" s="18"/>
      <c r="K13" s="9"/>
    </row>
    <row r="14" spans="1:11" ht="16.5">
      <c r="A14" s="9"/>
      <c r="B14" s="64" t="s">
        <v>316</v>
      </c>
      <c r="C14" s="426"/>
      <c r="D14" s="9"/>
      <c r="E14" s="9"/>
      <c r="F14" s="9"/>
      <c r="G14" s="9"/>
      <c r="H14" s="64" t="s">
        <v>318</v>
      </c>
      <c r="I14" s="426"/>
      <c r="J14" s="18"/>
      <c r="K14" s="9"/>
    </row>
    <row r="15" spans="1:11" ht="16.5">
      <c r="A15" s="9"/>
      <c r="B15" s="64" t="s">
        <v>317</v>
      </c>
      <c r="C15" s="426"/>
      <c r="D15" s="9"/>
      <c r="E15" s="9"/>
      <c r="F15" s="9"/>
      <c r="G15" s="9"/>
      <c r="H15" s="64" t="s">
        <v>319</v>
      </c>
      <c r="I15" s="426"/>
      <c r="J15" s="18"/>
      <c r="K15" s="9"/>
    </row>
    <row r="16" spans="1:11" ht="16.5">
      <c r="A16" s="9"/>
      <c r="B16" s="18"/>
      <c r="C16" s="18"/>
      <c r="D16" s="9"/>
      <c r="E16" s="9"/>
      <c r="F16" s="9"/>
      <c r="G16" s="9"/>
      <c r="H16" s="18"/>
      <c r="I16" s="18"/>
      <c r="J16" s="18"/>
      <c r="K16" s="9"/>
    </row>
    <row r="17" spans="1:15" ht="16.5">
      <c r="A17" s="9"/>
      <c r="B17" s="133" t="s">
        <v>643</v>
      </c>
      <c r="C17" s="135"/>
      <c r="D17" s="135"/>
      <c r="E17" s="9"/>
      <c r="F17" s="9"/>
      <c r="G17" s="9"/>
      <c r="H17" s="133" t="s">
        <v>643</v>
      </c>
      <c r="I17" s="135"/>
      <c r="J17" s="135"/>
      <c r="K17" s="9"/>
    </row>
    <row r="18" spans="1:15" ht="16.5">
      <c r="A18" s="9"/>
      <c r="B18" s="18"/>
      <c r="C18" s="18"/>
      <c r="D18" s="9"/>
      <c r="E18" s="9"/>
      <c r="F18" s="9"/>
      <c r="G18" s="9"/>
      <c r="H18" s="18"/>
      <c r="I18" s="18"/>
      <c r="J18" s="18"/>
      <c r="K18" s="9"/>
    </row>
    <row r="19" spans="1:15" ht="16.5">
      <c r="A19" s="9"/>
      <c r="B19" s="421" t="s">
        <v>645</v>
      </c>
      <c r="C19" s="18"/>
      <c r="D19" s="9"/>
      <c r="E19" s="9"/>
      <c r="F19" s="9"/>
      <c r="G19" s="9"/>
      <c r="H19" s="18"/>
      <c r="I19" s="18"/>
      <c r="J19" s="18"/>
      <c r="K19" s="9"/>
    </row>
    <row r="20" spans="1:15" ht="16.5">
      <c r="A20" s="9"/>
      <c r="B20" s="64" t="s">
        <v>644</v>
      </c>
      <c r="C20" s="517"/>
      <c r="D20" s="9"/>
      <c r="E20" s="9"/>
      <c r="F20" s="9"/>
      <c r="G20" s="9"/>
      <c r="H20" s="64" t="s">
        <v>644</v>
      </c>
      <c r="I20" s="517"/>
      <c r="J20" s="18"/>
      <c r="K20" s="9"/>
      <c r="N20" s="23" t="s">
        <v>646</v>
      </c>
      <c r="O20" s="518">
        <f>0.5+(0.5*$C$20)</f>
        <v>0.5</v>
      </c>
    </row>
    <row r="21" spans="1:15" ht="16.5">
      <c r="A21" s="9"/>
      <c r="B21" s="18"/>
      <c r="C21" s="18"/>
      <c r="D21" s="9"/>
      <c r="E21" s="9"/>
      <c r="F21" s="9"/>
      <c r="G21" s="9"/>
      <c r="H21" s="18"/>
      <c r="I21" s="18"/>
      <c r="J21" s="18"/>
      <c r="K21" s="9"/>
      <c r="N21" s="23" t="s">
        <v>647</v>
      </c>
      <c r="O21" s="518">
        <f>0.5+(0.5*$I$20)</f>
        <v>0.5</v>
      </c>
    </row>
    <row r="22" spans="1:15" ht="16.5">
      <c r="A22" s="9"/>
      <c r="B22" s="421" t="s">
        <v>628</v>
      </c>
      <c r="C22" s="18"/>
      <c r="D22" s="9"/>
      <c r="E22" s="9"/>
      <c r="F22" s="9"/>
      <c r="G22" s="9"/>
      <c r="H22" s="18"/>
      <c r="I22" s="18"/>
      <c r="J22" s="18"/>
      <c r="K22" s="9"/>
    </row>
    <row r="23" spans="1:15" ht="16.5">
      <c r="A23" s="9"/>
      <c r="B23" s="421" t="s">
        <v>629</v>
      </c>
      <c r="C23" s="18"/>
      <c r="D23" s="9"/>
      <c r="E23" s="9"/>
      <c r="F23" s="9"/>
      <c r="G23" s="9"/>
      <c r="H23" s="18"/>
      <c r="I23" s="18"/>
      <c r="J23" s="18"/>
      <c r="K23" s="9"/>
    </row>
    <row r="24" spans="1:15" ht="16.5">
      <c r="A24" s="9"/>
      <c r="B24" s="515" t="s">
        <v>624</v>
      </c>
      <c r="C24" s="515" t="s">
        <v>625</v>
      </c>
      <c r="D24" s="9"/>
      <c r="E24" s="9"/>
      <c r="F24" s="9"/>
      <c r="G24" s="9"/>
      <c r="H24" s="18"/>
      <c r="I24" s="18"/>
      <c r="J24" s="18"/>
      <c r="K24" s="9"/>
    </row>
    <row r="25" spans="1:15" ht="16.5">
      <c r="A25" s="9"/>
      <c r="B25" s="514" t="s">
        <v>621</v>
      </c>
      <c r="C25" s="514" t="s">
        <v>622</v>
      </c>
      <c r="D25" s="9"/>
      <c r="E25" s="9"/>
      <c r="F25" s="9"/>
      <c r="G25" s="9"/>
      <c r="H25" s="18"/>
      <c r="I25" s="18"/>
      <c r="J25" s="18"/>
      <c r="K25" s="9"/>
    </row>
    <row r="26" spans="1:15" ht="16.5">
      <c r="A26" s="9"/>
      <c r="B26" s="513" t="s">
        <v>613</v>
      </c>
      <c r="C26" s="513" t="s">
        <v>614</v>
      </c>
      <c r="J26" s="18"/>
      <c r="K26" s="9"/>
    </row>
    <row r="27" spans="1:15" ht="16.5">
      <c r="A27" s="9"/>
      <c r="B27" s="513" t="s">
        <v>615</v>
      </c>
      <c r="C27" s="513" t="s">
        <v>616</v>
      </c>
      <c r="D27" s="9"/>
      <c r="E27" s="9"/>
      <c r="F27" s="9"/>
      <c r="G27" s="9"/>
      <c r="H27" s="18"/>
      <c r="I27" s="18"/>
      <c r="J27" s="18"/>
      <c r="K27" s="9"/>
    </row>
    <row r="28" spans="1:15" ht="16.5">
      <c r="A28" s="9"/>
      <c r="B28" s="513" t="s">
        <v>617</v>
      </c>
      <c r="C28" s="513" t="s">
        <v>618</v>
      </c>
      <c r="D28" s="9"/>
      <c r="E28" s="9"/>
      <c r="F28" s="9"/>
      <c r="G28" s="9"/>
      <c r="H28" s="18"/>
      <c r="I28" s="18"/>
      <c r="J28" s="18"/>
      <c r="K28" s="9"/>
    </row>
    <row r="29" spans="1:15" ht="16.5">
      <c r="A29" s="9"/>
      <c r="B29" s="513" t="s">
        <v>619</v>
      </c>
      <c r="C29" s="513" t="s">
        <v>620</v>
      </c>
      <c r="D29" s="9"/>
      <c r="E29" s="9"/>
      <c r="F29" s="9"/>
      <c r="G29" s="9"/>
      <c r="H29" s="18"/>
      <c r="I29" s="18"/>
      <c r="J29" s="18"/>
      <c r="K29" s="9"/>
    </row>
    <row r="30" spans="1:15" ht="16.5">
      <c r="A30" s="9"/>
      <c r="B30" s="29" t="s">
        <v>623</v>
      </c>
      <c r="D30" s="9"/>
      <c r="E30" s="9"/>
      <c r="F30" s="9"/>
      <c r="G30" s="9"/>
      <c r="H30" s="18"/>
      <c r="I30" s="18"/>
      <c r="J30" s="18"/>
      <c r="K30" s="9"/>
    </row>
    <row r="31" spans="1:15" ht="16.5">
      <c r="A31" s="9"/>
      <c r="B31" s="18"/>
      <c r="C31" s="18"/>
      <c r="D31" s="9"/>
      <c r="E31" s="9"/>
      <c r="F31" s="9"/>
      <c r="G31" s="9"/>
      <c r="H31" s="18"/>
      <c r="I31" s="18"/>
      <c r="J31" s="18"/>
      <c r="K31" s="9"/>
    </row>
    <row r="32" spans="1:15" ht="16.5">
      <c r="A32" s="9"/>
      <c r="B32" s="550" t="s">
        <v>627</v>
      </c>
      <c r="C32" s="551"/>
      <c r="D32" s="506" t="e">
        <f>C14/C9</f>
        <v>#DIV/0!</v>
      </c>
      <c r="E32" s="9"/>
      <c r="F32" s="9"/>
      <c r="G32" s="9"/>
      <c r="H32" s="550" t="s">
        <v>630</v>
      </c>
      <c r="I32" s="551"/>
      <c r="J32" s="506" t="e">
        <f>I14/I9</f>
        <v>#DIV/0!</v>
      </c>
      <c r="K32" s="9"/>
    </row>
    <row r="33" spans="1:13" ht="16.5">
      <c r="A33" s="9"/>
      <c r="B33" s="425" t="s">
        <v>626</v>
      </c>
      <c r="C33" s="64">
        <f>'Station parameters'!$C$12</f>
        <v>0</v>
      </c>
      <c r="D33" s="64" t="e">
        <f>VLOOKUP(C33,'Station parameters'!$O$11:$Q$22,3,FALSE)</f>
        <v>#N/A</v>
      </c>
      <c r="E33" s="9"/>
      <c r="F33" s="9"/>
      <c r="G33" s="9"/>
      <c r="H33" s="425" t="s">
        <v>626</v>
      </c>
      <c r="I33" s="64">
        <f>'Station parameters'!$C$12</f>
        <v>0</v>
      </c>
      <c r="J33" s="64" t="e">
        <f>VLOOKUP(I33,'Station parameters'!$O$11:$Q$22,3,FALSE)</f>
        <v>#N/A</v>
      </c>
      <c r="K33" s="9"/>
    </row>
    <row r="34" spans="1:13" ht="16.5">
      <c r="A34" s="9"/>
      <c r="B34" s="18"/>
      <c r="C34" s="18"/>
      <c r="D34" s="9"/>
      <c r="E34" s="9"/>
      <c r="F34" s="9"/>
      <c r="G34" s="9"/>
      <c r="H34" s="18"/>
      <c r="I34" s="18"/>
      <c r="J34" s="18"/>
      <c r="K34" s="9"/>
    </row>
    <row r="35" spans="1:13" ht="16.5">
      <c r="A35" s="9"/>
      <c r="D35" s="9"/>
      <c r="E35" s="9"/>
      <c r="F35" s="9"/>
      <c r="G35" s="9"/>
      <c r="H35" s="18"/>
      <c r="I35" s="18"/>
      <c r="J35" s="18"/>
      <c r="K35" s="9"/>
    </row>
    <row r="36" spans="1:13" ht="16.5">
      <c r="A36" s="9"/>
      <c r="B36" s="9"/>
      <c r="C36" s="9"/>
      <c r="D36" s="9"/>
      <c r="E36" s="9"/>
      <c r="F36" s="9"/>
      <c r="G36" s="9"/>
      <c r="H36" s="18"/>
      <c r="I36" s="18"/>
      <c r="J36" s="18"/>
      <c r="K36" s="9"/>
    </row>
    <row r="37" spans="1:13" ht="16.5">
      <c r="A37" s="9"/>
      <c r="B37" s="9"/>
      <c r="C37" s="9"/>
      <c r="D37" s="9"/>
      <c r="E37" s="9"/>
      <c r="F37" s="9"/>
      <c r="G37" s="9"/>
      <c r="H37" s="18"/>
      <c r="I37" s="18"/>
      <c r="J37" s="18"/>
      <c r="K37" s="9"/>
    </row>
    <row r="38" spans="1:13" ht="16.5">
      <c r="A38" s="9"/>
      <c r="B38" s="9"/>
      <c r="C38" s="9"/>
      <c r="D38" s="9"/>
      <c r="E38" s="9"/>
      <c r="F38" s="9"/>
      <c r="G38" s="9"/>
      <c r="H38" s="18"/>
      <c r="I38" s="18"/>
      <c r="J38" s="18"/>
      <c r="K38" s="9"/>
    </row>
    <row r="39" spans="1:13" ht="16.5">
      <c r="A39" s="9"/>
      <c r="B39" s="9"/>
      <c r="C39" s="9"/>
      <c r="D39" s="9"/>
      <c r="E39" s="9"/>
      <c r="F39" s="9"/>
      <c r="G39" s="9"/>
      <c r="H39" s="18"/>
      <c r="I39" s="18"/>
      <c r="J39" s="18"/>
      <c r="K39" s="9"/>
    </row>
    <row r="40" spans="1:13" ht="16.5" hidden="1">
      <c r="A40" s="9"/>
      <c r="B40" s="18"/>
      <c r="C40" s="18"/>
      <c r="D40" s="18"/>
      <c r="E40" s="18"/>
      <c r="F40" s="18"/>
      <c r="G40" s="9"/>
      <c r="H40" s="18"/>
      <c r="I40" s="18"/>
      <c r="J40" s="18"/>
      <c r="K40" s="9"/>
    </row>
    <row r="41" spans="1:13" ht="16.5" hidden="1">
      <c r="A41" s="18"/>
      <c r="B41" s="67"/>
      <c r="C41" s="18"/>
      <c r="D41" s="18"/>
      <c r="E41" s="18"/>
      <c r="F41" s="65"/>
      <c r="G41" s="18"/>
      <c r="H41" s="67"/>
      <c r="I41" s="18"/>
      <c r="J41" s="18"/>
      <c r="K41" s="18"/>
      <c r="L41" s="65"/>
    </row>
    <row r="42" spans="1:13" ht="16.5" hidden="1">
      <c r="A42" s="18"/>
      <c r="B42" s="70" t="s">
        <v>56</v>
      </c>
      <c r="C42" s="18"/>
      <c r="D42" s="18"/>
      <c r="E42" s="18"/>
      <c r="F42" s="65"/>
      <c r="G42" s="18"/>
      <c r="H42" s="70" t="s">
        <v>56</v>
      </c>
      <c r="I42" s="18"/>
      <c r="J42" s="18"/>
      <c r="K42" s="18"/>
      <c r="L42" s="65"/>
    </row>
    <row r="43" spans="1:13" ht="16.5" hidden="1">
      <c r="A43" s="18"/>
      <c r="B43" s="82" t="s">
        <v>43</v>
      </c>
      <c r="C43" s="56" t="s">
        <v>67</v>
      </c>
      <c r="D43" s="18"/>
      <c r="E43" s="18"/>
      <c r="F43" s="65"/>
      <c r="G43" s="18"/>
      <c r="H43" s="71" t="s">
        <v>43</v>
      </c>
      <c r="I43" s="57" t="s">
        <v>67</v>
      </c>
      <c r="J43" s="18"/>
      <c r="K43" s="18"/>
      <c r="L43" s="65"/>
    </row>
    <row r="44" spans="1:13" ht="16.5" hidden="1">
      <c r="A44" s="18"/>
      <c r="B44" s="72"/>
      <c r="C44" s="18"/>
      <c r="D44" s="18"/>
      <c r="E44" s="18"/>
      <c r="F44" s="65"/>
      <c r="G44" s="18"/>
      <c r="H44" s="72"/>
      <c r="I44" s="18"/>
      <c r="J44" s="18"/>
      <c r="K44" s="18"/>
      <c r="L44" s="65"/>
    </row>
    <row r="45" spans="1:13" ht="16.5" hidden="1">
      <c r="A45" s="18"/>
      <c r="B45" s="70" t="s">
        <v>68</v>
      </c>
      <c r="C45" s="15"/>
      <c r="D45" s="15"/>
      <c r="E45" s="15"/>
      <c r="F45" s="65"/>
      <c r="G45" s="18"/>
      <c r="H45" s="70" t="s">
        <v>68</v>
      </c>
      <c r="I45" s="15"/>
      <c r="J45" s="15"/>
      <c r="K45" s="15"/>
      <c r="L45" s="65"/>
      <c r="M45" s="14"/>
    </row>
    <row r="46" spans="1:13" ht="16.5" hidden="1">
      <c r="A46" s="18"/>
      <c r="B46" s="85" t="s">
        <v>69</v>
      </c>
      <c r="C46" s="15"/>
      <c r="D46" s="15"/>
      <c r="E46" s="15"/>
      <c r="F46" s="65"/>
      <c r="G46" s="18"/>
      <c r="H46" s="85" t="s">
        <v>69</v>
      </c>
      <c r="I46" s="15"/>
      <c r="J46" s="15"/>
      <c r="K46" s="15"/>
      <c r="L46" s="65"/>
      <c r="M46" s="14"/>
    </row>
    <row r="47" spans="1:13" ht="16.5" hidden="1">
      <c r="A47" s="18"/>
      <c r="B47" s="70"/>
      <c r="C47" s="32" t="s">
        <v>44</v>
      </c>
      <c r="D47" s="10" t="s">
        <v>28</v>
      </c>
      <c r="E47" s="11" t="s">
        <v>27</v>
      </c>
      <c r="F47" s="65"/>
      <c r="G47" s="18"/>
      <c r="H47" s="70"/>
      <c r="I47" s="32" t="s">
        <v>44</v>
      </c>
      <c r="J47" s="22" t="s">
        <v>28</v>
      </c>
      <c r="K47" s="11" t="s">
        <v>27</v>
      </c>
      <c r="L47" s="65"/>
      <c r="M47" s="14"/>
    </row>
    <row r="48" spans="1:13" ht="16.5" hidden="1">
      <c r="A48" s="18"/>
      <c r="B48" s="73" t="s">
        <v>42</v>
      </c>
      <c r="C48" s="49">
        <v>2.2000000000000002</v>
      </c>
      <c r="D48" s="49">
        <v>90</v>
      </c>
      <c r="E48" s="50">
        <v>35</v>
      </c>
      <c r="F48" s="65"/>
      <c r="G48" s="18"/>
      <c r="H48" s="73" t="s">
        <v>42</v>
      </c>
      <c r="I48" s="48">
        <v>2.2000000000000002</v>
      </c>
      <c r="J48" s="49">
        <v>90</v>
      </c>
      <c r="K48" s="50">
        <v>35</v>
      </c>
      <c r="L48" s="65"/>
      <c r="M48" s="14"/>
    </row>
    <row r="49" spans="1:13" ht="16.5" hidden="1">
      <c r="A49" s="18"/>
      <c r="B49" s="74" t="s">
        <v>40</v>
      </c>
      <c r="C49" s="52"/>
      <c r="D49" s="52"/>
      <c r="E49" s="53"/>
      <c r="F49" s="65"/>
      <c r="G49" s="18"/>
      <c r="H49" s="74" t="s">
        <v>40</v>
      </c>
      <c r="I49" s="51"/>
      <c r="J49" s="52"/>
      <c r="K49" s="53"/>
      <c r="L49" s="65"/>
      <c r="M49" s="14"/>
    </row>
    <row r="50" spans="1:13" ht="16.5" hidden="1">
      <c r="A50" s="18"/>
      <c r="B50" s="74" t="s">
        <v>53</v>
      </c>
      <c r="C50" s="6"/>
      <c r="D50" s="52"/>
      <c r="E50" s="53"/>
      <c r="F50" s="65"/>
      <c r="G50" s="18"/>
      <c r="H50" s="74" t="s">
        <v>53</v>
      </c>
      <c r="I50" s="36"/>
      <c r="J50" s="52"/>
      <c r="K50" s="53"/>
      <c r="L50" s="65"/>
      <c r="M50" s="14"/>
    </row>
    <row r="51" spans="1:13" ht="16.5" hidden="1">
      <c r="A51" s="18"/>
      <c r="B51" s="74" t="s">
        <v>41</v>
      </c>
      <c r="C51" s="6"/>
      <c r="D51" s="52"/>
      <c r="E51" s="53"/>
      <c r="F51" s="65"/>
      <c r="G51" s="18"/>
      <c r="H51" s="74" t="s">
        <v>41</v>
      </c>
      <c r="I51" s="36"/>
      <c r="J51" s="52"/>
      <c r="K51" s="53"/>
      <c r="L51" s="65"/>
      <c r="M51" s="14"/>
    </row>
    <row r="52" spans="1:13" ht="16.5" hidden="1">
      <c r="A52" s="18"/>
      <c r="B52" s="74" t="s">
        <v>57</v>
      </c>
      <c r="C52" s="6"/>
      <c r="D52" s="52"/>
      <c r="E52" s="53"/>
      <c r="F52" s="65"/>
      <c r="G52" s="18"/>
      <c r="H52" s="74" t="s">
        <v>57</v>
      </c>
      <c r="I52" s="36"/>
      <c r="J52" s="52"/>
      <c r="K52" s="53"/>
      <c r="L52" s="65"/>
      <c r="M52" s="14"/>
    </row>
    <row r="53" spans="1:13" ht="16.5" hidden="1">
      <c r="A53" s="18"/>
      <c r="B53" s="75" t="s">
        <v>25</v>
      </c>
      <c r="C53" s="7"/>
      <c r="D53" s="54"/>
      <c r="E53" s="47"/>
      <c r="F53" s="65"/>
      <c r="G53" s="18"/>
      <c r="H53" s="75" t="s">
        <v>25</v>
      </c>
      <c r="I53" s="37"/>
      <c r="J53" s="54"/>
      <c r="K53" s="47"/>
      <c r="L53" s="65"/>
      <c r="M53" s="14"/>
    </row>
    <row r="54" spans="1:13" ht="16.5" hidden="1">
      <c r="A54" s="18"/>
      <c r="B54" s="76"/>
      <c r="C54" s="18"/>
      <c r="D54" s="18"/>
      <c r="E54" s="18"/>
      <c r="F54" s="65"/>
      <c r="G54" s="18"/>
      <c r="H54" s="76"/>
      <c r="I54" s="18"/>
      <c r="J54" s="18"/>
      <c r="K54" s="18"/>
      <c r="L54" s="65"/>
      <c r="M54" s="14"/>
    </row>
    <row r="55" spans="1:13" ht="16.5" hidden="1">
      <c r="A55" s="18"/>
      <c r="B55" s="70" t="s">
        <v>52</v>
      </c>
      <c r="C55" s="15"/>
      <c r="D55" s="15"/>
      <c r="E55" s="18"/>
      <c r="F55" s="65"/>
      <c r="G55" s="18"/>
      <c r="H55" s="70" t="s">
        <v>52</v>
      </c>
      <c r="I55" s="15"/>
      <c r="J55" s="15"/>
      <c r="K55" s="18"/>
      <c r="L55" s="65"/>
    </row>
    <row r="56" spans="1:13" ht="16.5" hidden="1">
      <c r="A56" s="15"/>
      <c r="B56" s="73" t="s">
        <v>24</v>
      </c>
      <c r="C56" s="35"/>
      <c r="D56" s="42" t="s">
        <v>39</v>
      </c>
      <c r="E56" s="18"/>
      <c r="F56" s="65"/>
      <c r="G56" s="15"/>
      <c r="H56" s="77" t="s">
        <v>24</v>
      </c>
      <c r="I56" s="58"/>
      <c r="J56" s="38" t="s">
        <v>39</v>
      </c>
      <c r="K56" s="18"/>
      <c r="L56" s="65"/>
    </row>
    <row r="57" spans="1:13" ht="16.5" hidden="1">
      <c r="A57" s="15"/>
      <c r="B57" s="74" t="s">
        <v>70</v>
      </c>
      <c r="C57" s="53"/>
      <c r="D57" s="28"/>
      <c r="E57" s="18"/>
      <c r="F57" s="65"/>
      <c r="G57" s="15"/>
      <c r="H57" s="67" t="s">
        <v>70</v>
      </c>
      <c r="I57" s="52"/>
      <c r="J57" s="19"/>
      <c r="K57" s="18"/>
      <c r="L57" s="65"/>
    </row>
    <row r="58" spans="1:13" ht="16.5" hidden="1">
      <c r="A58" s="15"/>
      <c r="B58" s="75" t="s">
        <v>71</v>
      </c>
      <c r="C58" s="47"/>
      <c r="D58" s="24"/>
      <c r="E58" s="18"/>
      <c r="F58" s="65"/>
      <c r="G58" s="15"/>
      <c r="H58" s="66" t="s">
        <v>71</v>
      </c>
      <c r="I58" s="54"/>
      <c r="J58" s="17"/>
      <c r="K58" s="18"/>
      <c r="L58" s="65"/>
    </row>
    <row r="59" spans="1:13" ht="16.5" hidden="1">
      <c r="A59" s="15"/>
      <c r="B59" s="67"/>
      <c r="C59" s="18"/>
      <c r="D59" s="18"/>
      <c r="E59" s="18"/>
      <c r="F59" s="65"/>
      <c r="G59" s="15"/>
      <c r="H59" s="67"/>
      <c r="I59" s="18"/>
      <c r="J59" s="18"/>
      <c r="K59" s="18"/>
      <c r="L59" s="65"/>
    </row>
    <row r="60" spans="1:13" ht="17.25" hidden="1" customHeight="1">
      <c r="A60" s="15"/>
      <c r="B60" s="70" t="s">
        <v>54</v>
      </c>
      <c r="C60" s="18"/>
      <c r="D60" s="18"/>
      <c r="E60" s="18"/>
      <c r="F60" s="65"/>
      <c r="G60" s="15"/>
      <c r="H60" s="70" t="s">
        <v>54</v>
      </c>
      <c r="I60" s="18"/>
      <c r="J60" s="18"/>
      <c r="K60" s="18"/>
      <c r="L60" s="65"/>
    </row>
    <row r="61" spans="1:13" ht="17.25" hidden="1" customHeight="1">
      <c r="A61" s="15"/>
      <c r="B61" s="77" t="s">
        <v>29</v>
      </c>
      <c r="C61" s="59" t="s">
        <v>74</v>
      </c>
      <c r="D61" s="18"/>
      <c r="E61" s="18"/>
      <c r="F61" s="65"/>
      <c r="G61" s="15"/>
      <c r="H61" s="73" t="s">
        <v>29</v>
      </c>
      <c r="I61" s="55" t="s">
        <v>74</v>
      </c>
      <c r="J61" s="18"/>
      <c r="K61" s="18"/>
      <c r="L61" s="65"/>
    </row>
    <row r="62" spans="1:13" ht="17.25" hidden="1" customHeight="1">
      <c r="A62" s="15"/>
      <c r="B62" s="67" t="s">
        <v>1</v>
      </c>
      <c r="C62" s="52"/>
      <c r="D62" s="18"/>
      <c r="E62" s="18"/>
      <c r="F62" s="65"/>
      <c r="G62" s="15"/>
      <c r="H62" s="74" t="s">
        <v>1</v>
      </c>
      <c r="I62" s="53"/>
      <c r="J62" s="18"/>
      <c r="K62" s="18"/>
      <c r="L62" s="65"/>
    </row>
    <row r="63" spans="1:13" ht="17.25" hidden="1" customHeight="1">
      <c r="A63" s="15"/>
      <c r="B63" s="67" t="s">
        <v>73</v>
      </c>
      <c r="C63" s="52"/>
      <c r="D63" s="18"/>
      <c r="E63" s="18"/>
      <c r="F63" s="65"/>
      <c r="G63" s="15"/>
      <c r="H63" s="74" t="s">
        <v>73</v>
      </c>
      <c r="I63" s="53"/>
      <c r="J63" s="18"/>
      <c r="K63" s="18"/>
      <c r="L63" s="65"/>
    </row>
    <row r="64" spans="1:13" ht="17.25" hidden="1" customHeight="1">
      <c r="A64" s="15"/>
      <c r="B64" s="67" t="s">
        <v>72</v>
      </c>
      <c r="C64" s="52"/>
      <c r="D64" s="18"/>
      <c r="E64" s="18"/>
      <c r="F64" s="65"/>
      <c r="G64" s="15"/>
      <c r="H64" s="74" t="s">
        <v>72</v>
      </c>
      <c r="I64" s="53"/>
      <c r="J64" s="18"/>
      <c r="K64" s="18"/>
      <c r="L64" s="65"/>
    </row>
    <row r="65" spans="1:16" ht="17.25" hidden="1" customHeight="1" thickBot="1">
      <c r="A65" s="18"/>
      <c r="B65" s="83" t="s">
        <v>2</v>
      </c>
      <c r="C65" s="84"/>
      <c r="D65" s="80"/>
      <c r="E65" s="80"/>
      <c r="F65" s="81"/>
      <c r="G65" s="18"/>
      <c r="H65" s="78" t="s">
        <v>2</v>
      </c>
      <c r="I65" s="79"/>
      <c r="J65" s="80"/>
      <c r="K65" s="80"/>
      <c r="L65" s="81"/>
    </row>
    <row r="66" spans="1:16" ht="16.5" customHeight="1">
      <c r="A66" s="21"/>
      <c r="B66" s="21"/>
      <c r="C66" s="21"/>
      <c r="D66" s="21"/>
      <c r="E66" s="21"/>
      <c r="F66" s="21"/>
      <c r="G66" s="21"/>
      <c r="H66" s="20"/>
      <c r="I66" s="18"/>
      <c r="J66" s="18"/>
      <c r="K66" s="18"/>
      <c r="N66" s="15"/>
      <c r="O66" s="15"/>
      <c r="P66" s="15"/>
    </row>
    <row r="67" spans="1:16" ht="16.5">
      <c r="A67" s="18"/>
      <c r="B67" s="18"/>
      <c r="C67" s="18"/>
      <c r="D67" s="18"/>
      <c r="E67" s="18"/>
      <c r="F67" s="18"/>
      <c r="G67" s="18"/>
      <c r="H67" s="18"/>
      <c r="I67" s="18"/>
      <c r="J67" s="18"/>
      <c r="K67" s="18"/>
      <c r="L67" s="9"/>
      <c r="M67" s="9"/>
      <c r="N67" s="15"/>
      <c r="O67" s="15"/>
      <c r="P67" s="15"/>
    </row>
    <row r="68" spans="1:16" ht="16.5">
      <c r="A68" s="9"/>
      <c r="B68" s="9"/>
      <c r="C68" s="9"/>
      <c r="D68" s="9"/>
      <c r="E68" s="9"/>
      <c r="F68" s="9"/>
      <c r="G68" s="9"/>
      <c r="H68" s="9"/>
      <c r="I68" s="9"/>
      <c r="J68" s="9"/>
      <c r="K68" s="9"/>
      <c r="L68" s="9"/>
      <c r="M68" s="9"/>
    </row>
    <row r="69" spans="1:16" ht="16.5">
      <c r="A69" s="9"/>
      <c r="B69" s="9"/>
      <c r="C69" s="9"/>
      <c r="D69" s="9"/>
      <c r="E69" s="9"/>
      <c r="F69" s="9"/>
      <c r="G69" s="9"/>
      <c r="H69" s="9"/>
      <c r="I69" s="9"/>
      <c r="J69" s="9"/>
      <c r="K69" s="9"/>
      <c r="L69" s="9"/>
      <c r="M69" s="9"/>
    </row>
    <row r="70" spans="1:16" ht="16.5">
      <c r="A70" s="9"/>
      <c r="B70" s="9"/>
      <c r="C70" s="9"/>
      <c r="D70" s="9"/>
      <c r="E70" s="9"/>
      <c r="F70" s="9"/>
      <c r="G70" s="9"/>
      <c r="H70" s="9"/>
      <c r="I70" s="9"/>
      <c r="J70" s="9"/>
      <c r="K70" s="9"/>
      <c r="L70" s="9"/>
      <c r="M70" s="9"/>
    </row>
    <row r="71" spans="1:16" ht="16.5">
      <c r="A71" s="9"/>
      <c r="B71" s="9"/>
      <c r="C71" s="9"/>
      <c r="D71" s="9"/>
      <c r="E71" s="9"/>
      <c r="F71" s="9"/>
      <c r="G71" s="9"/>
    </row>
    <row r="72" spans="1:16" ht="16.5">
      <c r="A72" s="9"/>
      <c r="B72" s="9"/>
      <c r="C72" s="9"/>
      <c r="D72" s="9"/>
      <c r="E72" s="9"/>
      <c r="F72" s="9"/>
      <c r="G72" s="9"/>
    </row>
    <row r="73" spans="1:16" ht="16.5">
      <c r="A73" s="9"/>
      <c r="B73" s="9"/>
      <c r="C73" s="9"/>
      <c r="D73" s="9"/>
      <c r="E73" s="9"/>
      <c r="F73" s="9"/>
      <c r="G73" s="9"/>
      <c r="J73" s="9"/>
      <c r="K73" s="9"/>
    </row>
    <row r="74" spans="1:16" ht="16.5">
      <c r="A74" s="9"/>
      <c r="B74" s="9"/>
      <c r="C74" s="9"/>
      <c r="D74" s="9"/>
      <c r="E74" s="9"/>
      <c r="F74" s="9"/>
      <c r="G74" s="9"/>
      <c r="J74" s="9"/>
      <c r="K74" s="9"/>
    </row>
    <row r="75" spans="1:16" ht="16.5">
      <c r="A75" s="9"/>
      <c r="B75" s="9"/>
      <c r="C75" s="9"/>
      <c r="D75" s="9"/>
      <c r="E75" s="9"/>
      <c r="F75" s="9"/>
      <c r="G75" s="9"/>
      <c r="J75" s="9"/>
      <c r="K75" s="9"/>
    </row>
    <row r="76" spans="1:16" ht="16.5">
      <c r="A76" s="9"/>
      <c r="B76" s="9"/>
      <c r="C76" s="9"/>
      <c r="D76" s="9"/>
      <c r="E76" s="9"/>
      <c r="F76" s="9"/>
      <c r="G76" s="9"/>
      <c r="J76" s="9"/>
      <c r="K76" s="9"/>
    </row>
    <row r="77" spans="1:16" ht="16.5">
      <c r="A77" s="9"/>
      <c r="B77" s="9"/>
      <c r="C77" s="9"/>
      <c r="D77" s="9"/>
      <c r="E77" s="9"/>
      <c r="F77" s="9"/>
      <c r="G77" s="9"/>
      <c r="J77" s="9"/>
      <c r="K77" s="9"/>
    </row>
    <row r="78" spans="1:16" ht="16.5">
      <c r="A78" s="9"/>
      <c r="B78" s="9"/>
      <c r="C78" s="9"/>
      <c r="D78" s="9"/>
      <c r="E78" s="9"/>
      <c r="F78" s="9"/>
      <c r="G78" s="9"/>
      <c r="J78" s="9"/>
      <c r="K78" s="9"/>
    </row>
    <row r="79" spans="1:16" ht="16.5">
      <c r="A79" s="9"/>
      <c r="B79" s="9"/>
      <c r="C79" s="9"/>
      <c r="D79" s="9"/>
      <c r="E79" s="9"/>
      <c r="F79" s="9"/>
      <c r="G79" s="9"/>
      <c r="J79" s="9"/>
      <c r="K79" s="9"/>
    </row>
    <row r="80" spans="1:16" ht="16.5">
      <c r="A80" s="9"/>
      <c r="B80" s="9"/>
      <c r="C80" s="9"/>
      <c r="D80" s="9"/>
      <c r="E80" s="9"/>
      <c r="F80" s="9"/>
      <c r="G80" s="9"/>
      <c r="J80" s="9"/>
      <c r="K80" s="9"/>
    </row>
    <row r="81" spans="1:11" ht="16.5">
      <c r="A81" s="9"/>
      <c r="B81" s="9"/>
      <c r="C81" s="9"/>
      <c r="D81" s="9"/>
      <c r="E81" s="9"/>
      <c r="F81" s="9"/>
      <c r="G81" s="9"/>
      <c r="J81" s="9"/>
      <c r="K81" s="9"/>
    </row>
    <row r="82" spans="1:11" ht="16.5">
      <c r="A82" s="9"/>
      <c r="B82" s="9"/>
      <c r="C82" s="9"/>
      <c r="D82" s="9"/>
      <c r="E82" s="9"/>
      <c r="F82" s="9"/>
      <c r="G82" s="9"/>
      <c r="H82" s="9"/>
      <c r="I82" s="9"/>
      <c r="J82" s="9"/>
      <c r="K82" s="9"/>
    </row>
    <row r="83" spans="1:11" ht="16.5">
      <c r="A83" s="9"/>
      <c r="B83" s="9"/>
      <c r="C83" s="9"/>
      <c r="D83" s="9"/>
      <c r="E83" s="9"/>
      <c r="F83" s="9"/>
      <c r="G83" s="9"/>
      <c r="H83" s="9"/>
      <c r="I83" s="9"/>
      <c r="J83" s="9"/>
      <c r="K83" s="9"/>
    </row>
    <row r="84" spans="1:11" ht="16.5">
      <c r="A84" s="9"/>
      <c r="B84" s="9"/>
      <c r="C84" s="9"/>
      <c r="D84" s="9"/>
      <c r="E84" s="9"/>
      <c r="F84" s="9"/>
      <c r="G84" s="9"/>
      <c r="H84" s="9"/>
      <c r="I84" s="9"/>
      <c r="J84" s="9"/>
      <c r="K84" s="9"/>
    </row>
  </sheetData>
  <sheetProtection password="EA07" sheet="1" objects="1" scenarios="1" selectLockedCells="1"/>
  <mergeCells count="2">
    <mergeCell ref="B32:C32"/>
    <mergeCell ref="H32:I3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theme="3"/>
  </sheetPr>
  <dimension ref="B2:AB269"/>
  <sheetViews>
    <sheetView showGridLines="0" topLeftCell="B1" zoomScale="85" zoomScaleNormal="85" workbookViewId="0">
      <selection activeCell="D12" sqref="D12"/>
    </sheetView>
  </sheetViews>
  <sheetFormatPr defaultColWidth="9.140625" defaultRowHeight="15"/>
  <cols>
    <col min="1" max="1" width="9.140625" style="8"/>
    <col min="2" max="2" width="20" style="8" customWidth="1"/>
    <col min="3" max="3" width="18.7109375" style="8" customWidth="1"/>
    <col min="4" max="4" width="21.42578125" style="8" customWidth="1"/>
    <col min="5" max="6" width="18.7109375" style="8" customWidth="1"/>
    <col min="7" max="7" width="18.42578125" style="8" customWidth="1"/>
    <col min="8" max="8" width="16.140625" style="8" customWidth="1"/>
    <col min="9" max="9" width="19" style="8" customWidth="1"/>
    <col min="10" max="10" width="22.140625" style="8" customWidth="1"/>
    <col min="11" max="11" width="16.140625" style="8" customWidth="1"/>
    <col min="12" max="12" width="18.5703125" style="8" customWidth="1"/>
    <col min="13" max="13" width="15.7109375" style="8" customWidth="1"/>
    <col min="14" max="14" width="13.28515625" style="8" customWidth="1"/>
    <col min="15" max="15" width="23.42578125" style="8" customWidth="1"/>
    <col min="16" max="16" width="17" style="8" customWidth="1"/>
    <col min="17" max="23" width="11.28515625" style="8" customWidth="1"/>
    <col min="24" max="25" width="9.140625" style="8"/>
    <col min="26" max="26" width="49.7109375" style="8" hidden="1" customWidth="1"/>
    <col min="27" max="28" width="9.140625" style="8" hidden="1" customWidth="1"/>
    <col min="29" max="16384" width="9.140625" style="8"/>
  </cols>
  <sheetData>
    <row r="2" spans="2:26" ht="21">
      <c r="B2" s="447" t="s">
        <v>120</v>
      </c>
      <c r="C2" s="448"/>
    </row>
    <row r="4" spans="2:26">
      <c r="B4" s="34" t="s">
        <v>148</v>
      </c>
    </row>
    <row r="5" spans="2:26">
      <c r="B5" s="34" t="s">
        <v>147</v>
      </c>
    </row>
    <row r="7" spans="2:26">
      <c r="B7" s="356" t="s">
        <v>12</v>
      </c>
      <c r="C7" s="132"/>
      <c r="D7" s="132"/>
      <c r="E7" s="132"/>
      <c r="F7" s="132"/>
      <c r="G7" s="132"/>
      <c r="H7" s="132"/>
      <c r="I7" s="132"/>
      <c r="J7" s="132"/>
      <c r="K7" s="132"/>
      <c r="L7" s="132"/>
      <c r="M7" s="132"/>
      <c r="N7" s="132"/>
      <c r="O7" s="132"/>
      <c r="P7" s="132"/>
    </row>
    <row r="8" spans="2:26">
      <c r="R8" s="108"/>
      <c r="S8" s="108"/>
      <c r="T8" s="108"/>
      <c r="U8" s="108"/>
    </row>
    <row r="9" spans="2:26">
      <c r="B9" s="14" t="s">
        <v>144</v>
      </c>
      <c r="F9" s="14" t="s">
        <v>121</v>
      </c>
      <c r="J9" s="14" t="s">
        <v>122</v>
      </c>
      <c r="N9" s="14" t="s">
        <v>123</v>
      </c>
      <c r="R9" s="112"/>
      <c r="S9" s="108"/>
      <c r="T9" s="108"/>
      <c r="U9" s="108"/>
    </row>
    <row r="10" spans="2:26">
      <c r="B10" s="552" t="s">
        <v>75</v>
      </c>
      <c r="C10" s="553"/>
      <c r="D10" s="354">
        <f>C19+C27+C40+K104+D104+K145+D145+K186+D186+K227+D227+K268+D268</f>
        <v>0</v>
      </c>
      <c r="F10" s="552" t="s">
        <v>75</v>
      </c>
      <c r="G10" s="553"/>
      <c r="H10" s="354" t="str">
        <f>IF(Option1="Yes",D19+D27+E40+L104+E104+L145+E145+L186+E186+L227+E227+L268+E268,"")</f>
        <v/>
      </c>
      <c r="J10" s="552" t="s">
        <v>75</v>
      </c>
      <c r="K10" s="553"/>
      <c r="L10" s="354" t="str">
        <f>IF(Option2="Yes",E19+E27+G40+M104+F104+M145+F145+M186+F186+M227+F227+M268+F268,"")</f>
        <v/>
      </c>
      <c r="N10" s="552" t="s">
        <v>75</v>
      </c>
      <c r="O10" s="553"/>
      <c r="P10" s="354" t="str">
        <f>IF(Option3="Yes",F19+F27+I40+N104+G104+N145+G145+N186+G186+N227+G227+N268+G268,"")</f>
        <v/>
      </c>
      <c r="R10" s="562"/>
      <c r="S10" s="562"/>
      <c r="T10" s="25"/>
      <c r="U10" s="108"/>
    </row>
    <row r="11" spans="2:26">
      <c r="B11" s="554" t="s">
        <v>76</v>
      </c>
      <c r="C11" s="555"/>
      <c r="D11" s="355">
        <f>C20+C28+C41+K105+D105+K146+D146+K187+D187+K228+D228+K269+D269</f>
        <v>0</v>
      </c>
      <c r="F11" s="554" t="s">
        <v>76</v>
      </c>
      <c r="G11" s="555"/>
      <c r="H11" s="355" t="str">
        <f>IF(Option1="Yes",D20+D28+E41+L105+E105+L146+E146+L187+E187+L228+E228+L269+E269,"")</f>
        <v/>
      </c>
      <c r="J11" s="554" t="s">
        <v>76</v>
      </c>
      <c r="K11" s="555"/>
      <c r="L11" s="355" t="str">
        <f>IF(Option2="Yes",E20+E28+G41+M105+F105+M146+F146+M187+F187+M228+F228+M269+F269,"")</f>
        <v/>
      </c>
      <c r="N11" s="554" t="s">
        <v>76</v>
      </c>
      <c r="O11" s="555"/>
      <c r="P11" s="355" t="str">
        <f>IF(Option3="Yes",F20+F28+I41+N105+G105+N146+G146+N187+G187+N228+G228+N269+G269,"")</f>
        <v/>
      </c>
      <c r="R11" s="563"/>
      <c r="S11" s="562"/>
      <c r="T11" s="25"/>
      <c r="U11" s="108"/>
    </row>
    <row r="12" spans="2:26" ht="33.75" customHeight="1">
      <c r="B12" s="556" t="s">
        <v>119</v>
      </c>
      <c r="C12" s="557"/>
      <c r="D12" s="457"/>
      <c r="F12" s="556" t="s">
        <v>119</v>
      </c>
      <c r="G12" s="557"/>
      <c r="H12" s="457"/>
      <c r="J12" s="556" t="s">
        <v>119</v>
      </c>
      <c r="K12" s="557"/>
      <c r="L12" s="457"/>
      <c r="N12" s="556" t="s">
        <v>119</v>
      </c>
      <c r="O12" s="557"/>
      <c r="P12" s="457"/>
      <c r="Q12" s="179"/>
      <c r="R12" s="563"/>
      <c r="S12" s="562"/>
      <c r="T12" s="25"/>
      <c r="U12" s="108"/>
    </row>
    <row r="13" spans="2:26" ht="16.5" customHeight="1">
      <c r="R13" s="108"/>
      <c r="S13" s="108"/>
      <c r="T13" s="108"/>
      <c r="U13" s="108"/>
    </row>
    <row r="14" spans="2:26">
      <c r="B14" s="356" t="s">
        <v>143</v>
      </c>
      <c r="C14" s="132"/>
      <c r="D14" s="132"/>
      <c r="E14" s="132"/>
      <c r="F14" s="132"/>
      <c r="G14" s="132"/>
      <c r="H14" s="132"/>
      <c r="I14" s="132"/>
      <c r="J14" s="132"/>
      <c r="K14" s="132"/>
      <c r="L14" s="132"/>
      <c r="M14" s="132"/>
      <c r="N14" s="132"/>
      <c r="O14" s="132"/>
      <c r="P14" s="132"/>
      <c r="Z14" s="109"/>
    </row>
    <row r="15" spans="2:26">
      <c r="B15" s="185"/>
      <c r="Z15" s="104" t="s">
        <v>89</v>
      </c>
    </row>
    <row r="16" spans="2:26">
      <c r="C16" s="357" t="s">
        <v>142</v>
      </c>
      <c r="D16" s="188" t="s">
        <v>124</v>
      </c>
      <c r="E16" s="188" t="s">
        <v>125</v>
      </c>
      <c r="F16" s="188" t="s">
        <v>126</v>
      </c>
      <c r="G16" s="130"/>
      <c r="Z16" s="104" t="s">
        <v>139</v>
      </c>
    </row>
    <row r="17" spans="2:28">
      <c r="B17" s="188" t="s">
        <v>145</v>
      </c>
      <c r="C17" s="458"/>
      <c r="D17" s="458"/>
      <c r="E17" s="458"/>
      <c r="F17" s="458"/>
      <c r="G17" s="180"/>
      <c r="Z17" s="104" t="s">
        <v>141</v>
      </c>
    </row>
    <row r="18" spans="2:28" ht="30.75" customHeight="1">
      <c r="B18" s="358" t="s">
        <v>146</v>
      </c>
      <c r="C18" s="459"/>
      <c r="D18" s="460"/>
      <c r="E18" s="460"/>
      <c r="F18" s="460"/>
      <c r="G18" s="181"/>
      <c r="Z18" s="15"/>
    </row>
    <row r="19" spans="2:28">
      <c r="B19" s="188" t="s">
        <v>75</v>
      </c>
      <c r="C19" s="461"/>
      <c r="D19" s="457"/>
      <c r="E19" s="457"/>
      <c r="F19" s="457"/>
      <c r="G19" s="180"/>
      <c r="Z19" s="109"/>
    </row>
    <row r="20" spans="2:28" ht="43.9" customHeight="1">
      <c r="B20" s="190" t="s">
        <v>76</v>
      </c>
      <c r="C20" s="461"/>
      <c r="D20" s="457"/>
      <c r="E20" s="457"/>
      <c r="F20" s="457"/>
      <c r="G20" s="180"/>
      <c r="Z20" s="109" t="s">
        <v>45</v>
      </c>
    </row>
    <row r="21" spans="2:28">
      <c r="Z21" s="23" t="s">
        <v>431</v>
      </c>
    </row>
    <row r="22" spans="2:28">
      <c r="B22" s="356" t="s">
        <v>222</v>
      </c>
      <c r="C22" s="132"/>
      <c r="D22" s="132"/>
      <c r="E22" s="132"/>
      <c r="F22" s="132"/>
      <c r="G22" s="132"/>
      <c r="H22" s="132"/>
      <c r="I22" s="132"/>
      <c r="J22" s="132"/>
      <c r="K22" s="132"/>
      <c r="L22" s="132"/>
      <c r="M22" s="132"/>
      <c r="N22" s="132"/>
      <c r="O22" s="132"/>
      <c r="P22" s="132"/>
      <c r="Z22" s="109" t="s">
        <v>46</v>
      </c>
    </row>
    <row r="23" spans="2:28">
      <c r="B23" s="185"/>
    </row>
    <row r="24" spans="2:28">
      <c r="C24" s="357" t="s">
        <v>142</v>
      </c>
      <c r="D24" s="188" t="s">
        <v>124</v>
      </c>
      <c r="E24" s="188" t="s">
        <v>125</v>
      </c>
      <c r="F24" s="188" t="s">
        <v>126</v>
      </c>
    </row>
    <row r="25" spans="2:28">
      <c r="B25" s="188" t="s">
        <v>145</v>
      </c>
      <c r="C25" s="449"/>
      <c r="D25" s="449"/>
      <c r="E25" s="449"/>
      <c r="F25" s="449"/>
      <c r="Z25" s="109"/>
    </row>
    <row r="26" spans="2:28" ht="30">
      <c r="B26" s="190" t="s">
        <v>502</v>
      </c>
      <c r="C26" s="459"/>
      <c r="D26" s="460"/>
      <c r="E26" s="460"/>
      <c r="F26" s="460"/>
      <c r="Z26" s="109" t="s">
        <v>45</v>
      </c>
    </row>
    <row r="27" spans="2:28">
      <c r="B27" s="188" t="s">
        <v>75</v>
      </c>
      <c r="C27" s="461"/>
      <c r="D27" s="456"/>
      <c r="E27" s="457"/>
      <c r="F27" s="457"/>
      <c r="Z27" s="109" t="s">
        <v>46</v>
      </c>
    </row>
    <row r="28" spans="2:28" ht="33.75" customHeight="1">
      <c r="B28" s="190" t="s">
        <v>76</v>
      </c>
      <c r="C28" s="461"/>
      <c r="D28" s="457"/>
      <c r="E28" s="457"/>
      <c r="F28" s="457"/>
    </row>
    <row r="30" spans="2:28">
      <c r="B30" s="356" t="s">
        <v>503</v>
      </c>
      <c r="C30" s="132"/>
      <c r="D30" s="132"/>
      <c r="E30" s="132"/>
      <c r="F30" s="132"/>
      <c r="G30" s="132"/>
      <c r="H30" s="132"/>
      <c r="I30" s="132"/>
      <c r="J30" s="132"/>
      <c r="K30" s="132"/>
      <c r="L30" s="132"/>
      <c r="M30" s="132"/>
      <c r="N30" s="132"/>
      <c r="O30" s="132"/>
      <c r="P30" s="132"/>
    </row>
    <row r="31" spans="2:28">
      <c r="B31" s="185"/>
      <c r="Z31" s="109">
        <f>Option1</f>
        <v>0</v>
      </c>
      <c r="AA31" s="109">
        <f>Option2</f>
        <v>0</v>
      </c>
      <c r="AB31" s="109">
        <f>Option3</f>
        <v>0</v>
      </c>
    </row>
    <row r="32" spans="2:28">
      <c r="C32" s="560" t="s">
        <v>142</v>
      </c>
      <c r="D32" s="561"/>
      <c r="E32" s="560" t="s">
        <v>124</v>
      </c>
      <c r="F32" s="561"/>
      <c r="G32" s="560" t="s">
        <v>125</v>
      </c>
      <c r="H32" s="561"/>
      <c r="I32" s="560" t="s">
        <v>126</v>
      </c>
      <c r="J32" s="561"/>
      <c r="Z32" s="182"/>
    </row>
    <row r="33" spans="2:26" s="182" customFormat="1" ht="34.5" customHeight="1">
      <c r="C33" s="359" t="s">
        <v>224</v>
      </c>
      <c r="D33" s="190" t="s">
        <v>223</v>
      </c>
      <c r="E33" s="359" t="s">
        <v>224</v>
      </c>
      <c r="F33" s="190" t="s">
        <v>223</v>
      </c>
      <c r="G33" s="359" t="s">
        <v>224</v>
      </c>
      <c r="H33" s="190" t="s">
        <v>223</v>
      </c>
      <c r="I33" s="359" t="s">
        <v>224</v>
      </c>
      <c r="J33" s="190" t="s">
        <v>223</v>
      </c>
      <c r="Z33" s="109">
        <f>'Station parameters'!C15</f>
        <v>0</v>
      </c>
    </row>
    <row r="34" spans="2:26">
      <c r="B34" s="188" t="s">
        <v>173</v>
      </c>
      <c r="C34" s="462"/>
      <c r="D34" s="463"/>
      <c r="E34" s="462"/>
      <c r="F34" s="463"/>
      <c r="G34" s="462"/>
      <c r="H34" s="463"/>
      <c r="I34" s="462"/>
      <c r="J34" s="463"/>
      <c r="Z34" s="109">
        <f>'Station parameters'!C16</f>
        <v>0</v>
      </c>
    </row>
    <row r="35" spans="2:26">
      <c r="B35" s="188" t="s">
        <v>94</v>
      </c>
      <c r="C35" s="462"/>
      <c r="D35" s="463"/>
      <c r="E35" s="462"/>
      <c r="F35" s="463"/>
      <c r="G35" s="462"/>
      <c r="H35" s="463"/>
      <c r="I35" s="462"/>
      <c r="J35" s="463"/>
      <c r="Z35" s="109">
        <f>'Station parameters'!C17</f>
        <v>0</v>
      </c>
    </row>
    <row r="36" spans="2:26">
      <c r="B36" s="188" t="s">
        <v>225</v>
      </c>
      <c r="C36" s="462"/>
      <c r="D36" s="463"/>
      <c r="E36" s="462"/>
      <c r="F36" s="463"/>
      <c r="G36" s="462"/>
      <c r="H36" s="463"/>
      <c r="I36" s="462"/>
      <c r="J36" s="463"/>
      <c r="Z36" s="109">
        <f>'Station parameters'!C18</f>
        <v>0</v>
      </c>
    </row>
    <row r="37" spans="2:26">
      <c r="B37" s="188" t="s">
        <v>53</v>
      </c>
      <c r="C37" s="462"/>
      <c r="D37" s="463"/>
      <c r="E37" s="462"/>
      <c r="F37" s="463"/>
      <c r="G37" s="462"/>
      <c r="H37" s="463"/>
      <c r="I37" s="462"/>
      <c r="J37" s="463"/>
    </row>
    <row r="38" spans="2:26">
      <c r="B38" s="112" t="s">
        <v>226</v>
      </c>
      <c r="C38" s="108"/>
      <c r="D38" s="108"/>
      <c r="E38" s="108"/>
      <c r="F38" s="108"/>
      <c r="G38" s="108"/>
      <c r="H38" s="108"/>
      <c r="I38" s="108"/>
      <c r="J38" s="108"/>
    </row>
    <row r="39" spans="2:26">
      <c r="B39" s="117" t="s">
        <v>227</v>
      </c>
      <c r="C39" s="108"/>
      <c r="D39" s="108"/>
      <c r="E39" s="108"/>
      <c r="F39" s="108"/>
      <c r="G39" s="108"/>
      <c r="H39" s="108"/>
      <c r="I39" s="108"/>
      <c r="J39" s="108"/>
    </row>
    <row r="40" spans="2:26">
      <c r="B40" s="188" t="s">
        <v>75</v>
      </c>
      <c r="C40" s="457"/>
      <c r="D40" s="183"/>
      <c r="E40" s="457"/>
      <c r="F40" s="183"/>
      <c r="G40" s="457"/>
      <c r="H40" s="183"/>
      <c r="I40" s="457"/>
      <c r="J40" s="183"/>
    </row>
    <row r="41" spans="2:26" ht="35.25" customHeight="1">
      <c r="B41" s="190" t="s">
        <v>76</v>
      </c>
      <c r="C41" s="457"/>
      <c r="D41" s="184"/>
      <c r="E41" s="457"/>
      <c r="F41" s="184"/>
      <c r="G41" s="457"/>
      <c r="H41" s="184"/>
      <c r="I41" s="457"/>
      <c r="J41" s="184"/>
    </row>
    <row r="42" spans="2:26">
      <c r="B42" s="189"/>
      <c r="Z42" s="23" t="s">
        <v>244</v>
      </c>
    </row>
    <row r="43" spans="2:26">
      <c r="B43" s="158"/>
      <c r="Z43" s="23" t="s">
        <v>245</v>
      </c>
    </row>
    <row r="44" spans="2:26">
      <c r="B44" s="356" t="s">
        <v>38</v>
      </c>
      <c r="C44" s="132"/>
      <c r="D44" s="132"/>
      <c r="E44" s="132"/>
      <c r="F44" s="132"/>
      <c r="G44" s="132"/>
      <c r="H44" s="132"/>
      <c r="I44" s="132"/>
      <c r="J44" s="132"/>
      <c r="K44" s="132"/>
      <c r="L44" s="132"/>
      <c r="M44" s="132"/>
      <c r="N44" s="132"/>
      <c r="O44" s="132"/>
      <c r="P44" s="132"/>
      <c r="Z44" s="23" t="s">
        <v>246</v>
      </c>
    </row>
    <row r="45" spans="2:26">
      <c r="B45" s="185"/>
      <c r="C45" s="186"/>
      <c r="Z45" s="23" t="s">
        <v>250</v>
      </c>
    </row>
    <row r="46" spans="2:26" ht="15.75">
      <c r="B46" s="187" t="s">
        <v>590</v>
      </c>
      <c r="C46" s="186"/>
      <c r="Z46" s="23" t="s">
        <v>247</v>
      </c>
    </row>
    <row r="47" spans="2:26" ht="15.75">
      <c r="B47" s="187" t="s">
        <v>78</v>
      </c>
      <c r="C47" s="186"/>
      <c r="Z47" s="23" t="s">
        <v>248</v>
      </c>
    </row>
    <row r="48" spans="2:26" ht="15.75">
      <c r="B48" s="187" t="s">
        <v>80</v>
      </c>
      <c r="C48" s="186"/>
      <c r="Z48" s="23" t="s">
        <v>249</v>
      </c>
    </row>
    <row r="50" spans="2:9">
      <c r="B50" s="446" t="s">
        <v>549</v>
      </c>
    </row>
    <row r="51" spans="2:9">
      <c r="B51" s="446" t="s">
        <v>550</v>
      </c>
    </row>
    <row r="52" spans="2:9">
      <c r="B52" s="446" t="s">
        <v>551</v>
      </c>
    </row>
    <row r="53" spans="2:9">
      <c r="B53" s="446" t="s">
        <v>552</v>
      </c>
    </row>
    <row r="54" spans="2:9">
      <c r="B54" s="446" t="s">
        <v>553</v>
      </c>
    </row>
    <row r="55" spans="2:9">
      <c r="B55" s="446"/>
    </row>
    <row r="56" spans="2:9">
      <c r="B56" s="199" t="s">
        <v>546</v>
      </c>
      <c r="C56" s="445" t="s">
        <v>443</v>
      </c>
      <c r="D56" s="445" t="s">
        <v>444</v>
      </c>
      <c r="E56" s="445" t="s">
        <v>445</v>
      </c>
      <c r="F56" s="445" t="s">
        <v>446</v>
      </c>
      <c r="G56" s="445" t="s">
        <v>448</v>
      </c>
      <c r="H56" s="445" t="s">
        <v>547</v>
      </c>
      <c r="I56" s="445" t="s">
        <v>449</v>
      </c>
    </row>
    <row r="57" spans="2:9">
      <c r="B57" s="199" t="s">
        <v>548</v>
      </c>
      <c r="C57" s="199" t="s">
        <v>453</v>
      </c>
      <c r="D57" s="199" t="s">
        <v>454</v>
      </c>
      <c r="E57" s="199" t="s">
        <v>455</v>
      </c>
      <c r="F57" s="199" t="s">
        <v>451</v>
      </c>
      <c r="G57" s="199" t="s">
        <v>456</v>
      </c>
      <c r="H57" s="199" t="s">
        <v>457</v>
      </c>
      <c r="I57" s="199" t="s">
        <v>458</v>
      </c>
    </row>
    <row r="58" spans="2:9">
      <c r="B58" s="199" t="s">
        <v>542</v>
      </c>
      <c r="C58" s="109"/>
      <c r="D58" s="109"/>
      <c r="E58" s="109"/>
      <c r="F58" s="109"/>
      <c r="G58" s="109"/>
      <c r="H58" s="109"/>
      <c r="I58" s="109"/>
    </row>
    <row r="59" spans="2:9">
      <c r="B59" s="199" t="s">
        <v>539</v>
      </c>
      <c r="C59" s="109"/>
      <c r="D59" s="109"/>
      <c r="E59" s="109"/>
      <c r="F59" s="109"/>
      <c r="G59" s="109"/>
      <c r="H59" s="109"/>
      <c r="I59" s="109"/>
    </row>
    <row r="60" spans="2:9">
      <c r="B60" s="199" t="s">
        <v>540</v>
      </c>
      <c r="C60" s="109"/>
      <c r="D60" s="109"/>
      <c r="E60" s="109"/>
      <c r="F60" s="109"/>
      <c r="G60" s="109"/>
      <c r="H60" s="109"/>
      <c r="I60" s="109"/>
    </row>
    <row r="61" spans="2:9">
      <c r="B61" s="199" t="s">
        <v>541</v>
      </c>
      <c r="C61" s="109"/>
      <c r="D61" s="109"/>
      <c r="E61" s="109"/>
      <c r="F61" s="109"/>
      <c r="G61" s="109"/>
      <c r="H61" s="109"/>
      <c r="I61" s="109"/>
    </row>
    <row r="62" spans="2:9">
      <c r="B62" s="199" t="s">
        <v>543</v>
      </c>
      <c r="C62" s="109"/>
      <c r="D62" s="109"/>
      <c r="E62" s="109"/>
      <c r="F62" s="109"/>
      <c r="G62" s="109"/>
      <c r="H62" s="109"/>
      <c r="I62" s="109"/>
    </row>
    <row r="63" spans="2:9">
      <c r="B63" s="199" t="s">
        <v>544</v>
      </c>
      <c r="C63" s="109"/>
      <c r="D63" s="109"/>
      <c r="E63" s="109"/>
      <c r="F63" s="109"/>
      <c r="G63" s="109"/>
      <c r="H63" s="109"/>
      <c r="I63" s="109"/>
    </row>
    <row r="64" spans="2:9">
      <c r="B64" s="199" t="s">
        <v>545</v>
      </c>
      <c r="C64" s="109"/>
      <c r="D64" s="109"/>
      <c r="E64" s="109"/>
      <c r="F64" s="109"/>
      <c r="G64" s="109"/>
      <c r="H64" s="109"/>
      <c r="I64" s="109"/>
    </row>
    <row r="65" spans="2:26" ht="15.75" thickBot="1"/>
    <row r="66" spans="2:26">
      <c r="B66" s="360" t="s">
        <v>320</v>
      </c>
      <c r="C66" s="558" t="s">
        <v>79</v>
      </c>
      <c r="D66" s="559"/>
      <c r="E66" s="559"/>
      <c r="F66" s="206"/>
      <c r="G66" s="207"/>
      <c r="I66" s="360" t="s">
        <v>261</v>
      </c>
      <c r="J66" s="558" t="s">
        <v>79</v>
      </c>
      <c r="K66" s="559"/>
      <c r="L66" s="559"/>
      <c r="M66" s="206"/>
      <c r="N66" s="207"/>
    </row>
    <row r="67" spans="2:26">
      <c r="B67" s="208"/>
      <c r="C67" s="25"/>
      <c r="D67" s="108"/>
      <c r="E67" s="108"/>
      <c r="F67" s="108"/>
      <c r="G67" s="209"/>
      <c r="I67" s="208"/>
      <c r="J67" s="25"/>
      <c r="K67" s="108"/>
      <c r="L67" s="108"/>
      <c r="M67" s="108"/>
      <c r="N67" s="209"/>
    </row>
    <row r="68" spans="2:26">
      <c r="B68" s="208"/>
      <c r="C68" s="25"/>
      <c r="D68" s="33" t="s">
        <v>30</v>
      </c>
      <c r="E68" s="33" t="s">
        <v>37</v>
      </c>
      <c r="F68" s="122"/>
      <c r="G68" s="209"/>
      <c r="I68" s="208"/>
      <c r="J68" s="25"/>
      <c r="K68" s="33" t="s">
        <v>30</v>
      </c>
      <c r="L68" s="33" t="s">
        <v>37</v>
      </c>
      <c r="M68" s="122"/>
      <c r="N68" s="209"/>
    </row>
    <row r="69" spans="2:26">
      <c r="B69" s="210" t="s">
        <v>321</v>
      </c>
      <c r="C69" s="200"/>
      <c r="D69" s="201">
        <f>'Diversion (option 1)'!$D$7</f>
        <v>0</v>
      </c>
      <c r="E69" s="201">
        <f>'Diversion (option 1)'!$E$7</f>
        <v>0</v>
      </c>
      <c r="F69" s="202"/>
      <c r="G69" s="209"/>
      <c r="I69" s="210" t="s">
        <v>253</v>
      </c>
      <c r="J69" s="200"/>
      <c r="K69" s="201">
        <f>'Diversion (option 1)'!$D$8</f>
        <v>0</v>
      </c>
      <c r="L69" s="201">
        <f>'Diversion (option 1)'!$E$8</f>
        <v>0</v>
      </c>
      <c r="M69" s="202"/>
      <c r="N69" s="209"/>
    </row>
    <row r="70" spans="2:26">
      <c r="B70" s="210" t="s">
        <v>251</v>
      </c>
      <c r="C70" s="200"/>
      <c r="D70" s="414"/>
      <c r="E70" s="108"/>
      <c r="F70" s="108"/>
      <c r="G70" s="209"/>
      <c r="I70" s="210" t="s">
        <v>251</v>
      </c>
      <c r="J70" s="200"/>
      <c r="K70" s="414"/>
      <c r="L70" s="108"/>
      <c r="M70" s="108"/>
      <c r="N70" s="209"/>
      <c r="P70" s="446"/>
    </row>
    <row r="71" spans="2:26">
      <c r="B71" s="210" t="s">
        <v>322</v>
      </c>
      <c r="C71" s="200"/>
      <c r="D71" s="457"/>
      <c r="E71" s="457"/>
      <c r="F71" s="202"/>
      <c r="G71" s="209"/>
      <c r="I71" s="210" t="s">
        <v>254</v>
      </c>
      <c r="J71" s="200"/>
      <c r="K71" s="457"/>
      <c r="L71" s="457"/>
      <c r="M71" s="495" t="s">
        <v>591</v>
      </c>
      <c r="N71" s="209"/>
      <c r="P71" s="446"/>
    </row>
    <row r="72" spans="2:26">
      <c r="B72" s="210" t="s">
        <v>464</v>
      </c>
      <c r="C72" s="200"/>
      <c r="D72" s="203">
        <f>(D69*$D70)+D71</f>
        <v>0</v>
      </c>
      <c r="E72" s="203">
        <f>(E69*$D70)+E71</f>
        <v>0</v>
      </c>
      <c r="F72" s="180"/>
      <c r="G72" s="209"/>
      <c r="I72" s="210" t="s">
        <v>252</v>
      </c>
      <c r="J72" s="200"/>
      <c r="K72" s="203">
        <f>(K69*$K70)+K71</f>
        <v>0</v>
      </c>
      <c r="L72" s="203">
        <f>(L69*$K70)+L71</f>
        <v>0</v>
      </c>
      <c r="M72" s="496" t="s">
        <v>592</v>
      </c>
      <c r="N72" s="209"/>
      <c r="P72" s="446"/>
    </row>
    <row r="73" spans="2:26">
      <c r="B73" s="208"/>
      <c r="C73" s="25"/>
      <c r="D73" s="108"/>
      <c r="E73" s="108"/>
      <c r="F73" s="108"/>
      <c r="G73" s="209"/>
      <c r="I73" s="208"/>
      <c r="J73" s="25"/>
      <c r="K73" s="108"/>
      <c r="L73" s="108"/>
      <c r="M73" s="108"/>
      <c r="N73" s="209"/>
      <c r="P73" s="446"/>
    </row>
    <row r="74" spans="2:26">
      <c r="B74" s="68" t="s">
        <v>538</v>
      </c>
      <c r="C74" s="25"/>
      <c r="D74" s="108"/>
      <c r="E74" s="108"/>
      <c r="F74" s="108"/>
      <c r="G74" s="209"/>
      <c r="I74" s="68" t="s">
        <v>255</v>
      </c>
      <c r="J74" s="25"/>
      <c r="K74" s="108"/>
      <c r="L74" s="108"/>
      <c r="M74" s="108"/>
      <c r="N74" s="209"/>
      <c r="P74" s="446"/>
    </row>
    <row r="75" spans="2:26">
      <c r="B75" s="211" t="s">
        <v>442</v>
      </c>
      <c r="C75" s="25"/>
      <c r="D75" s="108"/>
      <c r="E75" s="108"/>
      <c r="F75" s="108"/>
      <c r="G75" s="209"/>
      <c r="I75" s="211" t="s">
        <v>256</v>
      </c>
      <c r="J75" s="25"/>
      <c r="K75" s="108"/>
      <c r="L75" s="108"/>
      <c r="M75" s="108"/>
      <c r="N75" s="209"/>
    </row>
    <row r="76" spans="2:26">
      <c r="B76" s="333" t="s">
        <v>452</v>
      </c>
      <c r="C76" s="33" t="s">
        <v>450</v>
      </c>
      <c r="D76" s="145" t="s">
        <v>142</v>
      </c>
      <c r="E76" s="33" t="s">
        <v>124</v>
      </c>
      <c r="F76" s="33" t="s">
        <v>125</v>
      </c>
      <c r="G76" s="212" t="s">
        <v>126</v>
      </c>
      <c r="I76" s="208"/>
      <c r="J76" s="108"/>
      <c r="K76" s="103" t="s">
        <v>142</v>
      </c>
      <c r="L76" s="33" t="s">
        <v>124</v>
      </c>
      <c r="M76" s="33" t="s">
        <v>125</v>
      </c>
      <c r="N76" s="212" t="s">
        <v>126</v>
      </c>
      <c r="Z76" s="327">
        <v>0.94</v>
      </c>
    </row>
    <row r="77" spans="2:26">
      <c r="B77" s="330" t="s">
        <v>443</v>
      </c>
      <c r="C77" s="23" t="s">
        <v>453</v>
      </c>
      <c r="D77" s="464"/>
      <c r="E77" s="465"/>
      <c r="F77" s="465"/>
      <c r="G77" s="466"/>
      <c r="I77" s="213" t="str">
        <f>'EEM values'!$B$89</f>
        <v>Bike path (off-street)</v>
      </c>
      <c r="J77" s="121"/>
      <c r="K77" s="464"/>
      <c r="L77" s="465"/>
      <c r="M77" s="465"/>
      <c r="N77" s="466"/>
      <c r="Z77" s="327">
        <v>0.96</v>
      </c>
    </row>
    <row r="78" spans="2:26">
      <c r="B78" s="330" t="s">
        <v>444</v>
      </c>
      <c r="C78" s="23" t="s">
        <v>454</v>
      </c>
      <c r="D78" s="464"/>
      <c r="E78" s="464"/>
      <c r="F78" s="465"/>
      <c r="G78" s="466"/>
      <c r="I78" s="213" t="str">
        <f>'EEM values'!$B$90</f>
        <v>Bike lane (on-street without parking)</v>
      </c>
      <c r="J78" s="121"/>
      <c r="K78" s="464"/>
      <c r="L78" s="464"/>
      <c r="M78" s="465"/>
      <c r="N78" s="466"/>
      <c r="Z78" s="327">
        <v>0.98</v>
      </c>
    </row>
    <row r="79" spans="2:26">
      <c r="B79" s="330" t="s">
        <v>445</v>
      </c>
      <c r="C79" s="23" t="s">
        <v>455</v>
      </c>
      <c r="D79" s="464"/>
      <c r="E79" s="464"/>
      <c r="F79" s="464"/>
      <c r="G79" s="466"/>
      <c r="I79" s="213" t="str">
        <f>'EEM values'!$B$91</f>
        <v>Bike lane (on-street with parking)</v>
      </c>
      <c r="J79" s="121"/>
      <c r="K79" s="464"/>
      <c r="L79" s="464"/>
      <c r="M79" s="465"/>
      <c r="N79" s="466"/>
      <c r="Z79" s="327">
        <v>1</v>
      </c>
    </row>
    <row r="80" spans="2:26">
      <c r="B80" s="330" t="s">
        <v>446</v>
      </c>
      <c r="C80" s="109" t="s">
        <v>451</v>
      </c>
      <c r="D80" s="464"/>
      <c r="E80" s="464"/>
      <c r="F80" s="464"/>
      <c r="G80" s="467"/>
      <c r="I80" s="213" t="str">
        <f>'EEM values'!$B$92</f>
        <v>Mixed traffic (less than 10,000 vpd)</v>
      </c>
      <c r="J80" s="204"/>
      <c r="K80" s="464"/>
      <c r="L80" s="464"/>
      <c r="M80" s="464"/>
      <c r="N80" s="467"/>
      <c r="Z80" s="327">
        <v>1.02</v>
      </c>
    </row>
    <row r="81" spans="2:26">
      <c r="B81" s="330" t="s">
        <v>448</v>
      </c>
      <c r="C81" s="109" t="s">
        <v>456</v>
      </c>
      <c r="D81" s="464"/>
      <c r="E81" s="464"/>
      <c r="F81" s="464"/>
      <c r="G81" s="467"/>
      <c r="I81" s="213" t="str">
        <f>'EEM values'!$B$93</f>
        <v>Mixed traffic (10-20,000 vpd)</v>
      </c>
      <c r="J81" s="204"/>
      <c r="K81" s="464"/>
      <c r="L81" s="464"/>
      <c r="M81" s="464"/>
      <c r="N81" s="467"/>
      <c r="Z81" s="327">
        <v>1.04</v>
      </c>
    </row>
    <row r="82" spans="2:26">
      <c r="B82" s="330" t="s">
        <v>447</v>
      </c>
      <c r="C82" s="109" t="s">
        <v>457</v>
      </c>
      <c r="D82" s="464"/>
      <c r="E82" s="464"/>
      <c r="F82" s="464"/>
      <c r="G82" s="467"/>
      <c r="I82" s="213" t="str">
        <f>'EEM values'!$B$94</f>
        <v>Mixed traffic (20-30,000 vpd)</v>
      </c>
      <c r="J82" s="204"/>
      <c r="K82" s="464"/>
      <c r="L82" s="464"/>
      <c r="M82" s="464"/>
      <c r="N82" s="467"/>
      <c r="Z82" s="327">
        <v>1.06</v>
      </c>
    </row>
    <row r="83" spans="2:26">
      <c r="B83" s="330" t="s">
        <v>449</v>
      </c>
      <c r="C83" s="109" t="s">
        <v>458</v>
      </c>
      <c r="D83" s="464"/>
      <c r="E83" s="464"/>
      <c r="F83" s="464"/>
      <c r="G83" s="467"/>
      <c r="I83" s="213" t="str">
        <f>'EEM values'!$B$95</f>
        <v>Mixed traffic (30,000+ vpd)</v>
      </c>
      <c r="J83" s="204"/>
      <c r="K83" s="464"/>
      <c r="L83" s="464"/>
      <c r="M83" s="464"/>
      <c r="N83" s="467"/>
    </row>
    <row r="84" spans="2:26">
      <c r="B84" s="208"/>
      <c r="C84" s="25"/>
      <c r="D84" s="108"/>
      <c r="E84" s="108"/>
      <c r="F84" s="108"/>
      <c r="G84" s="209"/>
      <c r="I84" s="208"/>
      <c r="J84" s="25"/>
      <c r="K84" s="108"/>
      <c r="L84" s="108"/>
      <c r="M84" s="108"/>
      <c r="N84" s="209"/>
      <c r="Z84" s="109"/>
    </row>
    <row r="85" spans="2:26">
      <c r="B85" s="68" t="s">
        <v>270</v>
      </c>
      <c r="C85" s="25"/>
      <c r="D85" s="108"/>
      <c r="E85" s="108"/>
      <c r="F85" s="108"/>
      <c r="G85" s="209"/>
      <c r="I85" s="68" t="s">
        <v>270</v>
      </c>
      <c r="J85" s="25"/>
      <c r="K85" s="108"/>
      <c r="L85" s="108"/>
      <c r="M85" s="108"/>
      <c r="N85" s="209"/>
      <c r="Z85" s="23" t="s">
        <v>440</v>
      </c>
    </row>
    <row r="86" spans="2:26">
      <c r="B86" s="211" t="s">
        <v>435</v>
      </c>
      <c r="C86" s="25"/>
      <c r="D86" s="108"/>
      <c r="E86" s="108"/>
      <c r="F86" s="108"/>
      <c r="G86" s="209"/>
      <c r="I86" s="211" t="s">
        <v>269</v>
      </c>
      <c r="J86" s="25"/>
      <c r="K86" s="108"/>
      <c r="L86" s="108"/>
      <c r="M86" s="108"/>
      <c r="N86" s="209"/>
      <c r="Z86" s="23" t="s">
        <v>441</v>
      </c>
    </row>
    <row r="87" spans="2:26">
      <c r="B87" s="333" t="s">
        <v>436</v>
      </c>
      <c r="C87" s="33" t="s">
        <v>437</v>
      </c>
      <c r="D87" s="145" t="s">
        <v>142</v>
      </c>
      <c r="E87" s="33" t="s">
        <v>124</v>
      </c>
      <c r="F87" s="33" t="s">
        <v>125</v>
      </c>
      <c r="G87" s="212" t="s">
        <v>126</v>
      </c>
      <c r="I87" s="208"/>
      <c r="J87" s="108"/>
      <c r="K87" s="103" t="s">
        <v>142</v>
      </c>
      <c r="L87" s="33" t="s">
        <v>124</v>
      </c>
      <c r="M87" s="33" t="s">
        <v>125</v>
      </c>
      <c r="N87" s="212" t="s">
        <v>126</v>
      </c>
      <c r="Z87" s="23" t="s">
        <v>439</v>
      </c>
    </row>
    <row r="88" spans="2:26">
      <c r="B88" s="472"/>
      <c r="C88" s="462"/>
      <c r="D88" s="464"/>
      <c r="E88" s="465"/>
      <c r="F88" s="465"/>
      <c r="G88" s="466"/>
      <c r="I88" s="213" t="str">
        <f>'EEM values'!$B$98</f>
        <v>Traffic signals (excluding left-turn)</v>
      </c>
      <c r="J88" s="121"/>
      <c r="K88" s="464"/>
      <c r="L88" s="465"/>
      <c r="M88" s="465"/>
      <c r="N88" s="466"/>
      <c r="Z88" s="23" t="s">
        <v>438</v>
      </c>
    </row>
    <row r="89" spans="2:26">
      <c r="B89" s="472"/>
      <c r="C89" s="462"/>
      <c r="D89" s="464"/>
      <c r="E89" s="464"/>
      <c r="F89" s="464"/>
      <c r="G89" s="466"/>
      <c r="I89" s="213" t="str">
        <f>'EEM values'!$B$99</f>
        <v>Stop sign</v>
      </c>
      <c r="J89" s="121"/>
      <c r="K89" s="464"/>
      <c r="L89" s="464"/>
      <c r="M89" s="465"/>
      <c r="N89" s="466"/>
    </row>
    <row r="90" spans="2:26">
      <c r="B90" s="472"/>
      <c r="C90" s="473"/>
      <c r="D90" s="464"/>
      <c r="E90" s="464"/>
      <c r="F90" s="464"/>
      <c r="G90" s="467"/>
      <c r="I90" s="213" t="str">
        <f>'EEM values'!$B$100</f>
        <v>No signal, Right turn; 10,000-20,000 vpd</v>
      </c>
      <c r="J90" s="204"/>
      <c r="K90" s="464"/>
      <c r="L90" s="464"/>
      <c r="M90" s="464"/>
      <c r="N90" s="467"/>
    </row>
    <row r="91" spans="2:26">
      <c r="B91" s="472"/>
      <c r="C91" s="473"/>
      <c r="D91" s="464"/>
      <c r="E91" s="464"/>
      <c r="F91" s="464"/>
      <c r="G91" s="467"/>
      <c r="I91" s="213" t="str">
        <f>'EEM values'!$B$101</f>
        <v>No signal, Right turn; 20,000+ vpd</v>
      </c>
      <c r="J91" s="204"/>
      <c r="K91" s="464"/>
      <c r="L91" s="464"/>
      <c r="M91" s="464"/>
      <c r="N91" s="467"/>
    </row>
    <row r="92" spans="2:26">
      <c r="B92" s="472"/>
      <c r="C92" s="473"/>
      <c r="D92" s="464"/>
      <c r="E92" s="464"/>
      <c r="F92" s="464"/>
      <c r="G92" s="467"/>
      <c r="I92" s="213" t="str">
        <f>'EEM values'!$B$102</f>
        <v>No signal, Left turn; 10,000+ vpd</v>
      </c>
      <c r="J92" s="204"/>
      <c r="K92" s="464"/>
      <c r="L92" s="464"/>
      <c r="M92" s="464"/>
      <c r="N92" s="467"/>
    </row>
    <row r="93" spans="2:26">
      <c r="B93" s="472"/>
      <c r="C93" s="473"/>
      <c r="D93" s="464"/>
      <c r="E93" s="464"/>
      <c r="F93" s="464"/>
      <c r="G93" s="467"/>
      <c r="I93" s="213" t="str">
        <f>'EEM values'!$B$103</f>
        <v>No signal, crossing*; 5,000-10,000 vpd</v>
      </c>
      <c r="J93" s="204"/>
      <c r="K93" s="464"/>
      <c r="L93" s="464"/>
      <c r="M93" s="464"/>
      <c r="N93" s="467"/>
    </row>
    <row r="94" spans="2:26">
      <c r="B94" s="472"/>
      <c r="C94" s="473"/>
      <c r="D94" s="464"/>
      <c r="E94" s="464"/>
      <c r="F94" s="464"/>
      <c r="G94" s="467"/>
      <c r="I94" s="213" t="str">
        <f>'EEM values'!$B$104</f>
        <v>No signal, crossing*; 10,000-20,000 vpd</v>
      </c>
      <c r="J94" s="204"/>
      <c r="K94" s="464"/>
      <c r="L94" s="464"/>
      <c r="M94" s="464"/>
      <c r="N94" s="467"/>
    </row>
    <row r="95" spans="2:26">
      <c r="B95" s="472"/>
      <c r="C95" s="473"/>
      <c r="D95" s="464"/>
      <c r="E95" s="464"/>
      <c r="F95" s="464"/>
      <c r="G95" s="467"/>
      <c r="I95" s="213" t="str">
        <f>'EEM values'!$B$105</f>
        <v>No signal, crossing*; 20,000+ vpd</v>
      </c>
      <c r="J95" s="204"/>
      <c r="K95" s="464"/>
      <c r="L95" s="464"/>
      <c r="M95" s="464"/>
      <c r="N95" s="467"/>
    </row>
    <row r="96" spans="2:26">
      <c r="B96" s="208"/>
      <c r="C96" s="25"/>
      <c r="D96" s="108"/>
      <c r="E96" s="108"/>
      <c r="F96" s="108"/>
      <c r="G96" s="209"/>
      <c r="I96" s="208"/>
      <c r="J96" s="25"/>
      <c r="K96" s="108"/>
      <c r="L96" s="108"/>
      <c r="M96" s="108"/>
      <c r="N96" s="209"/>
    </row>
    <row r="97" spans="2:14">
      <c r="B97" s="210" t="s">
        <v>271</v>
      </c>
      <c r="C97" s="200"/>
      <c r="D97" s="230">
        <f>SUM(D77:D83)</f>
        <v>0</v>
      </c>
      <c r="E97" s="230">
        <f>SUM(E77:E83)</f>
        <v>0</v>
      </c>
      <c r="F97" s="230">
        <f>SUM(F77:F83)</f>
        <v>0</v>
      </c>
      <c r="G97" s="331">
        <f>SUM(G77:G83)</f>
        <v>0</v>
      </c>
      <c r="I97" s="210" t="s">
        <v>271</v>
      </c>
      <c r="J97" s="200"/>
      <c r="K97" s="230">
        <f>SUM(K77:K83)</f>
        <v>0</v>
      </c>
      <c r="L97" s="230">
        <f>SUM(L77:L83)</f>
        <v>0</v>
      </c>
      <c r="M97" s="230">
        <f>SUM(M77:M83)</f>
        <v>0</v>
      </c>
      <c r="N97" s="331">
        <f>SUM(N77:N83)</f>
        <v>0</v>
      </c>
    </row>
    <row r="98" spans="2:14">
      <c r="B98" s="210" t="s">
        <v>272</v>
      </c>
      <c r="C98" s="200"/>
      <c r="D98" s="230">
        <f>ROUND(D97/1.33,0)+SUM(D88:D95)</f>
        <v>0</v>
      </c>
      <c r="E98" s="230">
        <f t="shared" ref="E98:G98" si="0">ROUND(E97/1.33,0)+SUM(E88:E95)</f>
        <v>0</v>
      </c>
      <c r="F98" s="230">
        <f t="shared" si="0"/>
        <v>0</v>
      </c>
      <c r="G98" s="230">
        <f t="shared" si="0"/>
        <v>0</v>
      </c>
      <c r="I98" s="210" t="s">
        <v>272</v>
      </c>
      <c r="J98" s="200"/>
      <c r="K98" s="230">
        <f>ROUND(K97/'EEM values'!$C$108,0)</f>
        <v>0</v>
      </c>
      <c r="L98" s="230">
        <f>ROUND(L97/'EEM values'!$C$108,0)</f>
        <v>0</v>
      </c>
      <c r="M98" s="230">
        <f>ROUND(M97/'EEM values'!$C$108,0)</f>
        <v>0</v>
      </c>
      <c r="N98" s="331">
        <f>ROUND(N97/'EEM values'!$C$108,0)</f>
        <v>0</v>
      </c>
    </row>
    <row r="99" spans="2:14">
      <c r="B99" s="210" t="s">
        <v>521</v>
      </c>
      <c r="C99" s="200"/>
      <c r="D99" s="332">
        <f>SUMPRODUCT(D77:D83,$Z$76:$Z$82)+(SUM(D88:D95)*2.5)</f>
        <v>0</v>
      </c>
      <c r="E99" s="332">
        <f>SUMPRODUCT(E77:E83,$Z$76:$Z$82)+(SUM(E88:E95)*2.5)</f>
        <v>0</v>
      </c>
      <c r="F99" s="332">
        <f>SUMPRODUCT(F77:F83,$Z$76:$Z$82)+(SUM(F88:F95)*2.5)</f>
        <v>0</v>
      </c>
      <c r="G99" s="331">
        <f>SUMPRODUCT(G77:G83,$Z$76:$Z$82)+(SUM(G88:G95)*2.5)</f>
        <v>0</v>
      </c>
      <c r="I99" s="210" t="s">
        <v>259</v>
      </c>
      <c r="J99" s="200"/>
      <c r="K99" s="230">
        <f>SUMPRODUCT(K77:K83,'EEM values'!$C$89:$C$95)/'EEM values'!$C$108+SUMPRODUCT(K88:K95,'EEM values'!$C$98:$C$105)</f>
        <v>0</v>
      </c>
      <c r="L99" s="230">
        <f>SUMPRODUCT(L77:L83,'EEM values'!$C$89:$C$95)/'EEM values'!$C$108+SUMPRODUCT(L88:L95,'EEM values'!$C$98:$C$105)</f>
        <v>0</v>
      </c>
      <c r="M99" s="230">
        <f>SUMPRODUCT(M77:M83,'EEM values'!$C$89:$C$95)/'EEM values'!$C$108+SUMPRODUCT(M88:M95,'EEM values'!$C$98:$C$105)</f>
        <v>0</v>
      </c>
      <c r="N99" s="331">
        <f>SUMPRODUCT(N77:N83,'EEM values'!$C$89:$C$95)/'EEM values'!$C$108+SUMPRODUCT(N88:N95,'EEM values'!$C$98:$C$105)</f>
        <v>0</v>
      </c>
    </row>
    <row r="100" spans="2:14">
      <c r="B100" s="69"/>
      <c r="C100" s="231"/>
      <c r="D100" s="232"/>
      <c r="E100" s="232"/>
      <c r="F100" s="174"/>
      <c r="G100" s="233"/>
      <c r="I100" s="210" t="s">
        <v>260</v>
      </c>
      <c r="J100" s="200"/>
      <c r="K100" s="230">
        <f>SUMPRODUCT(K77:K83,'EEM values'!$D$89:$D$95)/'EEM values'!$C$108+SUMPRODUCT(K88:K95,'EEM values'!$D$98:$D$105)</f>
        <v>0</v>
      </c>
      <c r="L100" s="230">
        <f>SUMPRODUCT(L77:L83,'EEM values'!$D$89:$D$95)/'EEM values'!$C$108+SUMPRODUCT(L88:L95,'EEM values'!$D$98:$D$105)</f>
        <v>0</v>
      </c>
      <c r="M100" s="230">
        <f>SUMPRODUCT(M77:M83,'EEM values'!$D$89:$D$95)/'EEM values'!$C$108+SUMPRODUCT(M88:M95,'EEM values'!$D$98:$D$105)</f>
        <v>0</v>
      </c>
      <c r="N100" s="331">
        <f>SUMPRODUCT(N77:N83,'EEM values'!$D$89:$D$95)/'EEM values'!$C$108+SUMPRODUCT(N88:N95,'EEM values'!$D$98:$D$105)</f>
        <v>0</v>
      </c>
    </row>
    <row r="101" spans="2:14">
      <c r="B101" s="76"/>
      <c r="C101" s="25"/>
      <c r="D101" s="108"/>
      <c r="E101" s="108"/>
      <c r="F101" s="108"/>
      <c r="G101" s="209"/>
      <c r="I101" s="76"/>
      <c r="J101" s="25"/>
      <c r="K101" s="108"/>
      <c r="L101" s="108"/>
      <c r="M101" s="108"/>
      <c r="N101" s="209"/>
    </row>
    <row r="102" spans="2:14">
      <c r="B102" s="68" t="s">
        <v>258</v>
      </c>
      <c r="C102" s="25"/>
      <c r="D102" s="108"/>
      <c r="E102" s="108"/>
      <c r="F102" s="108"/>
      <c r="G102" s="209"/>
      <c r="I102" s="68" t="s">
        <v>258</v>
      </c>
      <c r="J102" s="25"/>
      <c r="K102" s="108"/>
      <c r="L102" s="108"/>
      <c r="M102" s="108"/>
      <c r="N102" s="209"/>
    </row>
    <row r="103" spans="2:14">
      <c r="B103" s="208"/>
      <c r="C103" s="25"/>
      <c r="D103" s="145" t="s">
        <v>142</v>
      </c>
      <c r="E103" s="33" t="s">
        <v>124</v>
      </c>
      <c r="F103" s="33" t="s">
        <v>125</v>
      </c>
      <c r="G103" s="212" t="s">
        <v>126</v>
      </c>
      <c r="I103" s="208"/>
      <c r="J103" s="25"/>
      <c r="K103" s="103" t="s">
        <v>142</v>
      </c>
      <c r="L103" s="33" t="s">
        <v>124</v>
      </c>
      <c r="M103" s="33" t="s">
        <v>125</v>
      </c>
      <c r="N103" s="212" t="s">
        <v>126</v>
      </c>
    </row>
    <row r="104" spans="2:14">
      <c r="B104" s="566" t="s">
        <v>75</v>
      </c>
      <c r="C104" s="567"/>
      <c r="D104" s="461"/>
      <c r="E104" s="457"/>
      <c r="F104" s="457"/>
      <c r="G104" s="468"/>
      <c r="I104" s="566" t="s">
        <v>75</v>
      </c>
      <c r="J104" s="567"/>
      <c r="K104" s="461"/>
      <c r="L104" s="457"/>
      <c r="M104" s="457"/>
      <c r="N104" s="457"/>
    </row>
    <row r="105" spans="2:14" ht="15.75" customHeight="1" thickBot="1">
      <c r="B105" s="564" t="s">
        <v>76</v>
      </c>
      <c r="C105" s="565"/>
      <c r="D105" s="469"/>
      <c r="E105" s="470"/>
      <c r="F105" s="470"/>
      <c r="G105" s="470"/>
      <c r="I105" s="564" t="s">
        <v>76</v>
      </c>
      <c r="J105" s="565"/>
      <c r="K105" s="469"/>
      <c r="L105" s="470"/>
      <c r="M105" s="470"/>
      <c r="N105" s="470"/>
    </row>
    <row r="106" spans="2:14" ht="15.75" customHeight="1" thickBot="1">
      <c r="B106" s="158"/>
      <c r="C106" s="229"/>
      <c r="D106" s="228"/>
      <c r="E106" s="183"/>
      <c r="F106" s="183"/>
      <c r="G106" s="183"/>
      <c r="I106" s="158"/>
      <c r="J106" s="102"/>
      <c r="K106" s="228"/>
      <c r="L106" s="183"/>
      <c r="M106" s="183"/>
      <c r="N106" s="183"/>
    </row>
    <row r="107" spans="2:14" ht="15.75" customHeight="1">
      <c r="B107" s="360" t="s">
        <v>460</v>
      </c>
      <c r="C107" s="558" t="s">
        <v>79</v>
      </c>
      <c r="D107" s="559"/>
      <c r="E107" s="559"/>
      <c r="F107" s="206"/>
      <c r="G107" s="207"/>
      <c r="I107" s="360" t="s">
        <v>459</v>
      </c>
      <c r="J107" s="558" t="s">
        <v>79</v>
      </c>
      <c r="K107" s="559"/>
      <c r="L107" s="559"/>
      <c r="M107" s="206"/>
      <c r="N107" s="207"/>
    </row>
    <row r="108" spans="2:14">
      <c r="B108" s="208"/>
      <c r="C108" s="25"/>
      <c r="D108" s="108"/>
      <c r="E108" s="108"/>
      <c r="F108" s="108"/>
      <c r="G108" s="209"/>
      <c r="I108" s="208"/>
      <c r="J108" s="25"/>
      <c r="K108" s="108"/>
      <c r="L108" s="108"/>
      <c r="M108" s="108"/>
      <c r="N108" s="209"/>
    </row>
    <row r="109" spans="2:14">
      <c r="B109" s="208"/>
      <c r="C109" s="25"/>
      <c r="D109" s="33" t="s">
        <v>30</v>
      </c>
      <c r="E109" s="33" t="s">
        <v>37</v>
      </c>
      <c r="F109" s="122"/>
      <c r="G109" s="209"/>
      <c r="I109" s="208"/>
      <c r="J109" s="25"/>
      <c r="K109" s="33" t="s">
        <v>30</v>
      </c>
      <c r="L109" s="33" t="s">
        <v>37</v>
      </c>
      <c r="M109" s="122"/>
      <c r="N109" s="209"/>
    </row>
    <row r="110" spans="2:14">
      <c r="B110" s="210" t="s">
        <v>321</v>
      </c>
      <c r="C110" s="200"/>
      <c r="D110" s="201">
        <f>'Diversion (option 1)'!$D$7</f>
        <v>0</v>
      </c>
      <c r="E110" s="201">
        <f>'Diversion (option 1)'!$E$7</f>
        <v>0</v>
      </c>
      <c r="F110" s="202"/>
      <c r="G110" s="209"/>
      <c r="I110" s="210" t="s">
        <v>253</v>
      </c>
      <c r="J110" s="200"/>
      <c r="K110" s="201">
        <f>'Diversion (option 1)'!$D$8</f>
        <v>0</v>
      </c>
      <c r="L110" s="201">
        <f>'Diversion (option 1)'!$E$8</f>
        <v>0</v>
      </c>
      <c r="M110" s="202"/>
      <c r="N110" s="209"/>
    </row>
    <row r="111" spans="2:14">
      <c r="B111" s="210" t="s">
        <v>461</v>
      </c>
      <c r="C111" s="200"/>
      <c r="D111" s="414"/>
      <c r="E111" s="108"/>
      <c r="F111" s="108"/>
      <c r="G111" s="209"/>
      <c r="I111" s="210" t="s">
        <v>461</v>
      </c>
      <c r="J111" s="200"/>
      <c r="K111" s="414"/>
      <c r="L111" s="108"/>
      <c r="M111" s="108"/>
      <c r="N111" s="209"/>
    </row>
    <row r="112" spans="2:14">
      <c r="B112" s="210" t="s">
        <v>465</v>
      </c>
      <c r="C112" s="200"/>
      <c r="D112" s="457"/>
      <c r="E112" s="457"/>
      <c r="F112" s="202"/>
      <c r="G112" s="209"/>
      <c r="I112" s="210" t="s">
        <v>462</v>
      </c>
      <c r="J112" s="200"/>
      <c r="K112" s="457"/>
      <c r="L112" s="457"/>
      <c r="M112" s="495" t="s">
        <v>591</v>
      </c>
      <c r="N112" s="209"/>
    </row>
    <row r="113" spans="2:14">
      <c r="B113" s="210" t="s">
        <v>466</v>
      </c>
      <c r="C113" s="200"/>
      <c r="D113" s="203">
        <f>(D110*$D111)+D112</f>
        <v>0</v>
      </c>
      <c r="E113" s="203">
        <f>(E110*$D111)+E112</f>
        <v>0</v>
      </c>
      <c r="F113" s="180"/>
      <c r="G113" s="209"/>
      <c r="I113" s="210" t="s">
        <v>463</v>
      </c>
      <c r="J113" s="200"/>
      <c r="K113" s="203">
        <f>(K110*$K111)+K112</f>
        <v>0</v>
      </c>
      <c r="L113" s="203">
        <f>(L110*$K111)+L112</f>
        <v>0</v>
      </c>
      <c r="M113" s="496" t="s">
        <v>592</v>
      </c>
      <c r="N113" s="209"/>
    </row>
    <row r="114" spans="2:14">
      <c r="B114" s="208"/>
      <c r="C114" s="25"/>
      <c r="D114" s="108"/>
      <c r="E114" s="108"/>
      <c r="F114" s="108"/>
      <c r="G114" s="209"/>
      <c r="I114" s="208"/>
      <c r="J114" s="25"/>
      <c r="K114" s="108"/>
      <c r="L114" s="108"/>
      <c r="M114" s="108"/>
      <c r="N114" s="209"/>
    </row>
    <row r="115" spans="2:14">
      <c r="B115" s="68" t="s">
        <v>255</v>
      </c>
      <c r="C115" s="25"/>
      <c r="D115" s="108"/>
      <c r="E115" s="108"/>
      <c r="F115" s="108"/>
      <c r="G115" s="209"/>
      <c r="I115" s="68" t="s">
        <v>255</v>
      </c>
      <c r="J115" s="25"/>
      <c r="K115" s="108"/>
      <c r="L115" s="108"/>
      <c r="M115" s="108"/>
      <c r="N115" s="209"/>
    </row>
    <row r="116" spans="2:14">
      <c r="B116" s="211" t="s">
        <v>442</v>
      </c>
      <c r="C116" s="25"/>
      <c r="D116" s="108"/>
      <c r="E116" s="108"/>
      <c r="F116" s="108"/>
      <c r="G116" s="209"/>
      <c r="I116" s="211" t="s">
        <v>256</v>
      </c>
      <c r="J116" s="25"/>
      <c r="K116" s="108"/>
      <c r="L116" s="108"/>
      <c r="M116" s="108"/>
      <c r="N116" s="209"/>
    </row>
    <row r="117" spans="2:14">
      <c r="B117" s="333" t="s">
        <v>452</v>
      </c>
      <c r="C117" s="33" t="s">
        <v>450</v>
      </c>
      <c r="D117" s="294" t="s">
        <v>142</v>
      </c>
      <c r="E117" s="33" t="s">
        <v>124</v>
      </c>
      <c r="F117" s="33" t="s">
        <v>125</v>
      </c>
      <c r="G117" s="212" t="s">
        <v>126</v>
      </c>
      <c r="I117" s="208"/>
      <c r="J117" s="108"/>
      <c r="K117" s="294" t="s">
        <v>142</v>
      </c>
      <c r="L117" s="33" t="s">
        <v>124</v>
      </c>
      <c r="M117" s="33" t="s">
        <v>125</v>
      </c>
      <c r="N117" s="212" t="s">
        <v>126</v>
      </c>
    </row>
    <row r="118" spans="2:14">
      <c r="B118" s="330" t="s">
        <v>443</v>
      </c>
      <c r="C118" s="23" t="s">
        <v>453</v>
      </c>
      <c r="D118" s="464"/>
      <c r="E118" s="465"/>
      <c r="F118" s="465"/>
      <c r="G118" s="466"/>
      <c r="I118" s="213" t="str">
        <f>'EEM values'!$B$89</f>
        <v>Bike path (off-street)</v>
      </c>
      <c r="J118" s="121"/>
      <c r="K118" s="464"/>
      <c r="L118" s="465"/>
      <c r="M118" s="465"/>
      <c r="N118" s="466"/>
    </row>
    <row r="119" spans="2:14">
      <c r="B119" s="330" t="s">
        <v>444</v>
      </c>
      <c r="C119" s="23" t="s">
        <v>454</v>
      </c>
      <c r="D119" s="464"/>
      <c r="E119" s="464"/>
      <c r="F119" s="464"/>
      <c r="G119" s="466"/>
      <c r="I119" s="213" t="str">
        <f>'EEM values'!$B$90</f>
        <v>Bike lane (on-street without parking)</v>
      </c>
      <c r="J119" s="121"/>
      <c r="K119" s="464"/>
      <c r="L119" s="464"/>
      <c r="M119" s="465"/>
      <c r="N119" s="466"/>
    </row>
    <row r="120" spans="2:14">
      <c r="B120" s="330" t="s">
        <v>445</v>
      </c>
      <c r="C120" s="23" t="s">
        <v>455</v>
      </c>
      <c r="D120" s="464"/>
      <c r="E120" s="464"/>
      <c r="F120" s="465"/>
      <c r="G120" s="466"/>
      <c r="I120" s="213" t="str">
        <f>'EEM values'!$B$91</f>
        <v>Bike lane (on-street with parking)</v>
      </c>
      <c r="J120" s="121"/>
      <c r="K120" s="464"/>
      <c r="L120" s="464"/>
      <c r="M120" s="465"/>
      <c r="N120" s="466"/>
    </row>
    <row r="121" spans="2:14">
      <c r="B121" s="330" t="s">
        <v>446</v>
      </c>
      <c r="C121" s="109" t="s">
        <v>451</v>
      </c>
      <c r="D121" s="464"/>
      <c r="E121" s="464"/>
      <c r="F121" s="464"/>
      <c r="G121" s="467"/>
      <c r="I121" s="213" t="str">
        <f>'EEM values'!$B$92</f>
        <v>Mixed traffic (less than 10,000 vpd)</v>
      </c>
      <c r="J121" s="204"/>
      <c r="K121" s="464"/>
      <c r="L121" s="464"/>
      <c r="M121" s="464"/>
      <c r="N121" s="467"/>
    </row>
    <row r="122" spans="2:14">
      <c r="B122" s="330" t="s">
        <v>448</v>
      </c>
      <c r="C122" s="109" t="s">
        <v>456</v>
      </c>
      <c r="D122" s="464"/>
      <c r="E122" s="464"/>
      <c r="F122" s="464"/>
      <c r="G122" s="467"/>
      <c r="I122" s="213" t="str">
        <f>'EEM values'!$B$93</f>
        <v>Mixed traffic (10-20,000 vpd)</v>
      </c>
      <c r="J122" s="204"/>
      <c r="K122" s="464"/>
      <c r="L122" s="464"/>
      <c r="M122" s="464"/>
      <c r="N122" s="467"/>
    </row>
    <row r="123" spans="2:14">
      <c r="B123" s="330" t="s">
        <v>447</v>
      </c>
      <c r="C123" s="109" t="s">
        <v>457</v>
      </c>
      <c r="D123" s="464"/>
      <c r="E123" s="464"/>
      <c r="F123" s="464"/>
      <c r="G123" s="467"/>
      <c r="I123" s="213" t="str">
        <f>'EEM values'!$B$94</f>
        <v>Mixed traffic (20-30,000 vpd)</v>
      </c>
      <c r="J123" s="204"/>
      <c r="K123" s="464"/>
      <c r="L123" s="464"/>
      <c r="M123" s="464"/>
      <c r="N123" s="467"/>
    </row>
    <row r="124" spans="2:14">
      <c r="B124" s="330" t="s">
        <v>449</v>
      </c>
      <c r="C124" s="109" t="s">
        <v>458</v>
      </c>
      <c r="D124" s="464"/>
      <c r="E124" s="464"/>
      <c r="F124" s="464"/>
      <c r="G124" s="467"/>
      <c r="I124" s="213" t="str">
        <f>'EEM values'!$B$95</f>
        <v>Mixed traffic (30,000+ vpd)</v>
      </c>
      <c r="J124" s="204"/>
      <c r="K124" s="464"/>
      <c r="L124" s="464"/>
      <c r="M124" s="464"/>
      <c r="N124" s="467"/>
    </row>
    <row r="125" spans="2:14">
      <c r="B125" s="208"/>
      <c r="C125" s="25"/>
      <c r="D125" s="108"/>
      <c r="E125" s="108"/>
      <c r="F125" s="108"/>
      <c r="G125" s="209"/>
      <c r="I125" s="208"/>
      <c r="J125" s="25"/>
      <c r="K125" s="108"/>
      <c r="L125" s="108"/>
      <c r="M125" s="108"/>
      <c r="N125" s="209"/>
    </row>
    <row r="126" spans="2:14">
      <c r="B126" s="68" t="s">
        <v>270</v>
      </c>
      <c r="C126" s="25"/>
      <c r="D126" s="108"/>
      <c r="E126" s="108"/>
      <c r="F126" s="108"/>
      <c r="G126" s="209"/>
      <c r="I126" s="68" t="s">
        <v>270</v>
      </c>
      <c r="J126" s="25"/>
      <c r="K126" s="108"/>
      <c r="L126" s="108"/>
      <c r="M126" s="108"/>
      <c r="N126" s="209"/>
    </row>
    <row r="127" spans="2:14">
      <c r="B127" s="211" t="s">
        <v>435</v>
      </c>
      <c r="C127" s="25"/>
      <c r="D127" s="108"/>
      <c r="E127" s="108"/>
      <c r="F127" s="108"/>
      <c r="G127" s="209"/>
      <c r="I127" s="211" t="s">
        <v>269</v>
      </c>
      <c r="J127" s="25"/>
      <c r="K127" s="108"/>
      <c r="L127" s="108"/>
      <c r="M127" s="108"/>
      <c r="N127" s="209"/>
    </row>
    <row r="128" spans="2:14">
      <c r="B128" s="333" t="s">
        <v>436</v>
      </c>
      <c r="C128" s="33" t="s">
        <v>437</v>
      </c>
      <c r="D128" s="294" t="s">
        <v>142</v>
      </c>
      <c r="E128" s="33" t="s">
        <v>124</v>
      </c>
      <c r="F128" s="33" t="s">
        <v>125</v>
      </c>
      <c r="G128" s="212" t="s">
        <v>126</v>
      </c>
      <c r="I128" s="208"/>
      <c r="J128" s="108"/>
      <c r="K128" s="294" t="s">
        <v>142</v>
      </c>
      <c r="L128" s="33" t="s">
        <v>124</v>
      </c>
      <c r="M128" s="33" t="s">
        <v>125</v>
      </c>
      <c r="N128" s="212" t="s">
        <v>126</v>
      </c>
    </row>
    <row r="129" spans="2:14">
      <c r="B129" s="472"/>
      <c r="C129" s="462"/>
      <c r="D129" s="464"/>
      <c r="E129" s="465"/>
      <c r="F129" s="465"/>
      <c r="G129" s="466"/>
      <c r="I129" s="213" t="str">
        <f>'EEM values'!$B$98</f>
        <v>Traffic signals (excluding left-turn)</v>
      </c>
      <c r="J129" s="121"/>
      <c r="K129" s="464"/>
      <c r="L129" s="465"/>
      <c r="M129" s="465"/>
      <c r="N129" s="466"/>
    </row>
    <row r="130" spans="2:14">
      <c r="B130" s="472"/>
      <c r="C130" s="462"/>
      <c r="D130" s="464"/>
      <c r="E130" s="464"/>
      <c r="F130" s="465"/>
      <c r="G130" s="466"/>
      <c r="I130" s="213" t="str">
        <f>'EEM values'!$B$99</f>
        <v>Stop sign</v>
      </c>
      <c r="J130" s="121"/>
      <c r="K130" s="464"/>
      <c r="L130" s="464"/>
      <c r="M130" s="465"/>
      <c r="N130" s="466"/>
    </row>
    <row r="131" spans="2:14">
      <c r="B131" s="472"/>
      <c r="C131" s="473"/>
      <c r="D131" s="464"/>
      <c r="E131" s="464"/>
      <c r="F131" s="464"/>
      <c r="G131" s="467"/>
      <c r="I131" s="213" t="str">
        <f>'EEM values'!$B$100</f>
        <v>No signal, Right turn; 10,000-20,000 vpd</v>
      </c>
      <c r="J131" s="204"/>
      <c r="K131" s="464"/>
      <c r="L131" s="464"/>
      <c r="M131" s="464"/>
      <c r="N131" s="467"/>
    </row>
    <row r="132" spans="2:14">
      <c r="B132" s="472"/>
      <c r="C132" s="473"/>
      <c r="D132" s="464"/>
      <c r="E132" s="464"/>
      <c r="F132" s="464"/>
      <c r="G132" s="467"/>
      <c r="I132" s="213" t="str">
        <f>'EEM values'!$B$101</f>
        <v>No signal, Right turn; 20,000+ vpd</v>
      </c>
      <c r="J132" s="204"/>
      <c r="K132" s="464"/>
      <c r="L132" s="464"/>
      <c r="M132" s="464"/>
      <c r="N132" s="467"/>
    </row>
    <row r="133" spans="2:14">
      <c r="B133" s="472"/>
      <c r="C133" s="473"/>
      <c r="D133" s="464"/>
      <c r="E133" s="464"/>
      <c r="F133" s="464"/>
      <c r="G133" s="467"/>
      <c r="I133" s="213" t="str">
        <f>'EEM values'!$B$102</f>
        <v>No signal, Left turn; 10,000+ vpd</v>
      </c>
      <c r="J133" s="204"/>
      <c r="K133" s="464"/>
      <c r="L133" s="464"/>
      <c r="M133" s="464"/>
      <c r="N133" s="467"/>
    </row>
    <row r="134" spans="2:14">
      <c r="B134" s="472"/>
      <c r="C134" s="473"/>
      <c r="D134" s="464"/>
      <c r="E134" s="464"/>
      <c r="F134" s="464"/>
      <c r="G134" s="467"/>
      <c r="I134" s="213" t="str">
        <f>'EEM values'!$B$103</f>
        <v>No signal, crossing*; 5,000-10,000 vpd</v>
      </c>
      <c r="J134" s="204"/>
      <c r="K134" s="464"/>
      <c r="L134" s="464"/>
      <c r="M134" s="464"/>
      <c r="N134" s="467"/>
    </row>
    <row r="135" spans="2:14">
      <c r="B135" s="472"/>
      <c r="C135" s="473"/>
      <c r="D135" s="464"/>
      <c r="E135" s="464"/>
      <c r="F135" s="464"/>
      <c r="G135" s="467"/>
      <c r="I135" s="213" t="str">
        <f>'EEM values'!$B$104</f>
        <v>No signal, crossing*; 10,000-20,000 vpd</v>
      </c>
      <c r="J135" s="204"/>
      <c r="K135" s="464"/>
      <c r="L135" s="464"/>
      <c r="M135" s="464"/>
      <c r="N135" s="467"/>
    </row>
    <row r="136" spans="2:14">
      <c r="B136" s="472"/>
      <c r="C136" s="473"/>
      <c r="D136" s="464"/>
      <c r="E136" s="464"/>
      <c r="F136" s="464"/>
      <c r="G136" s="467"/>
      <c r="I136" s="213" t="str">
        <f>'EEM values'!$B$105</f>
        <v>No signal, crossing*; 20,000+ vpd</v>
      </c>
      <c r="J136" s="204"/>
      <c r="K136" s="464"/>
      <c r="L136" s="464"/>
      <c r="M136" s="464"/>
      <c r="N136" s="467"/>
    </row>
    <row r="137" spans="2:14">
      <c r="B137" s="208"/>
      <c r="C137" s="25"/>
      <c r="D137" s="108"/>
      <c r="E137" s="108"/>
      <c r="F137" s="108"/>
      <c r="G137" s="209"/>
      <c r="I137" s="208"/>
      <c r="J137" s="25"/>
      <c r="K137" s="108"/>
      <c r="L137" s="108"/>
      <c r="M137" s="108"/>
      <c r="N137" s="209"/>
    </row>
    <row r="138" spans="2:14">
      <c r="B138" s="210" t="s">
        <v>271</v>
      </c>
      <c r="C138" s="200"/>
      <c r="D138" s="230">
        <f>SUM(D118:D124)</f>
        <v>0</v>
      </c>
      <c r="E138" s="230">
        <f>SUM(E118:E124)</f>
        <v>0</v>
      </c>
      <c r="F138" s="230">
        <f>SUM(F118:F124)</f>
        <v>0</v>
      </c>
      <c r="G138" s="331">
        <f>SUM(G118:G124)</f>
        <v>0</v>
      </c>
      <c r="I138" s="210" t="s">
        <v>271</v>
      </c>
      <c r="J138" s="200"/>
      <c r="K138" s="230">
        <f>SUM(K118:K124)</f>
        <v>0</v>
      </c>
      <c r="L138" s="230">
        <f>SUM(L118:L124)</f>
        <v>0</v>
      </c>
      <c r="M138" s="230">
        <f>SUM(M118:M124)</f>
        <v>0</v>
      </c>
      <c r="N138" s="331">
        <f>SUM(N118:N124)</f>
        <v>0</v>
      </c>
    </row>
    <row r="139" spans="2:14">
      <c r="B139" s="210" t="s">
        <v>272</v>
      </c>
      <c r="C139" s="200"/>
      <c r="D139" s="230">
        <f>ROUND(D138/1.33,0)+SUM(D129:D136)</f>
        <v>0</v>
      </c>
      <c r="E139" s="230">
        <f t="shared" ref="E139:G139" si="1">ROUND(E138/1.33,0)+SUM(E129:E136)</f>
        <v>0</v>
      </c>
      <c r="F139" s="230">
        <f t="shared" si="1"/>
        <v>0</v>
      </c>
      <c r="G139" s="230">
        <f t="shared" si="1"/>
        <v>0</v>
      </c>
      <c r="I139" s="210" t="s">
        <v>272</v>
      </c>
      <c r="J139" s="200"/>
      <c r="K139" s="230">
        <f>ROUND(K138/'EEM values'!$C$108,0)</f>
        <v>0</v>
      </c>
      <c r="L139" s="230">
        <f>ROUND(L138/'EEM values'!$C$108,0)</f>
        <v>0</v>
      </c>
      <c r="M139" s="230">
        <f>ROUND(M138/'EEM values'!$C$108,0)</f>
        <v>0</v>
      </c>
      <c r="N139" s="331">
        <f>ROUND(N138/'EEM values'!$C$108,0)</f>
        <v>0</v>
      </c>
    </row>
    <row r="140" spans="2:14">
      <c r="B140" s="210" t="s">
        <v>521</v>
      </c>
      <c r="C140" s="200"/>
      <c r="D140" s="332">
        <f>SUMPRODUCT(D118:D124,$Z$76:$Z$82)+(SUM(D129:D136)*2.5)</f>
        <v>0</v>
      </c>
      <c r="E140" s="332">
        <f>SUMPRODUCT(E118:E124,$Z$76:$Z$82)+(SUM(E129:E136)*2.5)</f>
        <v>0</v>
      </c>
      <c r="F140" s="332">
        <f>SUMPRODUCT(F118:F124,$Z$76:$Z$82)+(SUM(F129:F136)*2.5)</f>
        <v>0</v>
      </c>
      <c r="G140" s="331">
        <f>SUMPRODUCT(G118:G124,$Z$76:$Z$82)+(SUM(G129:G136)*2.5)</f>
        <v>0</v>
      </c>
      <c r="I140" s="210" t="s">
        <v>259</v>
      </c>
      <c r="J140" s="200"/>
      <c r="K140" s="230">
        <f>SUMPRODUCT(K118:K124,'EEM values'!$C$89:$C$95)/'EEM values'!$C$108+SUMPRODUCT(K129:K136,'EEM values'!$C$98:$C$105)</f>
        <v>0</v>
      </c>
      <c r="L140" s="230">
        <f>SUMPRODUCT(L118:L124,'EEM values'!$C$89:$C$95)/'EEM values'!$C$108+SUMPRODUCT(L129:L136,'EEM values'!$C$98:$C$105)</f>
        <v>0</v>
      </c>
      <c r="M140" s="230">
        <f>SUMPRODUCT(M118:M124,'EEM values'!$C$89:$C$95)/'EEM values'!$C$108+SUMPRODUCT(M129:M136,'EEM values'!$C$98:$C$105)</f>
        <v>0</v>
      </c>
      <c r="N140" s="331">
        <f>SUMPRODUCT(N118:N124,'EEM values'!$C$89:$C$95)/'EEM values'!$C$108+SUMPRODUCT(N129:N136,'EEM values'!$C$98:$C$105)</f>
        <v>0</v>
      </c>
    </row>
    <row r="141" spans="2:14">
      <c r="B141" s="69"/>
      <c r="C141" s="231"/>
      <c r="D141" s="232"/>
      <c r="E141" s="232"/>
      <c r="F141" s="174"/>
      <c r="G141" s="233"/>
      <c r="I141" s="210" t="s">
        <v>260</v>
      </c>
      <c r="J141" s="200"/>
      <c r="K141" s="230">
        <f>SUMPRODUCT(K118:K124,'EEM values'!$D$89:$D$95)/'EEM values'!$C$108+SUMPRODUCT(K129:K136,'EEM values'!$D$98:$D$105)</f>
        <v>0</v>
      </c>
      <c r="L141" s="230">
        <f>SUMPRODUCT(L118:L124,'EEM values'!$D$89:$D$95)/'EEM values'!$C$108+SUMPRODUCT(L129:L136,'EEM values'!$D$98:$D$105)</f>
        <v>0</v>
      </c>
      <c r="M141" s="230">
        <f>SUMPRODUCT(M118:M124,'EEM values'!$D$89:$D$95)/'EEM values'!$C$108+SUMPRODUCT(M129:M136,'EEM values'!$D$98:$D$105)</f>
        <v>0</v>
      </c>
      <c r="N141" s="331">
        <f>SUMPRODUCT(N118:N124,'EEM values'!$D$89:$D$95)/'EEM values'!$C$108+SUMPRODUCT(N129:N136,'EEM values'!$D$98:$D$105)</f>
        <v>0</v>
      </c>
    </row>
    <row r="142" spans="2:14">
      <c r="B142" s="76"/>
      <c r="C142" s="25"/>
      <c r="D142" s="108"/>
      <c r="E142" s="108"/>
      <c r="F142" s="108"/>
      <c r="G142" s="209"/>
      <c r="I142" s="76"/>
      <c r="J142" s="25"/>
      <c r="K142" s="108"/>
      <c r="L142" s="108"/>
      <c r="M142" s="108"/>
      <c r="N142" s="209"/>
    </row>
    <row r="143" spans="2:14">
      <c r="B143" s="68" t="s">
        <v>258</v>
      </c>
      <c r="C143" s="25"/>
      <c r="D143" s="108"/>
      <c r="E143" s="108"/>
      <c r="F143" s="108"/>
      <c r="G143" s="209"/>
      <c r="I143" s="68" t="s">
        <v>258</v>
      </c>
      <c r="J143" s="25"/>
      <c r="K143" s="108"/>
      <c r="L143" s="108"/>
      <c r="M143" s="108"/>
      <c r="N143" s="209"/>
    </row>
    <row r="144" spans="2:14">
      <c r="B144" s="208"/>
      <c r="C144" s="25"/>
      <c r="D144" s="294" t="s">
        <v>142</v>
      </c>
      <c r="E144" s="33" t="s">
        <v>124</v>
      </c>
      <c r="F144" s="33" t="s">
        <v>125</v>
      </c>
      <c r="G144" s="212" t="s">
        <v>126</v>
      </c>
      <c r="I144" s="208"/>
      <c r="J144" s="25"/>
      <c r="K144" s="294" t="s">
        <v>142</v>
      </c>
      <c r="L144" s="33" t="s">
        <v>124</v>
      </c>
      <c r="M144" s="33" t="s">
        <v>125</v>
      </c>
      <c r="N144" s="212" t="s">
        <v>126</v>
      </c>
    </row>
    <row r="145" spans="2:14">
      <c r="B145" s="566" t="s">
        <v>75</v>
      </c>
      <c r="C145" s="567"/>
      <c r="D145" s="461"/>
      <c r="E145" s="457"/>
      <c r="F145" s="457"/>
      <c r="G145" s="468"/>
      <c r="I145" s="566" t="s">
        <v>75</v>
      </c>
      <c r="J145" s="567"/>
      <c r="K145" s="461"/>
      <c r="L145" s="457"/>
      <c r="M145" s="457"/>
      <c r="N145" s="457"/>
    </row>
    <row r="146" spans="2:14" ht="15.75" thickBot="1">
      <c r="B146" s="564" t="s">
        <v>76</v>
      </c>
      <c r="C146" s="565"/>
      <c r="D146" s="469"/>
      <c r="E146" s="470"/>
      <c r="F146" s="470"/>
      <c r="G146" s="470"/>
      <c r="I146" s="564" t="s">
        <v>76</v>
      </c>
      <c r="J146" s="565"/>
      <c r="K146" s="469"/>
      <c r="L146" s="470"/>
      <c r="M146" s="470"/>
      <c r="N146" s="470"/>
    </row>
    <row r="147" spans="2:14" ht="15.75" thickBot="1"/>
    <row r="148" spans="2:14">
      <c r="B148" s="360" t="s">
        <v>468</v>
      </c>
      <c r="C148" s="558" t="s">
        <v>79</v>
      </c>
      <c r="D148" s="559"/>
      <c r="E148" s="559"/>
      <c r="F148" s="206"/>
      <c r="G148" s="207"/>
      <c r="I148" s="360" t="s">
        <v>467</v>
      </c>
      <c r="J148" s="558" t="s">
        <v>79</v>
      </c>
      <c r="K148" s="559"/>
      <c r="L148" s="559"/>
      <c r="M148" s="206"/>
      <c r="N148" s="207"/>
    </row>
    <row r="149" spans="2:14">
      <c r="B149" s="208"/>
      <c r="C149" s="25"/>
      <c r="D149" s="108"/>
      <c r="E149" s="108"/>
      <c r="F149" s="108"/>
      <c r="G149" s="209"/>
      <c r="I149" s="208"/>
      <c r="J149" s="25"/>
      <c r="K149" s="108"/>
      <c r="L149" s="108"/>
      <c r="M149" s="108"/>
      <c r="N149" s="209"/>
    </row>
    <row r="150" spans="2:14">
      <c r="B150" s="208"/>
      <c r="C150" s="25"/>
      <c r="D150" s="33" t="s">
        <v>30</v>
      </c>
      <c r="E150" s="33" t="s">
        <v>37</v>
      </c>
      <c r="F150" s="122"/>
      <c r="G150" s="209"/>
      <c r="I150" s="208"/>
      <c r="J150" s="25"/>
      <c r="K150" s="33" t="s">
        <v>30</v>
      </c>
      <c r="L150" s="33" t="s">
        <v>37</v>
      </c>
      <c r="M150" s="122"/>
      <c r="N150" s="209"/>
    </row>
    <row r="151" spans="2:14">
      <c r="B151" s="210" t="s">
        <v>321</v>
      </c>
      <c r="C151" s="200"/>
      <c r="D151" s="201">
        <f>'Diversion (option 1)'!$D$7</f>
        <v>0</v>
      </c>
      <c r="E151" s="201">
        <f>'Diversion (option 1)'!$E$7</f>
        <v>0</v>
      </c>
      <c r="F151" s="202"/>
      <c r="G151" s="209"/>
      <c r="I151" s="210" t="s">
        <v>253</v>
      </c>
      <c r="J151" s="200"/>
      <c r="K151" s="201">
        <f>'Diversion (option 1)'!$D$8</f>
        <v>0</v>
      </c>
      <c r="L151" s="201">
        <f>'Diversion (option 1)'!$E$8</f>
        <v>0</v>
      </c>
      <c r="M151" s="202"/>
      <c r="N151" s="209"/>
    </row>
    <row r="152" spans="2:14">
      <c r="B152" s="210" t="s">
        <v>469</v>
      </c>
      <c r="C152" s="200"/>
      <c r="D152" s="414"/>
      <c r="E152" s="108"/>
      <c r="F152" s="108"/>
      <c r="G152" s="209"/>
      <c r="I152" s="210" t="s">
        <v>469</v>
      </c>
      <c r="J152" s="200"/>
      <c r="K152" s="414"/>
      <c r="L152" s="108"/>
      <c r="M152" s="108"/>
      <c r="N152" s="209"/>
    </row>
    <row r="153" spans="2:14">
      <c r="B153" s="210" t="s">
        <v>472</v>
      </c>
      <c r="C153" s="200"/>
      <c r="D153" s="457"/>
      <c r="E153" s="457"/>
      <c r="F153" s="202"/>
      <c r="G153" s="209"/>
      <c r="I153" s="210" t="s">
        <v>470</v>
      </c>
      <c r="J153" s="200"/>
      <c r="K153" s="457"/>
      <c r="L153" s="457"/>
      <c r="M153" s="495" t="s">
        <v>591</v>
      </c>
      <c r="N153" s="209"/>
    </row>
    <row r="154" spans="2:14">
      <c r="B154" s="210" t="s">
        <v>471</v>
      </c>
      <c r="C154" s="200"/>
      <c r="D154" s="203">
        <f>(D151*$D152)+D153</f>
        <v>0</v>
      </c>
      <c r="E154" s="203">
        <f>(E151*$D152)+E153</f>
        <v>0</v>
      </c>
      <c r="F154" s="180"/>
      <c r="G154" s="209"/>
      <c r="I154" s="210" t="s">
        <v>471</v>
      </c>
      <c r="J154" s="200"/>
      <c r="K154" s="203">
        <f>(K151*$K152)+K153</f>
        <v>0</v>
      </c>
      <c r="L154" s="203">
        <f>(L151*$K152)+L153</f>
        <v>0</v>
      </c>
      <c r="M154" s="496" t="s">
        <v>592</v>
      </c>
      <c r="N154" s="209"/>
    </row>
    <row r="155" spans="2:14">
      <c r="B155" s="208"/>
      <c r="C155" s="25"/>
      <c r="D155" s="108"/>
      <c r="E155" s="108"/>
      <c r="F155" s="108"/>
      <c r="G155" s="209"/>
      <c r="I155" s="208"/>
      <c r="J155" s="25"/>
      <c r="K155" s="108"/>
      <c r="L155" s="108"/>
      <c r="M155" s="108"/>
      <c r="N155" s="209"/>
    </row>
    <row r="156" spans="2:14">
      <c r="B156" s="68" t="s">
        <v>255</v>
      </c>
      <c r="C156" s="25"/>
      <c r="D156" s="108"/>
      <c r="E156" s="108"/>
      <c r="F156" s="108"/>
      <c r="G156" s="209"/>
      <c r="I156" s="68" t="s">
        <v>255</v>
      </c>
      <c r="J156" s="25"/>
      <c r="K156" s="108"/>
      <c r="L156" s="108"/>
      <c r="M156" s="108"/>
      <c r="N156" s="209"/>
    </row>
    <row r="157" spans="2:14">
      <c r="B157" s="211" t="s">
        <v>442</v>
      </c>
      <c r="C157" s="25"/>
      <c r="D157" s="108"/>
      <c r="E157" s="108"/>
      <c r="F157" s="108"/>
      <c r="G157" s="209"/>
      <c r="I157" s="211" t="s">
        <v>256</v>
      </c>
      <c r="J157" s="25"/>
      <c r="K157" s="108"/>
      <c r="L157" s="108"/>
      <c r="M157" s="108"/>
      <c r="N157" s="209"/>
    </row>
    <row r="158" spans="2:14">
      <c r="B158" s="333" t="s">
        <v>452</v>
      </c>
      <c r="C158" s="33" t="s">
        <v>450</v>
      </c>
      <c r="D158" s="294" t="s">
        <v>142</v>
      </c>
      <c r="E158" s="33" t="s">
        <v>124</v>
      </c>
      <c r="F158" s="33" t="s">
        <v>125</v>
      </c>
      <c r="G158" s="212" t="s">
        <v>126</v>
      </c>
      <c r="I158" s="208"/>
      <c r="J158" s="108"/>
      <c r="K158" s="294" t="s">
        <v>142</v>
      </c>
      <c r="L158" s="33" t="s">
        <v>124</v>
      </c>
      <c r="M158" s="33" t="s">
        <v>125</v>
      </c>
      <c r="N158" s="212" t="s">
        <v>126</v>
      </c>
    </row>
    <row r="159" spans="2:14">
      <c r="B159" s="330" t="s">
        <v>443</v>
      </c>
      <c r="C159" s="23" t="s">
        <v>453</v>
      </c>
      <c r="D159" s="464"/>
      <c r="E159" s="465"/>
      <c r="F159" s="465"/>
      <c r="G159" s="466"/>
      <c r="I159" s="213" t="str">
        <f>'EEM values'!$B$89</f>
        <v>Bike path (off-street)</v>
      </c>
      <c r="J159" s="121"/>
      <c r="K159" s="464"/>
      <c r="L159" s="465"/>
      <c r="M159" s="465"/>
      <c r="N159" s="466"/>
    </row>
    <row r="160" spans="2:14">
      <c r="B160" s="330" t="s">
        <v>444</v>
      </c>
      <c r="C160" s="23" t="s">
        <v>454</v>
      </c>
      <c r="D160" s="464"/>
      <c r="E160" s="464"/>
      <c r="F160" s="465"/>
      <c r="G160" s="466"/>
      <c r="I160" s="213" t="str">
        <f>'EEM values'!$B$90</f>
        <v>Bike lane (on-street without parking)</v>
      </c>
      <c r="J160" s="121"/>
      <c r="K160" s="464"/>
      <c r="L160" s="464"/>
      <c r="M160" s="465"/>
      <c r="N160" s="466"/>
    </row>
    <row r="161" spans="2:14">
      <c r="B161" s="330" t="s">
        <v>445</v>
      </c>
      <c r="C161" s="23" t="s">
        <v>455</v>
      </c>
      <c r="D161" s="464"/>
      <c r="E161" s="464"/>
      <c r="F161" s="465"/>
      <c r="G161" s="466"/>
      <c r="I161" s="213" t="str">
        <f>'EEM values'!$B$91</f>
        <v>Bike lane (on-street with parking)</v>
      </c>
      <c r="J161" s="121"/>
      <c r="K161" s="464"/>
      <c r="L161" s="464"/>
      <c r="M161" s="465"/>
      <c r="N161" s="466"/>
    </row>
    <row r="162" spans="2:14">
      <c r="B162" s="330" t="s">
        <v>446</v>
      </c>
      <c r="C162" s="109" t="s">
        <v>451</v>
      </c>
      <c r="D162" s="464"/>
      <c r="E162" s="464"/>
      <c r="F162" s="464"/>
      <c r="G162" s="467"/>
      <c r="I162" s="213" t="str">
        <f>'EEM values'!$B$92</f>
        <v>Mixed traffic (less than 10,000 vpd)</v>
      </c>
      <c r="J162" s="204"/>
      <c r="K162" s="464"/>
      <c r="L162" s="464"/>
      <c r="M162" s="464"/>
      <c r="N162" s="467"/>
    </row>
    <row r="163" spans="2:14">
      <c r="B163" s="330" t="s">
        <v>448</v>
      </c>
      <c r="C163" s="109" t="s">
        <v>456</v>
      </c>
      <c r="D163" s="464"/>
      <c r="E163" s="464"/>
      <c r="F163" s="464"/>
      <c r="G163" s="467"/>
      <c r="I163" s="213" t="str">
        <f>'EEM values'!$B$93</f>
        <v>Mixed traffic (10-20,000 vpd)</v>
      </c>
      <c r="J163" s="204"/>
      <c r="K163" s="464"/>
      <c r="L163" s="464"/>
      <c r="M163" s="464"/>
      <c r="N163" s="467"/>
    </row>
    <row r="164" spans="2:14">
      <c r="B164" s="330" t="s">
        <v>447</v>
      </c>
      <c r="C164" s="109" t="s">
        <v>457</v>
      </c>
      <c r="D164" s="464"/>
      <c r="E164" s="464"/>
      <c r="F164" s="464"/>
      <c r="G164" s="467"/>
      <c r="I164" s="213" t="str">
        <f>'EEM values'!$B$94</f>
        <v>Mixed traffic (20-30,000 vpd)</v>
      </c>
      <c r="J164" s="204"/>
      <c r="K164" s="464"/>
      <c r="L164" s="464"/>
      <c r="M164" s="464"/>
      <c r="N164" s="467"/>
    </row>
    <row r="165" spans="2:14">
      <c r="B165" s="330" t="s">
        <v>449</v>
      </c>
      <c r="C165" s="109" t="s">
        <v>458</v>
      </c>
      <c r="D165" s="464"/>
      <c r="E165" s="464"/>
      <c r="F165" s="464"/>
      <c r="G165" s="467"/>
      <c r="I165" s="213" t="str">
        <f>'EEM values'!$B$95</f>
        <v>Mixed traffic (30,000+ vpd)</v>
      </c>
      <c r="J165" s="204"/>
      <c r="K165" s="464"/>
      <c r="L165" s="464"/>
      <c r="M165" s="464"/>
      <c r="N165" s="467"/>
    </row>
    <row r="166" spans="2:14">
      <c r="B166" s="208"/>
      <c r="C166" s="25"/>
      <c r="D166" s="108"/>
      <c r="E166" s="108"/>
      <c r="F166" s="108"/>
      <c r="G166" s="209"/>
      <c r="I166" s="208"/>
      <c r="J166" s="25"/>
      <c r="K166" s="108"/>
      <c r="L166" s="108"/>
      <c r="M166" s="108"/>
      <c r="N166" s="209"/>
    </row>
    <row r="167" spans="2:14">
      <c r="B167" s="68" t="s">
        <v>270</v>
      </c>
      <c r="C167" s="25"/>
      <c r="D167" s="108"/>
      <c r="E167" s="108"/>
      <c r="F167" s="108"/>
      <c r="G167" s="209"/>
      <c r="I167" s="68" t="s">
        <v>270</v>
      </c>
      <c r="J167" s="25"/>
      <c r="K167" s="108"/>
      <c r="L167" s="108"/>
      <c r="M167" s="108"/>
      <c r="N167" s="209"/>
    </row>
    <row r="168" spans="2:14">
      <c r="B168" s="211" t="s">
        <v>435</v>
      </c>
      <c r="C168" s="25"/>
      <c r="D168" s="108"/>
      <c r="E168" s="108"/>
      <c r="F168" s="108"/>
      <c r="G168" s="209"/>
      <c r="I168" s="211" t="s">
        <v>269</v>
      </c>
      <c r="J168" s="25"/>
      <c r="K168" s="108"/>
      <c r="L168" s="108"/>
      <c r="M168" s="108"/>
      <c r="N168" s="209"/>
    </row>
    <row r="169" spans="2:14">
      <c r="B169" s="333" t="s">
        <v>436</v>
      </c>
      <c r="C169" s="33" t="s">
        <v>437</v>
      </c>
      <c r="D169" s="294" t="s">
        <v>142</v>
      </c>
      <c r="E169" s="33" t="s">
        <v>124</v>
      </c>
      <c r="F169" s="33" t="s">
        <v>125</v>
      </c>
      <c r="G169" s="212" t="s">
        <v>126</v>
      </c>
      <c r="I169" s="208"/>
      <c r="J169" s="108"/>
      <c r="K169" s="294" t="s">
        <v>142</v>
      </c>
      <c r="L169" s="33" t="s">
        <v>124</v>
      </c>
      <c r="M169" s="33" t="s">
        <v>125</v>
      </c>
      <c r="N169" s="212" t="s">
        <v>126</v>
      </c>
    </row>
    <row r="170" spans="2:14">
      <c r="B170" s="472"/>
      <c r="C170" s="462"/>
      <c r="D170" s="464"/>
      <c r="E170" s="465"/>
      <c r="F170" s="465"/>
      <c r="G170" s="466"/>
      <c r="I170" s="213" t="str">
        <f>'EEM values'!$B$98</f>
        <v>Traffic signals (excluding left-turn)</v>
      </c>
      <c r="J170" s="121"/>
      <c r="K170" s="464"/>
      <c r="L170" s="465"/>
      <c r="M170" s="465"/>
      <c r="N170" s="466"/>
    </row>
    <row r="171" spans="2:14">
      <c r="B171" s="472"/>
      <c r="C171" s="462"/>
      <c r="D171" s="464"/>
      <c r="E171" s="464"/>
      <c r="F171" s="465"/>
      <c r="G171" s="466"/>
      <c r="I171" s="213" t="str">
        <f>'EEM values'!$B$99</f>
        <v>Stop sign</v>
      </c>
      <c r="J171" s="121"/>
      <c r="K171" s="464"/>
      <c r="L171" s="464"/>
      <c r="M171" s="465"/>
      <c r="N171" s="466"/>
    </row>
    <row r="172" spans="2:14">
      <c r="B172" s="472"/>
      <c r="C172" s="473"/>
      <c r="D172" s="464"/>
      <c r="E172" s="464"/>
      <c r="F172" s="464"/>
      <c r="G172" s="467"/>
      <c r="I172" s="213" t="str">
        <f>'EEM values'!$B$100</f>
        <v>No signal, Right turn; 10,000-20,000 vpd</v>
      </c>
      <c r="J172" s="204"/>
      <c r="K172" s="464"/>
      <c r="L172" s="464"/>
      <c r="M172" s="464"/>
      <c r="N172" s="467"/>
    </row>
    <row r="173" spans="2:14">
      <c r="B173" s="472"/>
      <c r="C173" s="473"/>
      <c r="D173" s="464"/>
      <c r="E173" s="464"/>
      <c r="F173" s="464"/>
      <c r="G173" s="467"/>
      <c r="I173" s="213" t="str">
        <f>'EEM values'!$B$101</f>
        <v>No signal, Right turn; 20,000+ vpd</v>
      </c>
      <c r="J173" s="204"/>
      <c r="K173" s="464"/>
      <c r="L173" s="464"/>
      <c r="M173" s="464"/>
      <c r="N173" s="467"/>
    </row>
    <row r="174" spans="2:14">
      <c r="B174" s="472"/>
      <c r="C174" s="473"/>
      <c r="D174" s="464"/>
      <c r="E174" s="464"/>
      <c r="F174" s="464"/>
      <c r="G174" s="467"/>
      <c r="I174" s="213" t="str">
        <f>'EEM values'!$B$102</f>
        <v>No signal, Left turn; 10,000+ vpd</v>
      </c>
      <c r="J174" s="204"/>
      <c r="K174" s="464"/>
      <c r="L174" s="464"/>
      <c r="M174" s="464"/>
      <c r="N174" s="467"/>
    </row>
    <row r="175" spans="2:14">
      <c r="B175" s="472"/>
      <c r="C175" s="473"/>
      <c r="D175" s="464"/>
      <c r="E175" s="464"/>
      <c r="F175" s="464"/>
      <c r="G175" s="467"/>
      <c r="I175" s="213" t="str">
        <f>'EEM values'!$B$103</f>
        <v>No signal, crossing*; 5,000-10,000 vpd</v>
      </c>
      <c r="J175" s="204"/>
      <c r="K175" s="464"/>
      <c r="L175" s="464"/>
      <c r="M175" s="464"/>
      <c r="N175" s="467"/>
    </row>
    <row r="176" spans="2:14">
      <c r="B176" s="472"/>
      <c r="C176" s="473"/>
      <c r="D176" s="464"/>
      <c r="E176" s="464"/>
      <c r="F176" s="464"/>
      <c r="G176" s="467"/>
      <c r="I176" s="213" t="str">
        <f>'EEM values'!$B$104</f>
        <v>No signal, crossing*; 10,000-20,000 vpd</v>
      </c>
      <c r="J176" s="204"/>
      <c r="K176" s="464"/>
      <c r="L176" s="464"/>
      <c r="M176" s="464"/>
      <c r="N176" s="467"/>
    </row>
    <row r="177" spans="2:14">
      <c r="B177" s="472"/>
      <c r="C177" s="473"/>
      <c r="D177" s="464"/>
      <c r="E177" s="464"/>
      <c r="F177" s="464"/>
      <c r="G177" s="467"/>
      <c r="I177" s="213" t="str">
        <f>'EEM values'!$B$105</f>
        <v>No signal, crossing*; 20,000+ vpd</v>
      </c>
      <c r="J177" s="204"/>
      <c r="K177" s="464"/>
      <c r="L177" s="464"/>
      <c r="M177" s="464"/>
      <c r="N177" s="467"/>
    </row>
    <row r="178" spans="2:14">
      <c r="B178" s="208"/>
      <c r="C178" s="25"/>
      <c r="D178" s="108"/>
      <c r="E178" s="108"/>
      <c r="F178" s="108"/>
      <c r="G178" s="209"/>
      <c r="I178" s="208"/>
      <c r="J178" s="25"/>
      <c r="K178" s="108"/>
      <c r="L178" s="108"/>
      <c r="M178" s="108"/>
      <c r="N178" s="209"/>
    </row>
    <row r="179" spans="2:14">
      <c r="B179" s="210" t="s">
        <v>271</v>
      </c>
      <c r="C179" s="200"/>
      <c r="D179" s="230">
        <f>SUM(D159:D165)</f>
        <v>0</v>
      </c>
      <c r="E179" s="230">
        <f>SUM(E159:E165)</f>
        <v>0</v>
      </c>
      <c r="F179" s="230">
        <f>SUM(F159:F165)</f>
        <v>0</v>
      </c>
      <c r="G179" s="331">
        <f>SUM(G159:G165)</f>
        <v>0</v>
      </c>
      <c r="I179" s="210" t="s">
        <v>271</v>
      </c>
      <c r="J179" s="200"/>
      <c r="K179" s="230">
        <f>SUM(K159:K165)</f>
        <v>0</v>
      </c>
      <c r="L179" s="230">
        <f>SUM(L159:L165)</f>
        <v>0</v>
      </c>
      <c r="M179" s="230">
        <f>SUM(M159:M165)</f>
        <v>0</v>
      </c>
      <c r="N179" s="331">
        <f>SUM(N159:N165)</f>
        <v>0</v>
      </c>
    </row>
    <row r="180" spans="2:14">
      <c r="B180" s="210" t="s">
        <v>272</v>
      </c>
      <c r="C180" s="200"/>
      <c r="D180" s="230">
        <f>ROUND(D179/1.33,0)+SUM(D170:D177)</f>
        <v>0</v>
      </c>
      <c r="E180" s="230">
        <f t="shared" ref="E180:G180" si="2">ROUND(E179/1.33,0)+SUM(E170:E177)</f>
        <v>0</v>
      </c>
      <c r="F180" s="230">
        <f t="shared" si="2"/>
        <v>0</v>
      </c>
      <c r="G180" s="230">
        <f t="shared" si="2"/>
        <v>0</v>
      </c>
      <c r="I180" s="210" t="s">
        <v>272</v>
      </c>
      <c r="J180" s="200"/>
      <c r="K180" s="230">
        <f>ROUND(K179/'EEM values'!$C$108,0)</f>
        <v>0</v>
      </c>
      <c r="L180" s="230">
        <f>ROUND(L179/'EEM values'!$C$108,0)</f>
        <v>0</v>
      </c>
      <c r="M180" s="230">
        <f>ROUND(M179/'EEM values'!$C$108,0)</f>
        <v>0</v>
      </c>
      <c r="N180" s="331">
        <f>ROUND(N179/'EEM values'!$C$108,0)</f>
        <v>0</v>
      </c>
    </row>
    <row r="181" spans="2:14">
      <c r="B181" s="210" t="s">
        <v>521</v>
      </c>
      <c r="C181" s="200"/>
      <c r="D181" s="332">
        <f>SUMPRODUCT(D159:D165,$Z$76:$Z$82)+(SUM(D170:D177)*2.5)</f>
        <v>0</v>
      </c>
      <c r="E181" s="332">
        <f>SUMPRODUCT(E159:E165,$Z$76:$Z$82)+(SUM(E170:E177)*2.5)</f>
        <v>0</v>
      </c>
      <c r="F181" s="332">
        <f>SUMPRODUCT(F159:F165,$Z$76:$Z$82)+(SUM(F170:F177)*2.5)</f>
        <v>0</v>
      </c>
      <c r="G181" s="331">
        <f>SUMPRODUCT(G159:G165,$Z$76:$Z$82)+(SUM(G170:G177)*2.5)</f>
        <v>0</v>
      </c>
      <c r="I181" s="210" t="s">
        <v>259</v>
      </c>
      <c r="J181" s="200"/>
      <c r="K181" s="230">
        <f>SUMPRODUCT(K159:K165,'EEM values'!$C$89:$C$95)/'EEM values'!$C$108+SUMPRODUCT(K170:K177,'EEM values'!$C$98:$C$105)</f>
        <v>0</v>
      </c>
      <c r="L181" s="230">
        <f>SUMPRODUCT(L159:L165,'EEM values'!$C$89:$C$95)/'EEM values'!$C$108+SUMPRODUCT(L170:L177,'EEM values'!$C$98:$C$105)</f>
        <v>0</v>
      </c>
      <c r="M181" s="230">
        <f>SUMPRODUCT(M159:M165,'EEM values'!$C$89:$C$95)/'EEM values'!$C$108+SUMPRODUCT(M170:M177,'EEM values'!$C$98:$C$105)</f>
        <v>0</v>
      </c>
      <c r="N181" s="331">
        <f>SUMPRODUCT(N159:N165,'EEM values'!$C$89:$C$95)/'EEM values'!$C$108+SUMPRODUCT(N170:N177,'EEM values'!$C$98:$C$105)</f>
        <v>0</v>
      </c>
    </row>
    <row r="182" spans="2:14">
      <c r="B182" s="69"/>
      <c r="C182" s="231"/>
      <c r="D182" s="232"/>
      <c r="E182" s="232"/>
      <c r="F182" s="174"/>
      <c r="G182" s="233"/>
      <c r="I182" s="210" t="s">
        <v>260</v>
      </c>
      <c r="J182" s="200"/>
      <c r="K182" s="230">
        <f>SUMPRODUCT(K159:K165,'EEM values'!$D$89:$D$95)/'EEM values'!$C$108+SUMPRODUCT(K170:K177,'EEM values'!$D$98:$D$105)</f>
        <v>0</v>
      </c>
      <c r="L182" s="230">
        <f>SUMPRODUCT(L159:L165,'EEM values'!$D$89:$D$95)/'EEM values'!$C$108+SUMPRODUCT(L170:L177,'EEM values'!$D$98:$D$105)</f>
        <v>0</v>
      </c>
      <c r="M182" s="230">
        <f>SUMPRODUCT(M159:M165,'EEM values'!$D$89:$D$95)/'EEM values'!$C$108+SUMPRODUCT(M170:M177,'EEM values'!$D$98:$D$105)</f>
        <v>0</v>
      </c>
      <c r="N182" s="331">
        <f>SUMPRODUCT(N159:N165,'EEM values'!$D$89:$D$95)/'EEM values'!$C$108+SUMPRODUCT(N170:N177,'EEM values'!$D$98:$D$105)</f>
        <v>0</v>
      </c>
    </row>
    <row r="183" spans="2:14">
      <c r="B183" s="76"/>
      <c r="C183" s="25"/>
      <c r="D183" s="108"/>
      <c r="E183" s="108"/>
      <c r="F183" s="108"/>
      <c r="G183" s="209"/>
      <c r="I183" s="76"/>
      <c r="J183" s="25"/>
      <c r="K183" s="108"/>
      <c r="L183" s="108"/>
      <c r="M183" s="108"/>
      <c r="N183" s="209"/>
    </row>
    <row r="184" spans="2:14">
      <c r="B184" s="68" t="s">
        <v>258</v>
      </c>
      <c r="C184" s="25"/>
      <c r="D184" s="108"/>
      <c r="E184" s="108"/>
      <c r="F184" s="108"/>
      <c r="G184" s="209"/>
      <c r="I184" s="68" t="s">
        <v>258</v>
      </c>
      <c r="J184" s="25"/>
      <c r="K184" s="108"/>
      <c r="L184" s="108"/>
      <c r="M184" s="108"/>
      <c r="N184" s="209"/>
    </row>
    <row r="185" spans="2:14">
      <c r="B185" s="208"/>
      <c r="C185" s="25"/>
      <c r="D185" s="294" t="s">
        <v>142</v>
      </c>
      <c r="E185" s="33" t="s">
        <v>124</v>
      </c>
      <c r="F185" s="33" t="s">
        <v>125</v>
      </c>
      <c r="G185" s="212" t="s">
        <v>126</v>
      </c>
      <c r="I185" s="208"/>
      <c r="J185" s="25"/>
      <c r="K185" s="294" t="s">
        <v>142</v>
      </c>
      <c r="L185" s="33" t="s">
        <v>124</v>
      </c>
      <c r="M185" s="33" t="s">
        <v>125</v>
      </c>
      <c r="N185" s="212" t="s">
        <v>126</v>
      </c>
    </row>
    <row r="186" spans="2:14">
      <c r="B186" s="566" t="s">
        <v>75</v>
      </c>
      <c r="C186" s="567"/>
      <c r="D186" s="461"/>
      <c r="E186" s="457"/>
      <c r="F186" s="457"/>
      <c r="G186" s="468"/>
      <c r="I186" s="566" t="s">
        <v>75</v>
      </c>
      <c r="J186" s="567"/>
      <c r="K186" s="461"/>
      <c r="L186" s="457"/>
      <c r="M186" s="457"/>
      <c r="N186" s="457"/>
    </row>
    <row r="187" spans="2:14" ht="15.75" thickBot="1">
      <c r="B187" s="564" t="s">
        <v>76</v>
      </c>
      <c r="C187" s="565"/>
      <c r="D187" s="469"/>
      <c r="E187" s="470"/>
      <c r="F187" s="470"/>
      <c r="G187" s="470"/>
      <c r="I187" s="564" t="s">
        <v>76</v>
      </c>
      <c r="J187" s="565"/>
      <c r="K187" s="469"/>
      <c r="L187" s="470"/>
      <c r="M187" s="470"/>
      <c r="N187" s="470"/>
    </row>
    <row r="188" spans="2:14" ht="15.75" thickBot="1"/>
    <row r="189" spans="2:14">
      <c r="B189" s="360" t="s">
        <v>474</v>
      </c>
      <c r="C189" s="558" t="s">
        <v>79</v>
      </c>
      <c r="D189" s="559"/>
      <c r="E189" s="559"/>
      <c r="F189" s="206"/>
      <c r="G189" s="207"/>
      <c r="I189" s="360" t="s">
        <v>473</v>
      </c>
      <c r="J189" s="558" t="s">
        <v>79</v>
      </c>
      <c r="K189" s="559"/>
      <c r="L189" s="559"/>
      <c r="M189" s="206"/>
      <c r="N189" s="207"/>
    </row>
    <row r="190" spans="2:14">
      <c r="B190" s="208"/>
      <c r="C190" s="25"/>
      <c r="D190" s="108"/>
      <c r="E190" s="108"/>
      <c r="F190" s="108"/>
      <c r="G190" s="209"/>
      <c r="I190" s="208"/>
      <c r="J190" s="25"/>
      <c r="K190" s="108"/>
      <c r="L190" s="108"/>
      <c r="M190" s="108"/>
      <c r="N190" s="209"/>
    </row>
    <row r="191" spans="2:14">
      <c r="B191" s="208"/>
      <c r="C191" s="25"/>
      <c r="D191" s="33" t="s">
        <v>30</v>
      </c>
      <c r="E191" s="33" t="s">
        <v>37</v>
      </c>
      <c r="F191" s="122"/>
      <c r="G191" s="209"/>
      <c r="I191" s="208"/>
      <c r="J191" s="25"/>
      <c r="K191" s="33" t="s">
        <v>30</v>
      </c>
      <c r="L191" s="33" t="s">
        <v>37</v>
      </c>
      <c r="M191" s="122"/>
      <c r="N191" s="209"/>
    </row>
    <row r="192" spans="2:14">
      <c r="B192" s="210" t="s">
        <v>321</v>
      </c>
      <c r="C192" s="200"/>
      <c r="D192" s="201">
        <f>'Diversion (option 1)'!$D$7</f>
        <v>0</v>
      </c>
      <c r="E192" s="201">
        <f>'Diversion (option 1)'!$E$7</f>
        <v>0</v>
      </c>
      <c r="F192" s="202"/>
      <c r="G192" s="209"/>
      <c r="I192" s="210" t="s">
        <v>253</v>
      </c>
      <c r="J192" s="200"/>
      <c r="K192" s="201">
        <f>'Diversion (option 1)'!$D$8</f>
        <v>0</v>
      </c>
      <c r="L192" s="201">
        <f>'Diversion (option 1)'!$E$8</f>
        <v>0</v>
      </c>
      <c r="M192" s="202"/>
      <c r="N192" s="209"/>
    </row>
    <row r="193" spans="2:14">
      <c r="B193" s="210" t="s">
        <v>475</v>
      </c>
      <c r="C193" s="200"/>
      <c r="D193" s="414"/>
      <c r="E193" s="108"/>
      <c r="F193" s="108"/>
      <c r="G193" s="209"/>
      <c r="I193" s="210" t="s">
        <v>475</v>
      </c>
      <c r="J193" s="200"/>
      <c r="K193" s="414"/>
      <c r="L193" s="108"/>
      <c r="M193" s="108"/>
      <c r="N193" s="209"/>
    </row>
    <row r="194" spans="2:14">
      <c r="B194" s="210" t="s">
        <v>478</v>
      </c>
      <c r="C194" s="200"/>
      <c r="D194" s="457"/>
      <c r="E194" s="457"/>
      <c r="F194" s="202"/>
      <c r="G194" s="209"/>
      <c r="I194" s="210" t="s">
        <v>476</v>
      </c>
      <c r="J194" s="200"/>
      <c r="K194" s="457"/>
      <c r="L194" s="457"/>
      <c r="M194" s="495" t="s">
        <v>591</v>
      </c>
      <c r="N194" s="209"/>
    </row>
    <row r="195" spans="2:14">
      <c r="B195" s="210" t="s">
        <v>479</v>
      </c>
      <c r="C195" s="200"/>
      <c r="D195" s="203">
        <f>(D192*$D193)+D194</f>
        <v>0</v>
      </c>
      <c r="E195" s="203">
        <f>(E192*$D193)+E194</f>
        <v>0</v>
      </c>
      <c r="F195" s="180"/>
      <c r="G195" s="209"/>
      <c r="I195" s="210" t="s">
        <v>477</v>
      </c>
      <c r="J195" s="200"/>
      <c r="K195" s="203">
        <f>(K192*$K193)+K194</f>
        <v>0</v>
      </c>
      <c r="L195" s="203">
        <f>(L192*$K193)+L194</f>
        <v>0</v>
      </c>
      <c r="M195" s="496" t="s">
        <v>592</v>
      </c>
      <c r="N195" s="209"/>
    </row>
    <row r="196" spans="2:14">
      <c r="B196" s="208"/>
      <c r="C196" s="25"/>
      <c r="D196" s="108"/>
      <c r="E196" s="108"/>
      <c r="F196" s="108"/>
      <c r="G196" s="209"/>
      <c r="I196" s="208"/>
      <c r="J196" s="25"/>
      <c r="K196" s="108"/>
      <c r="L196" s="108"/>
      <c r="M196" s="108"/>
      <c r="N196" s="209"/>
    </row>
    <row r="197" spans="2:14">
      <c r="B197" s="68" t="s">
        <v>255</v>
      </c>
      <c r="C197" s="25"/>
      <c r="D197" s="108"/>
      <c r="E197" s="108"/>
      <c r="F197" s="108"/>
      <c r="G197" s="209"/>
      <c r="I197" s="68" t="s">
        <v>255</v>
      </c>
      <c r="J197" s="25"/>
      <c r="K197" s="108"/>
      <c r="L197" s="108"/>
      <c r="M197" s="108"/>
      <c r="N197" s="209"/>
    </row>
    <row r="198" spans="2:14">
      <c r="B198" s="211" t="s">
        <v>442</v>
      </c>
      <c r="C198" s="25"/>
      <c r="D198" s="108"/>
      <c r="E198" s="108"/>
      <c r="F198" s="108"/>
      <c r="G198" s="209"/>
      <c r="I198" s="211" t="s">
        <v>256</v>
      </c>
      <c r="J198" s="25"/>
      <c r="K198" s="108"/>
      <c r="L198" s="108"/>
      <c r="M198" s="108"/>
      <c r="N198" s="209"/>
    </row>
    <row r="199" spans="2:14">
      <c r="B199" s="333" t="s">
        <v>452</v>
      </c>
      <c r="C199" s="33" t="s">
        <v>450</v>
      </c>
      <c r="D199" s="294" t="s">
        <v>142</v>
      </c>
      <c r="E199" s="33" t="s">
        <v>124</v>
      </c>
      <c r="F199" s="33" t="s">
        <v>125</v>
      </c>
      <c r="G199" s="212" t="s">
        <v>126</v>
      </c>
      <c r="I199" s="208"/>
      <c r="J199" s="108"/>
      <c r="K199" s="294" t="s">
        <v>142</v>
      </c>
      <c r="L199" s="33" t="s">
        <v>124</v>
      </c>
      <c r="M199" s="33" t="s">
        <v>125</v>
      </c>
      <c r="N199" s="212" t="s">
        <v>126</v>
      </c>
    </row>
    <row r="200" spans="2:14">
      <c r="B200" s="330" t="s">
        <v>443</v>
      </c>
      <c r="C200" s="23" t="s">
        <v>453</v>
      </c>
      <c r="D200" s="464"/>
      <c r="E200" s="465"/>
      <c r="F200" s="465"/>
      <c r="G200" s="466"/>
      <c r="I200" s="213" t="str">
        <f>'EEM values'!$B$89</f>
        <v>Bike path (off-street)</v>
      </c>
      <c r="J200" s="121"/>
      <c r="K200" s="464"/>
      <c r="L200" s="465"/>
      <c r="M200" s="465"/>
      <c r="N200" s="466"/>
    </row>
    <row r="201" spans="2:14">
      <c r="B201" s="330" t="s">
        <v>444</v>
      </c>
      <c r="C201" s="23" t="s">
        <v>454</v>
      </c>
      <c r="D201" s="464"/>
      <c r="E201" s="464"/>
      <c r="F201" s="465"/>
      <c r="G201" s="466"/>
      <c r="I201" s="213" t="str">
        <f>'EEM values'!$B$90</f>
        <v>Bike lane (on-street without parking)</v>
      </c>
      <c r="J201" s="121"/>
      <c r="K201" s="464"/>
      <c r="L201" s="464"/>
      <c r="M201" s="465"/>
      <c r="N201" s="466"/>
    </row>
    <row r="202" spans="2:14">
      <c r="B202" s="330" t="s">
        <v>445</v>
      </c>
      <c r="C202" s="23" t="s">
        <v>455</v>
      </c>
      <c r="D202" s="464"/>
      <c r="E202" s="464"/>
      <c r="F202" s="465"/>
      <c r="G202" s="466"/>
      <c r="I202" s="213" t="str">
        <f>'EEM values'!$B$91</f>
        <v>Bike lane (on-street with parking)</v>
      </c>
      <c r="J202" s="121"/>
      <c r="K202" s="464"/>
      <c r="L202" s="464"/>
      <c r="M202" s="465"/>
      <c r="N202" s="466"/>
    </row>
    <row r="203" spans="2:14">
      <c r="B203" s="330" t="s">
        <v>446</v>
      </c>
      <c r="C203" s="109" t="s">
        <v>451</v>
      </c>
      <c r="D203" s="464"/>
      <c r="E203" s="464"/>
      <c r="F203" s="464"/>
      <c r="G203" s="467"/>
      <c r="I203" s="213" t="str">
        <f>'EEM values'!$B$92</f>
        <v>Mixed traffic (less than 10,000 vpd)</v>
      </c>
      <c r="J203" s="204"/>
      <c r="K203" s="464"/>
      <c r="L203" s="464"/>
      <c r="M203" s="464"/>
      <c r="N203" s="467"/>
    </row>
    <row r="204" spans="2:14">
      <c r="B204" s="330" t="s">
        <v>448</v>
      </c>
      <c r="C204" s="109" t="s">
        <v>456</v>
      </c>
      <c r="D204" s="464"/>
      <c r="E204" s="464"/>
      <c r="F204" s="464"/>
      <c r="G204" s="467"/>
      <c r="I204" s="213" t="str">
        <f>'EEM values'!$B$93</f>
        <v>Mixed traffic (10-20,000 vpd)</v>
      </c>
      <c r="J204" s="204"/>
      <c r="K204" s="464"/>
      <c r="L204" s="464"/>
      <c r="M204" s="464"/>
      <c r="N204" s="467"/>
    </row>
    <row r="205" spans="2:14">
      <c r="B205" s="330" t="s">
        <v>447</v>
      </c>
      <c r="C205" s="109" t="s">
        <v>457</v>
      </c>
      <c r="D205" s="464"/>
      <c r="E205" s="464"/>
      <c r="F205" s="464"/>
      <c r="G205" s="467"/>
      <c r="I205" s="213" t="str">
        <f>'EEM values'!$B$94</f>
        <v>Mixed traffic (20-30,000 vpd)</v>
      </c>
      <c r="J205" s="204"/>
      <c r="K205" s="464"/>
      <c r="L205" s="464"/>
      <c r="M205" s="464"/>
      <c r="N205" s="467"/>
    </row>
    <row r="206" spans="2:14">
      <c r="B206" s="330" t="s">
        <v>449</v>
      </c>
      <c r="C206" s="109" t="s">
        <v>458</v>
      </c>
      <c r="D206" s="464"/>
      <c r="E206" s="464"/>
      <c r="F206" s="464"/>
      <c r="G206" s="467"/>
      <c r="I206" s="213" t="str">
        <f>'EEM values'!$B$95</f>
        <v>Mixed traffic (30,000+ vpd)</v>
      </c>
      <c r="J206" s="204"/>
      <c r="K206" s="464"/>
      <c r="L206" s="464"/>
      <c r="M206" s="464"/>
      <c r="N206" s="467"/>
    </row>
    <row r="207" spans="2:14">
      <c r="B207" s="208"/>
      <c r="C207" s="25"/>
      <c r="D207" s="108"/>
      <c r="E207" s="108"/>
      <c r="F207" s="108"/>
      <c r="G207" s="209"/>
      <c r="I207" s="208"/>
      <c r="J207" s="25"/>
      <c r="K207" s="108"/>
      <c r="L207" s="108"/>
      <c r="M207" s="108"/>
      <c r="N207" s="209"/>
    </row>
    <row r="208" spans="2:14">
      <c r="B208" s="68" t="s">
        <v>270</v>
      </c>
      <c r="C208" s="25"/>
      <c r="D208" s="108"/>
      <c r="E208" s="108"/>
      <c r="F208" s="108"/>
      <c r="G208" s="209"/>
      <c r="I208" s="68" t="s">
        <v>270</v>
      </c>
      <c r="J208" s="25"/>
      <c r="K208" s="108"/>
      <c r="L208" s="108"/>
      <c r="M208" s="108"/>
      <c r="N208" s="209"/>
    </row>
    <row r="209" spans="2:14">
      <c r="B209" s="211" t="s">
        <v>435</v>
      </c>
      <c r="C209" s="25"/>
      <c r="D209" s="108"/>
      <c r="E209" s="108"/>
      <c r="F209" s="108"/>
      <c r="G209" s="209"/>
      <c r="I209" s="211" t="s">
        <v>269</v>
      </c>
      <c r="J209" s="25"/>
      <c r="K209" s="108"/>
      <c r="L209" s="108"/>
      <c r="M209" s="108"/>
      <c r="N209" s="209"/>
    </row>
    <row r="210" spans="2:14">
      <c r="B210" s="333" t="s">
        <v>436</v>
      </c>
      <c r="C210" s="33" t="s">
        <v>437</v>
      </c>
      <c r="D210" s="294" t="s">
        <v>142</v>
      </c>
      <c r="E210" s="33" t="s">
        <v>124</v>
      </c>
      <c r="F210" s="33" t="s">
        <v>125</v>
      </c>
      <c r="G210" s="212" t="s">
        <v>126</v>
      </c>
      <c r="I210" s="208"/>
      <c r="J210" s="108"/>
      <c r="K210" s="294" t="s">
        <v>142</v>
      </c>
      <c r="L210" s="33" t="s">
        <v>124</v>
      </c>
      <c r="M210" s="33" t="s">
        <v>125</v>
      </c>
      <c r="N210" s="212" t="s">
        <v>126</v>
      </c>
    </row>
    <row r="211" spans="2:14">
      <c r="B211" s="472"/>
      <c r="C211" s="462"/>
      <c r="D211" s="464"/>
      <c r="E211" s="465"/>
      <c r="F211" s="465"/>
      <c r="G211" s="466"/>
      <c r="I211" s="213" t="str">
        <f>'EEM values'!$B$98</f>
        <v>Traffic signals (excluding left-turn)</v>
      </c>
      <c r="J211" s="121"/>
      <c r="K211" s="464"/>
      <c r="L211" s="465"/>
      <c r="M211" s="465"/>
      <c r="N211" s="466"/>
    </row>
    <row r="212" spans="2:14">
      <c r="B212" s="472"/>
      <c r="C212" s="462"/>
      <c r="D212" s="464"/>
      <c r="E212" s="464"/>
      <c r="F212" s="465"/>
      <c r="G212" s="466"/>
      <c r="I212" s="213" t="str">
        <f>'EEM values'!$B$99</f>
        <v>Stop sign</v>
      </c>
      <c r="J212" s="121"/>
      <c r="K212" s="464"/>
      <c r="L212" s="464"/>
      <c r="M212" s="465"/>
      <c r="N212" s="466"/>
    </row>
    <row r="213" spans="2:14">
      <c r="B213" s="472"/>
      <c r="C213" s="473"/>
      <c r="D213" s="464"/>
      <c r="E213" s="464"/>
      <c r="F213" s="464"/>
      <c r="G213" s="467"/>
      <c r="I213" s="213" t="str">
        <f>'EEM values'!$B$100</f>
        <v>No signal, Right turn; 10,000-20,000 vpd</v>
      </c>
      <c r="J213" s="204"/>
      <c r="K213" s="464"/>
      <c r="L213" s="464"/>
      <c r="M213" s="464"/>
      <c r="N213" s="467"/>
    </row>
    <row r="214" spans="2:14">
      <c r="B214" s="472"/>
      <c r="C214" s="473"/>
      <c r="D214" s="464"/>
      <c r="E214" s="464"/>
      <c r="F214" s="464"/>
      <c r="G214" s="467"/>
      <c r="I214" s="213" t="str">
        <f>'EEM values'!$B$101</f>
        <v>No signal, Right turn; 20,000+ vpd</v>
      </c>
      <c r="J214" s="204"/>
      <c r="K214" s="464"/>
      <c r="L214" s="464"/>
      <c r="M214" s="464"/>
      <c r="N214" s="467"/>
    </row>
    <row r="215" spans="2:14">
      <c r="B215" s="472"/>
      <c r="C215" s="473"/>
      <c r="D215" s="464"/>
      <c r="E215" s="464"/>
      <c r="F215" s="464"/>
      <c r="G215" s="467"/>
      <c r="I215" s="213" t="str">
        <f>'EEM values'!$B$102</f>
        <v>No signal, Left turn; 10,000+ vpd</v>
      </c>
      <c r="J215" s="204"/>
      <c r="K215" s="464"/>
      <c r="L215" s="464"/>
      <c r="M215" s="464"/>
      <c r="N215" s="467"/>
    </row>
    <row r="216" spans="2:14">
      <c r="B216" s="472"/>
      <c r="C216" s="473"/>
      <c r="D216" s="464"/>
      <c r="E216" s="464"/>
      <c r="F216" s="464"/>
      <c r="G216" s="467"/>
      <c r="I216" s="213" t="str">
        <f>'EEM values'!$B$103</f>
        <v>No signal, crossing*; 5,000-10,000 vpd</v>
      </c>
      <c r="J216" s="204"/>
      <c r="K216" s="464"/>
      <c r="L216" s="464"/>
      <c r="M216" s="464"/>
      <c r="N216" s="467"/>
    </row>
    <row r="217" spans="2:14">
      <c r="B217" s="472"/>
      <c r="C217" s="473"/>
      <c r="D217" s="464"/>
      <c r="E217" s="464"/>
      <c r="F217" s="464"/>
      <c r="G217" s="467"/>
      <c r="I217" s="213" t="str">
        <f>'EEM values'!$B$104</f>
        <v>No signal, crossing*; 10,000-20,000 vpd</v>
      </c>
      <c r="J217" s="204"/>
      <c r="K217" s="464"/>
      <c r="L217" s="464"/>
      <c r="M217" s="464"/>
      <c r="N217" s="467"/>
    </row>
    <row r="218" spans="2:14">
      <c r="B218" s="472"/>
      <c r="C218" s="473"/>
      <c r="D218" s="464"/>
      <c r="E218" s="464"/>
      <c r="F218" s="464"/>
      <c r="G218" s="467"/>
      <c r="I218" s="213" t="str">
        <f>'EEM values'!$B$105</f>
        <v>No signal, crossing*; 20,000+ vpd</v>
      </c>
      <c r="J218" s="204"/>
      <c r="K218" s="464"/>
      <c r="L218" s="464"/>
      <c r="M218" s="464"/>
      <c r="N218" s="467"/>
    </row>
    <row r="219" spans="2:14">
      <c r="B219" s="208"/>
      <c r="C219" s="25"/>
      <c r="D219" s="108"/>
      <c r="E219" s="108"/>
      <c r="F219" s="108"/>
      <c r="G219" s="209"/>
      <c r="I219" s="208"/>
      <c r="J219" s="25"/>
      <c r="K219" s="108"/>
      <c r="L219" s="108"/>
      <c r="M219" s="108"/>
      <c r="N219" s="209"/>
    </row>
    <row r="220" spans="2:14">
      <c r="B220" s="210" t="s">
        <v>271</v>
      </c>
      <c r="C220" s="200"/>
      <c r="D220" s="230">
        <f>SUM(D200:D206)</f>
        <v>0</v>
      </c>
      <c r="E220" s="230">
        <f>SUM(E200:E206)</f>
        <v>0</v>
      </c>
      <c r="F220" s="230">
        <f>SUM(F200:F206)</f>
        <v>0</v>
      </c>
      <c r="G220" s="331">
        <f>SUM(G200:G206)</f>
        <v>0</v>
      </c>
      <c r="I220" s="210" t="s">
        <v>271</v>
      </c>
      <c r="J220" s="200"/>
      <c r="K220" s="230">
        <f>SUM(K200:K206)</f>
        <v>0</v>
      </c>
      <c r="L220" s="230">
        <f>SUM(L200:L206)</f>
        <v>0</v>
      </c>
      <c r="M220" s="230">
        <f>SUM(M200:M206)</f>
        <v>0</v>
      </c>
      <c r="N220" s="331">
        <f>SUM(N200:N206)</f>
        <v>0</v>
      </c>
    </row>
    <row r="221" spans="2:14">
      <c r="B221" s="210" t="s">
        <v>272</v>
      </c>
      <c r="C221" s="200"/>
      <c r="D221" s="230">
        <f>ROUND(D220/1.33,0)+SUM(D211:D218)</f>
        <v>0</v>
      </c>
      <c r="E221" s="230">
        <f t="shared" ref="E221:G221" si="3">ROUND(E220/1.33,0)+SUM(E211:E218)</f>
        <v>0</v>
      </c>
      <c r="F221" s="230">
        <f t="shared" si="3"/>
        <v>0</v>
      </c>
      <c r="G221" s="230">
        <f t="shared" si="3"/>
        <v>0</v>
      </c>
      <c r="I221" s="210" t="s">
        <v>272</v>
      </c>
      <c r="J221" s="200"/>
      <c r="K221" s="230">
        <f>ROUND(K220/'EEM values'!$C$108,0)</f>
        <v>0</v>
      </c>
      <c r="L221" s="230">
        <f>ROUND(L220/'EEM values'!$C$108,0)</f>
        <v>0</v>
      </c>
      <c r="M221" s="230">
        <f>ROUND(M220/'EEM values'!$C$108,0)</f>
        <v>0</v>
      </c>
      <c r="N221" s="331">
        <f>ROUND(N220/'EEM values'!$C$108,0)</f>
        <v>0</v>
      </c>
    </row>
    <row r="222" spans="2:14">
      <c r="B222" s="210" t="s">
        <v>521</v>
      </c>
      <c r="C222" s="200"/>
      <c r="D222" s="332">
        <f>SUMPRODUCT(D200:D206,$Z$76:$Z$82)+(SUM(D211:D218)*2.5)</f>
        <v>0</v>
      </c>
      <c r="E222" s="332">
        <f>SUMPRODUCT(E200:E206,$Z$76:$Z$82)+(SUM(E211:E218)*2.5)</f>
        <v>0</v>
      </c>
      <c r="F222" s="332">
        <f>SUMPRODUCT(F200:F206,$Z$76:$Z$82)+(SUM(F211:F218)*2.5)</f>
        <v>0</v>
      </c>
      <c r="G222" s="331">
        <f>SUMPRODUCT(G200:G206,$Z$76:$Z$82)+(SUM(G211:G218)*2.5)</f>
        <v>0</v>
      </c>
      <c r="I222" s="210" t="s">
        <v>259</v>
      </c>
      <c r="J222" s="200"/>
      <c r="K222" s="230">
        <f>SUMPRODUCT(K200:K206,'EEM values'!$C$89:$C$95)/'EEM values'!$C$108+SUMPRODUCT(K211:K218,'EEM values'!$C$98:$C$105)</f>
        <v>0</v>
      </c>
      <c r="L222" s="230">
        <f>SUMPRODUCT(L200:L206,'EEM values'!$C$89:$C$95)/'EEM values'!$C$108+SUMPRODUCT(L211:L218,'EEM values'!$C$98:$C$105)</f>
        <v>0</v>
      </c>
      <c r="M222" s="230">
        <f>SUMPRODUCT(M200:M206,'EEM values'!$C$89:$C$95)/'EEM values'!$C$108+SUMPRODUCT(M211:M218,'EEM values'!$C$98:$C$105)</f>
        <v>0</v>
      </c>
      <c r="N222" s="331">
        <f>SUMPRODUCT(N200:N206,'EEM values'!$C$89:$C$95)/'EEM values'!$C$108+SUMPRODUCT(N211:N218,'EEM values'!$C$98:$C$105)</f>
        <v>0</v>
      </c>
    </row>
    <row r="223" spans="2:14">
      <c r="B223" s="69"/>
      <c r="C223" s="231"/>
      <c r="D223" s="232"/>
      <c r="E223" s="232"/>
      <c r="F223" s="174"/>
      <c r="G223" s="233"/>
      <c r="I223" s="210" t="s">
        <v>260</v>
      </c>
      <c r="J223" s="200"/>
      <c r="K223" s="230">
        <f>SUMPRODUCT(K200:K206,'EEM values'!$D$89:$D$95)/'EEM values'!$C$108+SUMPRODUCT(K211:K218,'EEM values'!$D$98:$D$105)</f>
        <v>0</v>
      </c>
      <c r="L223" s="230">
        <f>SUMPRODUCT(L200:L206,'EEM values'!$D$89:$D$95)/'EEM values'!$C$108+SUMPRODUCT(L211:L218,'EEM values'!$D$98:$D$105)</f>
        <v>0</v>
      </c>
      <c r="M223" s="230">
        <f>SUMPRODUCT(M200:M206,'EEM values'!$D$89:$D$95)/'EEM values'!$C$108+SUMPRODUCT(M211:M218,'EEM values'!$D$98:$D$105)</f>
        <v>0</v>
      </c>
      <c r="N223" s="331">
        <f>SUMPRODUCT(N200:N206,'EEM values'!$D$89:$D$95)/'EEM values'!$C$108+SUMPRODUCT(N211:N218,'EEM values'!$D$98:$D$105)</f>
        <v>0</v>
      </c>
    </row>
    <row r="224" spans="2:14">
      <c r="B224" s="76"/>
      <c r="C224" s="25"/>
      <c r="D224" s="108"/>
      <c r="E224" s="108"/>
      <c r="F224" s="108"/>
      <c r="G224" s="209"/>
      <c r="I224" s="76"/>
      <c r="J224" s="25"/>
      <c r="K224" s="108"/>
      <c r="L224" s="108"/>
      <c r="M224" s="108"/>
      <c r="N224" s="209"/>
    </row>
    <row r="225" spans="2:14">
      <c r="B225" s="68" t="s">
        <v>258</v>
      </c>
      <c r="C225" s="25"/>
      <c r="D225" s="108"/>
      <c r="E225" s="108"/>
      <c r="F225" s="108"/>
      <c r="G225" s="209"/>
      <c r="I225" s="68" t="s">
        <v>258</v>
      </c>
      <c r="J225" s="25"/>
      <c r="K225" s="108"/>
      <c r="L225" s="108"/>
      <c r="M225" s="108"/>
      <c r="N225" s="209"/>
    </row>
    <row r="226" spans="2:14">
      <c r="B226" s="208"/>
      <c r="C226" s="25"/>
      <c r="D226" s="294" t="s">
        <v>142</v>
      </c>
      <c r="E226" s="33" t="s">
        <v>124</v>
      </c>
      <c r="F226" s="33" t="s">
        <v>125</v>
      </c>
      <c r="G226" s="212" t="s">
        <v>126</v>
      </c>
      <c r="I226" s="208"/>
      <c r="J226" s="25"/>
      <c r="K226" s="294" t="s">
        <v>142</v>
      </c>
      <c r="L226" s="33" t="s">
        <v>124</v>
      </c>
      <c r="M226" s="33" t="s">
        <v>125</v>
      </c>
      <c r="N226" s="212" t="s">
        <v>126</v>
      </c>
    </row>
    <row r="227" spans="2:14">
      <c r="B227" s="566" t="s">
        <v>75</v>
      </c>
      <c r="C227" s="567"/>
      <c r="D227" s="461"/>
      <c r="E227" s="457"/>
      <c r="F227" s="457"/>
      <c r="G227" s="468"/>
      <c r="I227" s="566" t="s">
        <v>75</v>
      </c>
      <c r="J227" s="567"/>
      <c r="K227" s="461"/>
      <c r="L227" s="457"/>
      <c r="M227" s="457"/>
      <c r="N227" s="468"/>
    </row>
    <row r="228" spans="2:14" ht="15.75" thickBot="1">
      <c r="B228" s="564" t="s">
        <v>76</v>
      </c>
      <c r="C228" s="565"/>
      <c r="D228" s="469"/>
      <c r="E228" s="470"/>
      <c r="F228" s="470"/>
      <c r="G228" s="470"/>
      <c r="I228" s="564" t="s">
        <v>76</v>
      </c>
      <c r="J228" s="565"/>
      <c r="K228" s="469"/>
      <c r="L228" s="470"/>
      <c r="M228" s="470"/>
      <c r="N228" s="471"/>
    </row>
    <row r="229" spans="2:14" ht="15.75" thickBot="1"/>
    <row r="230" spans="2:14">
      <c r="B230" s="360" t="s">
        <v>481</v>
      </c>
      <c r="C230" s="558" t="s">
        <v>79</v>
      </c>
      <c r="D230" s="559"/>
      <c r="E230" s="559"/>
      <c r="F230" s="206"/>
      <c r="G230" s="207"/>
      <c r="I230" s="360" t="s">
        <v>480</v>
      </c>
      <c r="J230" s="558" t="s">
        <v>79</v>
      </c>
      <c r="K230" s="559"/>
      <c r="L230" s="559"/>
      <c r="M230" s="206"/>
      <c r="N230" s="207"/>
    </row>
    <row r="231" spans="2:14">
      <c r="B231" s="208"/>
      <c r="C231" s="25"/>
      <c r="D231" s="108"/>
      <c r="E231" s="108"/>
      <c r="F231" s="108"/>
      <c r="G231" s="209"/>
      <c r="I231" s="208"/>
      <c r="J231" s="25"/>
      <c r="K231" s="108"/>
      <c r="L231" s="108"/>
      <c r="M231" s="108"/>
      <c r="N231" s="209"/>
    </row>
    <row r="232" spans="2:14">
      <c r="B232" s="208"/>
      <c r="C232" s="25"/>
      <c r="D232" s="33" t="s">
        <v>30</v>
      </c>
      <c r="E232" s="33" t="s">
        <v>37</v>
      </c>
      <c r="F232" s="122"/>
      <c r="G232" s="209"/>
      <c r="I232" s="208"/>
      <c r="J232" s="25"/>
      <c r="K232" s="33" t="s">
        <v>30</v>
      </c>
      <c r="L232" s="33" t="s">
        <v>37</v>
      </c>
      <c r="M232" s="122"/>
      <c r="N232" s="209"/>
    </row>
    <row r="233" spans="2:14">
      <c r="B233" s="210" t="s">
        <v>321</v>
      </c>
      <c r="C233" s="200"/>
      <c r="D233" s="201">
        <f>'Diversion (option 1)'!$D$7</f>
        <v>0</v>
      </c>
      <c r="E233" s="201">
        <f>'Diversion (option 1)'!$E$7</f>
        <v>0</v>
      </c>
      <c r="F233" s="202"/>
      <c r="G233" s="209"/>
      <c r="I233" s="210" t="s">
        <v>253</v>
      </c>
      <c r="J233" s="200"/>
      <c r="K233" s="201">
        <f>'Diversion (option 1)'!$D$8</f>
        <v>0</v>
      </c>
      <c r="L233" s="201">
        <f>'Diversion (option 1)'!$E$8</f>
        <v>0</v>
      </c>
      <c r="M233" s="202"/>
      <c r="N233" s="209"/>
    </row>
    <row r="234" spans="2:14">
      <c r="B234" s="210" t="s">
        <v>482</v>
      </c>
      <c r="C234" s="200"/>
      <c r="D234" s="414"/>
      <c r="E234" s="108"/>
      <c r="F234" s="108"/>
      <c r="G234" s="209"/>
      <c r="I234" s="210" t="s">
        <v>482</v>
      </c>
      <c r="J234" s="200"/>
      <c r="K234" s="414"/>
      <c r="L234" s="108"/>
      <c r="M234" s="108"/>
      <c r="N234" s="209"/>
    </row>
    <row r="235" spans="2:14">
      <c r="B235" s="210" t="s">
        <v>485</v>
      </c>
      <c r="C235" s="200"/>
      <c r="D235" s="457"/>
      <c r="E235" s="457"/>
      <c r="F235" s="202"/>
      <c r="G235" s="209"/>
      <c r="I235" s="210" t="s">
        <v>483</v>
      </c>
      <c r="J235" s="200"/>
      <c r="K235" s="457"/>
      <c r="L235" s="457"/>
      <c r="M235" s="495" t="s">
        <v>591</v>
      </c>
      <c r="N235" s="209"/>
    </row>
    <row r="236" spans="2:14">
      <c r="B236" s="210" t="s">
        <v>484</v>
      </c>
      <c r="C236" s="200"/>
      <c r="D236" s="203">
        <f>(D233*$D234)+D235</f>
        <v>0</v>
      </c>
      <c r="E236" s="203">
        <f>(E233*$D234)+E235</f>
        <v>0</v>
      </c>
      <c r="F236" s="180"/>
      <c r="G236" s="209"/>
      <c r="I236" s="210" t="s">
        <v>484</v>
      </c>
      <c r="J236" s="200"/>
      <c r="K236" s="203">
        <f>(K233*$K234)+K235</f>
        <v>0</v>
      </c>
      <c r="L236" s="203">
        <f>(L233*$K234)+L235</f>
        <v>0</v>
      </c>
      <c r="M236" s="496" t="s">
        <v>592</v>
      </c>
      <c r="N236" s="209"/>
    </row>
    <row r="237" spans="2:14">
      <c r="B237" s="208"/>
      <c r="C237" s="25"/>
      <c r="D237" s="108"/>
      <c r="E237" s="108"/>
      <c r="F237" s="108"/>
      <c r="G237" s="209"/>
      <c r="I237" s="208"/>
      <c r="J237" s="25"/>
      <c r="K237" s="108"/>
      <c r="L237" s="108"/>
      <c r="M237" s="108"/>
      <c r="N237" s="209"/>
    </row>
    <row r="238" spans="2:14">
      <c r="B238" s="68" t="s">
        <v>255</v>
      </c>
      <c r="C238" s="25"/>
      <c r="D238" s="108"/>
      <c r="E238" s="108"/>
      <c r="F238" s="108"/>
      <c r="G238" s="209"/>
      <c r="I238" s="68" t="s">
        <v>255</v>
      </c>
      <c r="J238" s="25"/>
      <c r="K238" s="108"/>
      <c r="L238" s="108"/>
      <c r="M238" s="108"/>
      <c r="N238" s="209"/>
    </row>
    <row r="239" spans="2:14">
      <c r="B239" s="211" t="s">
        <v>442</v>
      </c>
      <c r="C239" s="25"/>
      <c r="D239" s="108"/>
      <c r="E239" s="108"/>
      <c r="F239" s="108"/>
      <c r="G239" s="209"/>
      <c r="I239" s="211" t="s">
        <v>256</v>
      </c>
      <c r="J239" s="25"/>
      <c r="K239" s="108"/>
      <c r="L239" s="108"/>
      <c r="M239" s="108"/>
      <c r="N239" s="209"/>
    </row>
    <row r="240" spans="2:14">
      <c r="B240" s="333" t="s">
        <v>452</v>
      </c>
      <c r="C240" s="33" t="s">
        <v>450</v>
      </c>
      <c r="D240" s="294" t="s">
        <v>142</v>
      </c>
      <c r="E240" s="33" t="s">
        <v>124</v>
      </c>
      <c r="F240" s="33" t="s">
        <v>125</v>
      </c>
      <c r="G240" s="212" t="s">
        <v>126</v>
      </c>
      <c r="I240" s="208"/>
      <c r="J240" s="108"/>
      <c r="K240" s="294" t="s">
        <v>142</v>
      </c>
      <c r="L240" s="33" t="s">
        <v>124</v>
      </c>
      <c r="M240" s="33" t="s">
        <v>125</v>
      </c>
      <c r="N240" s="212" t="s">
        <v>126</v>
      </c>
    </row>
    <row r="241" spans="2:14">
      <c r="B241" s="330" t="s">
        <v>443</v>
      </c>
      <c r="C241" s="23" t="s">
        <v>453</v>
      </c>
      <c r="D241" s="464"/>
      <c r="E241" s="465"/>
      <c r="F241" s="465"/>
      <c r="G241" s="466"/>
      <c r="I241" s="213" t="str">
        <f>'EEM values'!$B$89</f>
        <v>Bike path (off-street)</v>
      </c>
      <c r="J241" s="121"/>
      <c r="K241" s="464"/>
      <c r="L241" s="465"/>
      <c r="M241" s="465"/>
      <c r="N241" s="466"/>
    </row>
    <row r="242" spans="2:14">
      <c r="B242" s="330" t="s">
        <v>444</v>
      </c>
      <c r="C242" s="23" t="s">
        <v>454</v>
      </c>
      <c r="D242" s="464"/>
      <c r="E242" s="464"/>
      <c r="F242" s="465"/>
      <c r="G242" s="466"/>
      <c r="I242" s="213" t="str">
        <f>'EEM values'!$B$90</f>
        <v>Bike lane (on-street without parking)</v>
      </c>
      <c r="J242" s="121"/>
      <c r="K242" s="464"/>
      <c r="L242" s="464"/>
      <c r="M242" s="465"/>
      <c r="N242" s="466"/>
    </row>
    <row r="243" spans="2:14">
      <c r="B243" s="330" t="s">
        <v>445</v>
      </c>
      <c r="C243" s="23" t="s">
        <v>455</v>
      </c>
      <c r="D243" s="464"/>
      <c r="E243" s="464"/>
      <c r="F243" s="465"/>
      <c r="G243" s="466"/>
      <c r="I243" s="213" t="str">
        <f>'EEM values'!$B$91</f>
        <v>Bike lane (on-street with parking)</v>
      </c>
      <c r="J243" s="121"/>
      <c r="K243" s="464"/>
      <c r="L243" s="464"/>
      <c r="M243" s="465"/>
      <c r="N243" s="466"/>
    </row>
    <row r="244" spans="2:14">
      <c r="B244" s="330" t="s">
        <v>446</v>
      </c>
      <c r="C244" s="109" t="s">
        <v>451</v>
      </c>
      <c r="D244" s="464"/>
      <c r="E244" s="464"/>
      <c r="F244" s="464"/>
      <c r="G244" s="467"/>
      <c r="I244" s="213" t="str">
        <f>'EEM values'!$B$92</f>
        <v>Mixed traffic (less than 10,000 vpd)</v>
      </c>
      <c r="J244" s="204"/>
      <c r="K244" s="464"/>
      <c r="L244" s="464"/>
      <c r="M244" s="464"/>
      <c r="N244" s="467"/>
    </row>
    <row r="245" spans="2:14">
      <c r="B245" s="330" t="s">
        <v>448</v>
      </c>
      <c r="C245" s="109" t="s">
        <v>456</v>
      </c>
      <c r="D245" s="464"/>
      <c r="E245" s="464"/>
      <c r="F245" s="464"/>
      <c r="G245" s="467"/>
      <c r="I245" s="213" t="str">
        <f>'EEM values'!$B$93</f>
        <v>Mixed traffic (10-20,000 vpd)</v>
      </c>
      <c r="J245" s="204"/>
      <c r="K245" s="464"/>
      <c r="L245" s="464"/>
      <c r="M245" s="464"/>
      <c r="N245" s="467"/>
    </row>
    <row r="246" spans="2:14">
      <c r="B246" s="330" t="s">
        <v>447</v>
      </c>
      <c r="C246" s="109" t="s">
        <v>457</v>
      </c>
      <c r="D246" s="464"/>
      <c r="E246" s="464"/>
      <c r="F246" s="464"/>
      <c r="G246" s="467"/>
      <c r="I246" s="213" t="str">
        <f>'EEM values'!$B$94</f>
        <v>Mixed traffic (20-30,000 vpd)</v>
      </c>
      <c r="J246" s="204"/>
      <c r="K246" s="464"/>
      <c r="L246" s="464"/>
      <c r="M246" s="464"/>
      <c r="N246" s="467"/>
    </row>
    <row r="247" spans="2:14">
      <c r="B247" s="330" t="s">
        <v>449</v>
      </c>
      <c r="C247" s="109" t="s">
        <v>458</v>
      </c>
      <c r="D247" s="464"/>
      <c r="E247" s="464"/>
      <c r="F247" s="464"/>
      <c r="G247" s="467"/>
      <c r="I247" s="213" t="str">
        <f>'EEM values'!$B$95</f>
        <v>Mixed traffic (30,000+ vpd)</v>
      </c>
      <c r="J247" s="204"/>
      <c r="K247" s="464"/>
      <c r="L247" s="464"/>
      <c r="M247" s="464"/>
      <c r="N247" s="467"/>
    </row>
    <row r="248" spans="2:14">
      <c r="B248" s="208"/>
      <c r="C248" s="25"/>
      <c r="D248" s="108"/>
      <c r="E248" s="108"/>
      <c r="F248" s="108"/>
      <c r="G248" s="209"/>
      <c r="I248" s="208"/>
      <c r="J248" s="25"/>
      <c r="K248" s="108"/>
      <c r="L248" s="108"/>
      <c r="M248" s="108"/>
      <c r="N248" s="209"/>
    </row>
    <row r="249" spans="2:14">
      <c r="B249" s="68" t="s">
        <v>270</v>
      </c>
      <c r="C249" s="25"/>
      <c r="D249" s="108"/>
      <c r="E249" s="108"/>
      <c r="F249" s="108"/>
      <c r="G249" s="209"/>
      <c r="I249" s="68" t="s">
        <v>270</v>
      </c>
      <c r="J249" s="25"/>
      <c r="K249" s="108"/>
      <c r="L249" s="108"/>
      <c r="M249" s="108"/>
      <c r="N249" s="209"/>
    </row>
    <row r="250" spans="2:14">
      <c r="B250" s="211" t="s">
        <v>435</v>
      </c>
      <c r="C250" s="25"/>
      <c r="D250" s="108"/>
      <c r="E250" s="108"/>
      <c r="F250" s="108"/>
      <c r="G250" s="209"/>
      <c r="I250" s="211" t="s">
        <v>269</v>
      </c>
      <c r="J250" s="25"/>
      <c r="K250" s="108"/>
      <c r="L250" s="108"/>
      <c r="M250" s="108"/>
      <c r="N250" s="209"/>
    </row>
    <row r="251" spans="2:14">
      <c r="B251" s="333" t="s">
        <v>436</v>
      </c>
      <c r="C251" s="33" t="s">
        <v>437</v>
      </c>
      <c r="D251" s="294" t="s">
        <v>142</v>
      </c>
      <c r="E251" s="33" t="s">
        <v>124</v>
      </c>
      <c r="F251" s="33" t="s">
        <v>125</v>
      </c>
      <c r="G251" s="212" t="s">
        <v>126</v>
      </c>
      <c r="I251" s="208"/>
      <c r="J251" s="108"/>
      <c r="K251" s="294" t="s">
        <v>142</v>
      </c>
      <c r="L251" s="33" t="s">
        <v>124</v>
      </c>
      <c r="M251" s="33" t="s">
        <v>125</v>
      </c>
      <c r="N251" s="212" t="s">
        <v>126</v>
      </c>
    </row>
    <row r="252" spans="2:14">
      <c r="B252" s="472"/>
      <c r="C252" s="462"/>
      <c r="D252" s="464"/>
      <c r="E252" s="465"/>
      <c r="F252" s="465"/>
      <c r="G252" s="466"/>
      <c r="I252" s="213" t="str">
        <f>'EEM values'!$B$98</f>
        <v>Traffic signals (excluding left-turn)</v>
      </c>
      <c r="J252" s="121"/>
      <c r="K252" s="464"/>
      <c r="L252" s="465"/>
      <c r="M252" s="465"/>
      <c r="N252" s="466"/>
    </row>
    <row r="253" spans="2:14">
      <c r="B253" s="472"/>
      <c r="C253" s="462"/>
      <c r="D253" s="464"/>
      <c r="E253" s="464"/>
      <c r="F253" s="465"/>
      <c r="G253" s="466"/>
      <c r="I253" s="213" t="str">
        <f>'EEM values'!$B$99</f>
        <v>Stop sign</v>
      </c>
      <c r="J253" s="121"/>
      <c r="K253" s="464"/>
      <c r="L253" s="464"/>
      <c r="M253" s="465"/>
      <c r="N253" s="466"/>
    </row>
    <row r="254" spans="2:14">
      <c r="B254" s="472"/>
      <c r="C254" s="473"/>
      <c r="D254" s="464"/>
      <c r="E254" s="464"/>
      <c r="F254" s="464"/>
      <c r="G254" s="467"/>
      <c r="I254" s="213" t="str">
        <f>'EEM values'!$B$100</f>
        <v>No signal, Right turn; 10,000-20,000 vpd</v>
      </c>
      <c r="J254" s="204"/>
      <c r="K254" s="464"/>
      <c r="L254" s="464"/>
      <c r="M254" s="464"/>
      <c r="N254" s="467"/>
    </row>
    <row r="255" spans="2:14">
      <c r="B255" s="472"/>
      <c r="C255" s="473"/>
      <c r="D255" s="464"/>
      <c r="E255" s="464"/>
      <c r="F255" s="464"/>
      <c r="G255" s="467"/>
      <c r="I255" s="213" t="str">
        <f>'EEM values'!$B$101</f>
        <v>No signal, Right turn; 20,000+ vpd</v>
      </c>
      <c r="J255" s="204"/>
      <c r="K255" s="464"/>
      <c r="L255" s="464"/>
      <c r="M255" s="464"/>
      <c r="N255" s="467"/>
    </row>
    <row r="256" spans="2:14">
      <c r="B256" s="472"/>
      <c r="C256" s="473"/>
      <c r="D256" s="464"/>
      <c r="E256" s="464"/>
      <c r="F256" s="464"/>
      <c r="G256" s="467"/>
      <c r="I256" s="213" t="str">
        <f>'EEM values'!$B$102</f>
        <v>No signal, Left turn; 10,000+ vpd</v>
      </c>
      <c r="J256" s="204"/>
      <c r="K256" s="464"/>
      <c r="L256" s="464"/>
      <c r="M256" s="464"/>
      <c r="N256" s="467"/>
    </row>
    <row r="257" spans="2:14">
      <c r="B257" s="472"/>
      <c r="C257" s="473"/>
      <c r="D257" s="464"/>
      <c r="E257" s="464"/>
      <c r="F257" s="464"/>
      <c r="G257" s="467"/>
      <c r="I257" s="213" t="str">
        <f>'EEM values'!$B$103</f>
        <v>No signal, crossing*; 5,000-10,000 vpd</v>
      </c>
      <c r="J257" s="204"/>
      <c r="K257" s="464"/>
      <c r="L257" s="464"/>
      <c r="M257" s="464"/>
      <c r="N257" s="467"/>
    </row>
    <row r="258" spans="2:14">
      <c r="B258" s="472"/>
      <c r="C258" s="473"/>
      <c r="D258" s="464"/>
      <c r="E258" s="464"/>
      <c r="F258" s="464"/>
      <c r="G258" s="467"/>
      <c r="I258" s="213" t="str">
        <f>'EEM values'!$B$104</f>
        <v>No signal, crossing*; 10,000-20,000 vpd</v>
      </c>
      <c r="J258" s="204"/>
      <c r="K258" s="464"/>
      <c r="L258" s="464"/>
      <c r="M258" s="464"/>
      <c r="N258" s="467"/>
    </row>
    <row r="259" spans="2:14">
      <c r="B259" s="472"/>
      <c r="C259" s="473"/>
      <c r="D259" s="464"/>
      <c r="E259" s="464"/>
      <c r="F259" s="464"/>
      <c r="G259" s="467"/>
      <c r="I259" s="213" t="str">
        <f>'EEM values'!$B$105</f>
        <v>No signal, crossing*; 20,000+ vpd</v>
      </c>
      <c r="J259" s="204"/>
      <c r="K259" s="464"/>
      <c r="L259" s="464"/>
      <c r="M259" s="464"/>
      <c r="N259" s="467"/>
    </row>
    <row r="260" spans="2:14">
      <c r="B260" s="208"/>
      <c r="C260" s="25"/>
      <c r="D260" s="108"/>
      <c r="E260" s="108"/>
      <c r="F260" s="108"/>
      <c r="G260" s="209"/>
      <c r="I260" s="208"/>
      <c r="J260" s="25"/>
      <c r="K260" s="108"/>
      <c r="L260" s="108"/>
      <c r="M260" s="108"/>
      <c r="N260" s="209"/>
    </row>
    <row r="261" spans="2:14">
      <c r="B261" s="210" t="s">
        <v>271</v>
      </c>
      <c r="C261" s="200"/>
      <c r="D261" s="230">
        <f>SUM(D241:D247)</f>
        <v>0</v>
      </c>
      <c r="E261" s="230">
        <f>SUM(E241:E247)</f>
        <v>0</v>
      </c>
      <c r="F261" s="230">
        <f>SUM(F241:F247)</f>
        <v>0</v>
      </c>
      <c r="G261" s="331">
        <f>SUM(G241:G247)</f>
        <v>0</v>
      </c>
      <c r="I261" s="210" t="s">
        <v>271</v>
      </c>
      <c r="J261" s="200"/>
      <c r="K261" s="230">
        <f>SUM(K241:K247)</f>
        <v>0</v>
      </c>
      <c r="L261" s="230">
        <f>SUM(L241:L247)</f>
        <v>0</v>
      </c>
      <c r="M261" s="230">
        <f>SUM(M241:M247)</f>
        <v>0</v>
      </c>
      <c r="N261" s="331">
        <f>SUM(N241:N247)</f>
        <v>0</v>
      </c>
    </row>
    <row r="262" spans="2:14">
      <c r="B262" s="210" t="s">
        <v>272</v>
      </c>
      <c r="C262" s="200"/>
      <c r="D262" s="230">
        <f>ROUND(D261/1.33,0)+SUM(D252:D259)</f>
        <v>0</v>
      </c>
      <c r="E262" s="230">
        <f t="shared" ref="E262:G262" si="4">ROUND(E261/1.33,0)+SUM(E252:E259)</f>
        <v>0</v>
      </c>
      <c r="F262" s="230">
        <f t="shared" si="4"/>
        <v>0</v>
      </c>
      <c r="G262" s="230">
        <f t="shared" si="4"/>
        <v>0</v>
      </c>
      <c r="I262" s="210" t="s">
        <v>272</v>
      </c>
      <c r="J262" s="200"/>
      <c r="K262" s="230">
        <f>ROUND(K261/'EEM values'!$C$108,0)</f>
        <v>0</v>
      </c>
      <c r="L262" s="230">
        <f>ROUND(L261/'EEM values'!$C$108,0)</f>
        <v>0</v>
      </c>
      <c r="M262" s="230">
        <f>ROUND(M261/'EEM values'!$C$108,0)</f>
        <v>0</v>
      </c>
      <c r="N262" s="331">
        <f>ROUND(N261/'EEM values'!$C$108,0)</f>
        <v>0</v>
      </c>
    </row>
    <row r="263" spans="2:14">
      <c r="B263" s="210" t="s">
        <v>521</v>
      </c>
      <c r="C263" s="200"/>
      <c r="D263" s="332">
        <f>SUMPRODUCT(D241:D247,$Z$76:$Z$82)+(SUM(D252:D259)*2.5)</f>
        <v>0</v>
      </c>
      <c r="E263" s="332">
        <f>SUMPRODUCT(E241:E247,$Z$76:$Z$82)+(SUM(E252:E259)*2.5)</f>
        <v>0</v>
      </c>
      <c r="F263" s="332">
        <f>SUMPRODUCT(F241:F247,$Z$76:$Z$82)+(SUM(F252:F259)*2.5)</f>
        <v>0</v>
      </c>
      <c r="G263" s="331">
        <f>SUMPRODUCT(G241:G247,$Z$76:$Z$82)+(SUM(G252:G259)*2.5)</f>
        <v>0</v>
      </c>
      <c r="I263" s="210" t="s">
        <v>259</v>
      </c>
      <c r="J263" s="200"/>
      <c r="K263" s="230">
        <f>SUMPRODUCT(K241:K247,'EEM values'!$C$89:$C$95)/'EEM values'!$C$108+SUMPRODUCT(K252:K259,'EEM values'!$C$98:$C$105)</f>
        <v>0</v>
      </c>
      <c r="L263" s="230">
        <f>SUMPRODUCT(L241:L247,'EEM values'!$C$89:$C$95)/'EEM values'!$C$108+SUMPRODUCT(L252:L259,'EEM values'!$C$98:$C$105)</f>
        <v>0</v>
      </c>
      <c r="M263" s="230">
        <f>SUMPRODUCT(M241:M247,'EEM values'!$C$89:$C$95)/'EEM values'!$C$108+SUMPRODUCT(M252:M259,'EEM values'!$C$98:$C$105)</f>
        <v>0</v>
      </c>
      <c r="N263" s="331">
        <f>SUMPRODUCT(N241:N247,'EEM values'!$C$89:$C$95)/'EEM values'!$C$108+SUMPRODUCT(N252:N259,'EEM values'!$C$98:$C$105)</f>
        <v>0</v>
      </c>
    </row>
    <row r="264" spans="2:14">
      <c r="B264" s="69"/>
      <c r="C264" s="231"/>
      <c r="D264" s="232"/>
      <c r="E264" s="232"/>
      <c r="F264" s="174"/>
      <c r="G264" s="233"/>
      <c r="I264" s="210" t="s">
        <v>260</v>
      </c>
      <c r="J264" s="200"/>
      <c r="K264" s="230">
        <f>SUMPRODUCT(K241:K247,'EEM values'!$D$89:$D$95)/'EEM values'!$C$108+SUMPRODUCT(K252:K259,'EEM values'!$D$98:$D$105)</f>
        <v>0</v>
      </c>
      <c r="L264" s="230">
        <f>SUMPRODUCT(L241:L247,'EEM values'!$D$89:$D$95)/'EEM values'!$C$108+SUMPRODUCT(L252:L259,'EEM values'!$D$98:$D$105)</f>
        <v>0</v>
      </c>
      <c r="M264" s="230">
        <f>SUMPRODUCT(M241:M247,'EEM values'!$D$89:$D$95)/'EEM values'!$C$108+SUMPRODUCT(M252:M259,'EEM values'!$D$98:$D$105)</f>
        <v>0</v>
      </c>
      <c r="N264" s="331">
        <f>SUMPRODUCT(N241:N247,'EEM values'!$D$89:$D$95)/'EEM values'!$C$108+SUMPRODUCT(N252:N259,'EEM values'!$D$98:$D$105)</f>
        <v>0</v>
      </c>
    </row>
    <row r="265" spans="2:14">
      <c r="B265" s="76"/>
      <c r="C265" s="25"/>
      <c r="D265" s="108"/>
      <c r="E265" s="108"/>
      <c r="F265" s="108"/>
      <c r="G265" s="209"/>
      <c r="I265" s="76"/>
      <c r="J265" s="25"/>
      <c r="K265" s="108"/>
      <c r="L265" s="108"/>
      <c r="M265" s="108"/>
      <c r="N265" s="209"/>
    </row>
    <row r="266" spans="2:14">
      <c r="B266" s="68" t="s">
        <v>258</v>
      </c>
      <c r="C266" s="25"/>
      <c r="D266" s="108"/>
      <c r="E266" s="108"/>
      <c r="F266" s="108"/>
      <c r="G266" s="209"/>
      <c r="I266" s="68" t="s">
        <v>258</v>
      </c>
      <c r="J266" s="25"/>
      <c r="K266" s="108"/>
      <c r="L266" s="108"/>
      <c r="M266" s="108"/>
      <c r="N266" s="209"/>
    </row>
    <row r="267" spans="2:14">
      <c r="B267" s="208"/>
      <c r="C267" s="25"/>
      <c r="D267" s="294" t="s">
        <v>142</v>
      </c>
      <c r="E267" s="33" t="s">
        <v>124</v>
      </c>
      <c r="F267" s="33" t="s">
        <v>125</v>
      </c>
      <c r="G267" s="212" t="s">
        <v>126</v>
      </c>
      <c r="I267" s="208"/>
      <c r="J267" s="25"/>
      <c r="K267" s="294" t="s">
        <v>142</v>
      </c>
      <c r="L267" s="33" t="s">
        <v>124</v>
      </c>
      <c r="M267" s="33" t="s">
        <v>125</v>
      </c>
      <c r="N267" s="212" t="s">
        <v>126</v>
      </c>
    </row>
    <row r="268" spans="2:14">
      <c r="B268" s="566" t="s">
        <v>75</v>
      </c>
      <c r="C268" s="567"/>
      <c r="D268" s="461"/>
      <c r="E268" s="457"/>
      <c r="F268" s="457"/>
      <c r="G268" s="468"/>
      <c r="I268" s="566" t="s">
        <v>75</v>
      </c>
      <c r="J268" s="567"/>
      <c r="K268" s="461"/>
      <c r="L268" s="457"/>
      <c r="M268" s="457"/>
      <c r="N268" s="468"/>
    </row>
    <row r="269" spans="2:14" ht="15.75" thickBot="1">
      <c r="B269" s="564" t="s">
        <v>76</v>
      </c>
      <c r="C269" s="565"/>
      <c r="D269" s="469"/>
      <c r="E269" s="470"/>
      <c r="F269" s="470"/>
      <c r="G269" s="471"/>
      <c r="I269" s="564" t="s">
        <v>76</v>
      </c>
      <c r="J269" s="565"/>
      <c r="K269" s="469"/>
      <c r="L269" s="470"/>
      <c r="M269" s="470"/>
      <c r="N269" s="471"/>
    </row>
  </sheetData>
  <sheetProtection password="EA07" sheet="1" objects="1" scenarios="1"/>
  <mergeCells count="49">
    <mergeCell ref="J230:L230"/>
    <mergeCell ref="C230:E230"/>
    <mergeCell ref="I268:J268"/>
    <mergeCell ref="B268:C268"/>
    <mergeCell ref="I269:J269"/>
    <mergeCell ref="B269:C269"/>
    <mergeCell ref="J189:L189"/>
    <mergeCell ref="C189:E189"/>
    <mergeCell ref="I227:J227"/>
    <mergeCell ref="B227:C227"/>
    <mergeCell ref="I228:J228"/>
    <mergeCell ref="B228:C228"/>
    <mergeCell ref="J148:L148"/>
    <mergeCell ref="C148:E148"/>
    <mergeCell ref="I186:J186"/>
    <mergeCell ref="B186:C186"/>
    <mergeCell ref="I187:J187"/>
    <mergeCell ref="B187:C187"/>
    <mergeCell ref="J107:L107"/>
    <mergeCell ref="C107:E107"/>
    <mergeCell ref="I145:J145"/>
    <mergeCell ref="B145:C145"/>
    <mergeCell ref="I146:J146"/>
    <mergeCell ref="B146:C146"/>
    <mergeCell ref="I105:J105"/>
    <mergeCell ref="I104:J104"/>
    <mergeCell ref="J66:L66"/>
    <mergeCell ref="B104:C104"/>
    <mergeCell ref="B105:C105"/>
    <mergeCell ref="N10:O10"/>
    <mergeCell ref="N11:O11"/>
    <mergeCell ref="N12:O12"/>
    <mergeCell ref="R10:S10"/>
    <mergeCell ref="R11:S11"/>
    <mergeCell ref="R12:S12"/>
    <mergeCell ref="J10:K10"/>
    <mergeCell ref="J11:K11"/>
    <mergeCell ref="J12:K12"/>
    <mergeCell ref="B10:C10"/>
    <mergeCell ref="C66:E66"/>
    <mergeCell ref="F11:G11"/>
    <mergeCell ref="F10:G10"/>
    <mergeCell ref="F12:G12"/>
    <mergeCell ref="B11:C11"/>
    <mergeCell ref="B12:C12"/>
    <mergeCell ref="C32:D32"/>
    <mergeCell ref="E32:F32"/>
    <mergeCell ref="G32:H32"/>
    <mergeCell ref="I32:J32"/>
  </mergeCells>
  <conditionalFormatting sqref="D34:D40">
    <cfRule type="expression" dxfId="31" priority="24">
      <formula>C34="Yes"</formula>
    </cfRule>
  </conditionalFormatting>
  <conditionalFormatting sqref="F34:F40">
    <cfRule type="expression" priority="23">
      <formula>E34="Yes"</formula>
    </cfRule>
  </conditionalFormatting>
  <conditionalFormatting sqref="F34:F40">
    <cfRule type="expression" dxfId="30" priority="22">
      <formula>E34="Yes"</formula>
    </cfRule>
  </conditionalFormatting>
  <conditionalFormatting sqref="H34:H40">
    <cfRule type="expression" dxfId="29" priority="21">
      <formula>G34="Yes"</formula>
    </cfRule>
  </conditionalFormatting>
  <conditionalFormatting sqref="J34:J40">
    <cfRule type="expression" dxfId="28" priority="20">
      <formula>I34="Yes"</formula>
    </cfRule>
  </conditionalFormatting>
  <conditionalFormatting sqref="C34:C37">
    <cfRule type="expression" dxfId="27" priority="17">
      <formula>Z33="Yes"</formula>
    </cfRule>
  </conditionalFormatting>
  <conditionalFormatting sqref="G34:G37">
    <cfRule type="expression" dxfId="26" priority="15">
      <formula>Z33="Yes"</formula>
    </cfRule>
  </conditionalFormatting>
  <conditionalFormatting sqref="D34:D37">
    <cfRule type="expression" dxfId="25" priority="7">
      <formula>C34="Off-peak only"</formula>
    </cfRule>
  </conditionalFormatting>
  <conditionalFormatting sqref="F34:F37">
    <cfRule type="expression" dxfId="24" priority="6">
      <formula>E34="Yes"</formula>
    </cfRule>
  </conditionalFormatting>
  <conditionalFormatting sqref="F34:F37">
    <cfRule type="expression" dxfId="23" priority="5">
      <formula>E34="Off-peak only"</formula>
    </cfRule>
  </conditionalFormatting>
  <conditionalFormatting sqref="H34:H37">
    <cfRule type="expression" dxfId="22" priority="4">
      <formula>G34="Yes"</formula>
    </cfRule>
  </conditionalFormatting>
  <conditionalFormatting sqref="H34:H37">
    <cfRule type="expression" dxfId="21" priority="3">
      <formula>G34="Off-peak only"</formula>
    </cfRule>
  </conditionalFormatting>
  <conditionalFormatting sqref="J34:J37">
    <cfRule type="expression" dxfId="20" priority="2">
      <formula>I34="Yes"</formula>
    </cfRule>
  </conditionalFormatting>
  <conditionalFormatting sqref="J34:J37">
    <cfRule type="expression" dxfId="19" priority="1">
      <formula>I34="Off-peak only"</formula>
    </cfRule>
  </conditionalFormatting>
  <conditionalFormatting sqref="E34:E37">
    <cfRule type="expression" dxfId="18" priority="52">
      <formula>$Z$31=Yes</formula>
    </cfRule>
    <cfRule type="expression" dxfId="17" priority="53">
      <formula>Z33="Yes"</formula>
    </cfRule>
  </conditionalFormatting>
  <conditionalFormatting sqref="I36">
    <cfRule type="expression" dxfId="16" priority="55">
      <formula>Z37="Yes"</formula>
    </cfRule>
  </conditionalFormatting>
  <conditionalFormatting sqref="I34:I37">
    <cfRule type="expression" dxfId="15" priority="56">
      <formula>$AB$31="Yes"</formula>
    </cfRule>
  </conditionalFormatting>
  <dataValidations count="4">
    <dataValidation type="list" allowBlank="1" showInputMessage="1" showErrorMessage="1" sqref="C88:C95 C129:C136 C170:C177 C211:C218 C252:C259">
      <formula1>$AA$84:$AA$88</formula1>
    </dataValidation>
    <dataValidation type="list" allowBlank="1" showInputMessage="1" showErrorMessage="1" sqref="C17:F17">
      <formula1>$Z$14:$Z$17</formula1>
    </dataValidation>
    <dataValidation type="list" allowBlank="1" showInputMessage="1" showErrorMessage="1" sqref="G34:G39 C34:C39 E34:E39 I34:I39">
      <formula1>$Z$19:$Z$22</formula1>
    </dataValidation>
    <dataValidation type="list" allowBlank="1" showInputMessage="1" showErrorMessage="1" sqref="C25:F25">
      <formula1>$Z$25:$Z$27</formula1>
    </dataValidation>
  </dataValidation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sheetPr>
    <tabColor rgb="FFFFFF00"/>
  </sheetPr>
  <dimension ref="A2:G22"/>
  <sheetViews>
    <sheetView workbookViewId="0">
      <selection activeCell="E27" sqref="E27"/>
    </sheetView>
  </sheetViews>
  <sheetFormatPr defaultColWidth="9.140625" defaultRowHeight="15"/>
  <cols>
    <col min="1" max="1" width="10.5703125" style="1" customWidth="1"/>
    <col min="2" max="2" width="24.5703125" style="1" customWidth="1"/>
    <col min="3" max="6" width="15.85546875" style="1" customWidth="1"/>
    <col min="7" max="16384" width="9.140625" style="1"/>
  </cols>
  <sheetData>
    <row r="2" spans="1:7">
      <c r="B2" s="155" t="s">
        <v>100</v>
      </c>
      <c r="C2" s="156"/>
    </row>
    <row r="4" spans="1:7">
      <c r="A4" s="26"/>
      <c r="B4" s="101" t="s">
        <v>163</v>
      </c>
      <c r="C4" s="99"/>
      <c r="D4" s="99"/>
      <c r="E4" s="99"/>
      <c r="F4" s="99"/>
    </row>
    <row r="5" spans="1:7">
      <c r="B5" s="23"/>
      <c r="C5" s="23" t="s">
        <v>130</v>
      </c>
      <c r="D5" s="23" t="s">
        <v>124</v>
      </c>
      <c r="E5" s="23" t="s">
        <v>125</v>
      </c>
      <c r="F5" s="23" t="s">
        <v>126</v>
      </c>
    </row>
    <row r="6" spans="1:7">
      <c r="B6" s="153" t="s">
        <v>131</v>
      </c>
      <c r="C6" s="150" t="e">
        <f>SUM('Patronage summary'!$F$5:$F$6)</f>
        <v>#DIV/0!</v>
      </c>
      <c r="D6" s="150" t="e">
        <f>IF(Option1="No","",SUM('Patronage summary'!$F$19:$F$20))</f>
        <v>#DIV/0!</v>
      </c>
      <c r="E6" s="150" t="e">
        <f>IF(Option2="No","",SUM('Patronage summary'!$F$33:$F$34))</f>
        <v>#DIV/0!</v>
      </c>
      <c r="F6" s="150" t="e">
        <f>IF(Option3="No","",SUM('Patronage summary'!$F$47:$F$48))</f>
        <v>#DIV/0!</v>
      </c>
    </row>
    <row r="7" spans="1:7">
      <c r="B7" s="153" t="s">
        <v>132</v>
      </c>
      <c r="C7" s="150" t="e">
        <f>SUM('Patronage summary'!$F$7:$F$8)</f>
        <v>#DIV/0!</v>
      </c>
      <c r="D7" s="150" t="e">
        <f>IF(Option1="No","",SUM('Patronage summary'!$F$21:$F$22))</f>
        <v>#DIV/0!</v>
      </c>
      <c r="E7" s="150" t="e">
        <f>IF(Option2="No","",SUM('Patronage summary'!$F$35:$F$36))</f>
        <v>#DIV/0!</v>
      </c>
      <c r="F7" s="150" t="e">
        <f>IF(Option3="No","",SUM('Patronage summary'!$F$49:$F$50))</f>
        <v>#DIV/0!</v>
      </c>
    </row>
    <row r="8" spans="1:7">
      <c r="B8" s="128"/>
      <c r="C8" s="15"/>
      <c r="D8" s="15"/>
      <c r="E8" s="15"/>
      <c r="F8" s="15"/>
    </row>
    <row r="9" spans="1:7">
      <c r="B9" s="101" t="s">
        <v>164</v>
      </c>
      <c r="C9" s="99"/>
      <c r="D9" s="99"/>
      <c r="E9" s="99"/>
      <c r="F9" s="99"/>
    </row>
    <row r="10" spans="1:7">
      <c r="B10" s="23"/>
      <c r="C10" s="23" t="s">
        <v>130</v>
      </c>
      <c r="D10" s="23" t="s">
        <v>124</v>
      </c>
      <c r="E10" s="23" t="s">
        <v>125</v>
      </c>
      <c r="F10" s="23" t="s">
        <v>126</v>
      </c>
    </row>
    <row r="11" spans="1:7">
      <c r="B11" s="153" t="s">
        <v>131</v>
      </c>
      <c r="C11" s="150" t="e">
        <f>C6*General!$C$29</f>
        <v>#DIV/0!</v>
      </c>
      <c r="D11" s="150" t="e">
        <f>IF(Option1="No","",D6*General!$C$29)</f>
        <v>#DIV/0!</v>
      </c>
      <c r="E11" s="150" t="e">
        <f>IF(Option2="No","",E6*General!$C$29)</f>
        <v>#DIV/0!</v>
      </c>
      <c r="F11" s="150" t="e">
        <f>IF(Option3="No","",F6*General!$C$29)</f>
        <v>#DIV/0!</v>
      </c>
    </row>
    <row r="12" spans="1:7">
      <c r="B12" s="153" t="s">
        <v>132</v>
      </c>
      <c r="C12" s="150" t="e">
        <f>C7*General!$C$29</f>
        <v>#DIV/0!</v>
      </c>
      <c r="D12" s="150" t="e">
        <f>IF(Option1="No","",D7*General!$C$29)</f>
        <v>#DIV/0!</v>
      </c>
      <c r="E12" s="150" t="e">
        <f>IF(Option2="No","",E7*General!$C$29)</f>
        <v>#DIV/0!</v>
      </c>
      <c r="F12" s="150" t="e">
        <f>IF(Option3="No","",F7*General!$C$29)</f>
        <v>#DIV/0!</v>
      </c>
      <c r="G12" s="44"/>
    </row>
    <row r="13" spans="1:7">
      <c r="B13" s="128"/>
      <c r="C13" s="154"/>
      <c r="D13" s="154"/>
      <c r="E13" s="154"/>
      <c r="F13" s="154"/>
      <c r="G13" s="44"/>
    </row>
    <row r="14" spans="1:7">
      <c r="B14" s="101" t="s">
        <v>171</v>
      </c>
      <c r="C14" s="99"/>
      <c r="D14" s="99"/>
      <c r="E14" s="99"/>
      <c r="F14" s="99"/>
    </row>
    <row r="15" spans="1:7">
      <c r="B15" s="106"/>
      <c r="C15" s="107"/>
      <c r="D15" s="23" t="s">
        <v>124</v>
      </c>
      <c r="E15" s="23" t="s">
        <v>125</v>
      </c>
      <c r="F15" s="23" t="s">
        <v>126</v>
      </c>
    </row>
    <row r="16" spans="1:7">
      <c r="B16" s="23"/>
      <c r="C16" s="153" t="s">
        <v>131</v>
      </c>
      <c r="D16" s="150" t="e">
        <f>IF(Option1="No","",D11-$C11)</f>
        <v>#DIV/0!</v>
      </c>
      <c r="E16" s="150" t="e">
        <f>IF(Option2="No","",E11-$C11)</f>
        <v>#DIV/0!</v>
      </c>
      <c r="F16" s="150" t="e">
        <f>IF(Option3="No","",F11-$C11)</f>
        <v>#DIV/0!</v>
      </c>
    </row>
    <row r="17" spans="2:6">
      <c r="B17" s="23"/>
      <c r="C17" s="153" t="s">
        <v>132</v>
      </c>
      <c r="D17" s="150" t="e">
        <f>IF(Option1="No","",D12-$C12)</f>
        <v>#DIV/0!</v>
      </c>
      <c r="E17" s="150" t="e">
        <f>IF(Option2="No","",E12-$C12)</f>
        <v>#DIV/0!</v>
      </c>
      <c r="F17" s="150" t="e">
        <f>IF(Option3="No","",F12-$C12)</f>
        <v>#DIV/0!</v>
      </c>
    </row>
    <row r="18" spans="2:6">
      <c r="B18" s="15"/>
      <c r="C18" s="128"/>
      <c r="D18" s="154"/>
      <c r="E18" s="154"/>
      <c r="F18" s="154"/>
    </row>
    <row r="19" spans="2:6">
      <c r="B19" s="101" t="s">
        <v>601</v>
      </c>
      <c r="C19" s="99"/>
      <c r="D19" s="99"/>
      <c r="E19" s="99"/>
      <c r="F19" s="99"/>
    </row>
    <row r="20" spans="2:6">
      <c r="B20" s="106"/>
      <c r="C20" s="107"/>
      <c r="D20" s="23" t="s">
        <v>124</v>
      </c>
      <c r="E20" s="23" t="s">
        <v>125</v>
      </c>
      <c r="F20" s="23" t="s">
        <v>126</v>
      </c>
    </row>
    <row r="21" spans="2:6">
      <c r="B21" s="23"/>
      <c r="C21" s="153" t="s">
        <v>210</v>
      </c>
      <c r="D21" s="150" t="e">
        <f>IF(Option1="No","",D16*'EEM values'!$D$19*'EEM values'!$C$16)</f>
        <v>#DIV/0!</v>
      </c>
      <c r="E21" s="150" t="e">
        <f>IF(Option2="No","",E16*'EEM values'!$D$19*'EEM values'!$C$16)</f>
        <v>#DIV/0!</v>
      </c>
      <c r="F21" s="150" t="e">
        <f>IF(Option3="No","",F16*'EEM values'!$D$19*'EEM values'!$C$16)</f>
        <v>#DIV/0!</v>
      </c>
    </row>
    <row r="22" spans="2:6">
      <c r="B22" s="23"/>
      <c r="C22" s="153" t="s">
        <v>211</v>
      </c>
      <c r="D22" s="150" t="e">
        <f>IF(Option1="No","",D17*'EEM values'!$D$20*'EEM values'!$C$25)</f>
        <v>#DIV/0!</v>
      </c>
      <c r="E22" s="150" t="e">
        <f>IF(Option2="No","",E17*'EEM values'!$D$20*'EEM values'!$C$16)</f>
        <v>#DIV/0!</v>
      </c>
      <c r="F22" s="150" t="e">
        <f>IF(Option3="No","",F17*'EEM values'!$D$20*'EEM values'!$C$16)</f>
        <v>#DIV/0!</v>
      </c>
    </row>
  </sheetData>
  <sheetProtection password="EA07" sheet="1" objects="1" scenarios="1" formatColumns="0" formatRows="0"/>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sheetPr>
    <tabColor rgb="FFFFFF00"/>
  </sheetPr>
  <dimension ref="B2:H41"/>
  <sheetViews>
    <sheetView workbookViewId="0">
      <selection activeCell="B3" sqref="B3"/>
    </sheetView>
  </sheetViews>
  <sheetFormatPr defaultColWidth="9.140625" defaultRowHeight="15"/>
  <cols>
    <col min="1" max="1" width="10.28515625" style="1" customWidth="1"/>
    <col min="2" max="2" width="47.140625" style="1" customWidth="1"/>
    <col min="3" max="6" width="14.28515625" style="1" customWidth="1"/>
    <col min="7" max="16384" width="9.140625" style="1"/>
  </cols>
  <sheetData>
    <row r="2" spans="2:6">
      <c r="B2" s="155" t="s">
        <v>273</v>
      </c>
      <c r="C2" s="214"/>
      <c r="D2" s="156"/>
    </row>
    <row r="4" spans="2:6">
      <c r="B4" s="101" t="s">
        <v>276</v>
      </c>
      <c r="C4" s="99"/>
      <c r="D4" s="99"/>
      <c r="E4" s="99"/>
      <c r="F4" s="99"/>
    </row>
    <row r="5" spans="2:6">
      <c r="B5" s="106"/>
      <c r="C5" s="107"/>
      <c r="D5" s="23" t="s">
        <v>124</v>
      </c>
      <c r="E5" s="23" t="s">
        <v>125</v>
      </c>
      <c r="F5" s="23" t="s">
        <v>126</v>
      </c>
    </row>
    <row r="6" spans="2:6">
      <c r="B6" s="568" t="s">
        <v>274</v>
      </c>
      <c r="C6" s="1" t="s">
        <v>30</v>
      </c>
      <c r="D6" s="150">
        <f>IF(Option1="No","",(('Project details'!$L$98-'Project details'!$K$98)*'Project details'!$K$72)+(('Project details'!$L$139-'Project details'!$K$139)*'Project details'!$K$113)+(('Project details'!$L$180-'Project details'!$K$180)*'Project details'!$K$154)+(('Project details'!$L$221-'Project details'!$K$221)*'Project details'!$K$195)+(('Project details'!$L$262-'Project details'!$K$262)*'Project details'!$K$236))</f>
        <v>0</v>
      </c>
      <c r="E6" s="150">
        <f>IF(Option2="No","",(('Project details'!$M$98-'Project details'!$K$98)*'Project details'!$K$72)+(('Project details'!$M$139-'Project details'!$K$139)*'Project details'!$K$113)+(('Project details'!$M$180-'Project details'!$K$180)*'Project details'!$K$154)+(('Project details'!$M$221-'Project details'!$K$221)*'Project details'!$K$195)+(('Project details'!$M$262-'Project details'!$K$262)*'Project details'!$K$236))</f>
        <v>0</v>
      </c>
      <c r="F6" s="150">
        <f>IF(Option3="No","",(('Project details'!$N$98-'Project details'!$K$98)*'Project details'!$K$72)+(('Project details'!$N$139-'Project details'!$K$139)*'Project details'!$K$113)+(('Project details'!$N$180-'Project details'!$K$180)*'Project details'!$K$154)+(('Project details'!$N$221-'Project details'!$K$221)*'Project details'!$K$195)+(('Project details'!$N$262-'Project details'!$K$262)*'Project details'!$K$236))</f>
        <v>0</v>
      </c>
    </row>
    <row r="7" spans="2:6">
      <c r="B7" s="569"/>
      <c r="C7" s="150" t="s">
        <v>37</v>
      </c>
      <c r="D7" s="150">
        <f>IF(Option1="No","",(('Project details'!$L$98-'Project details'!$K$98)*'Project details'!$L$72)+(('Project details'!$L$139-'Project details'!$K$139)*'Project details'!$L$113)+(('Project details'!$L$180-'Project details'!$K$180)*'Project details'!$L$154)+(('Project details'!$L$221-'Project details'!$K$221)*'Project details'!$L$195)+(('Project details'!$L$262-'Project details'!$K$262)*'Project details'!$L$236))</f>
        <v>0</v>
      </c>
      <c r="E7" s="150">
        <f>IF(Option2="No","",(('Project details'!$M$98-'Project details'!$K$98)*'Project details'!$L$72)+(('Project details'!$M$139-'Project details'!$K$139)*'Project details'!$L$113)+(('Project details'!$M$180-'Project details'!$K$180)*'Project details'!$L$154)+(('Project details'!$M$221-'Project details'!$K$221)*'Project details'!$L$195)+(('Project details'!$M$262-'Project details'!$K$262)*'Project details'!$L$236))</f>
        <v>0</v>
      </c>
      <c r="F7" s="150">
        <f>IF(Option3="No","",(('Project details'!$N$98-'Project details'!$K$98)*'Project details'!$L$72)+(('Project details'!$N$139-'Project details'!$K$139)*'Project details'!$L$113)+(('Project details'!$N$180-'Project details'!$K$180)*'Project details'!$L$154)+(('Project details'!$N$221-'Project details'!$K$221)*'Project details'!$L$195)+(('Project details'!$N$262-'Project details'!$K$262)*'Project details'!$L$236))</f>
        <v>0</v>
      </c>
    </row>
    <row r="8" spans="2:6">
      <c r="B8" s="568" t="s">
        <v>275</v>
      </c>
      <c r="C8" s="1" t="s">
        <v>30</v>
      </c>
      <c r="D8" s="150">
        <f>IF(Option1="No","",(('Project details'!$E$98-'Project details'!$D$98)*'Project details'!$D$72)+(('Project details'!$E$139-'Project details'!$D$139)*'Project details'!$D$113)+(('Project details'!$E$180-'Project details'!$D$180)*'Project details'!$D$154)+(('Project details'!$E$221-'Project details'!$D$221)*'Project details'!$D$195)+(('Project details'!$E$262-'Project details'!$D$262)*'Project details'!$D$236))</f>
        <v>0</v>
      </c>
      <c r="E8" s="150">
        <f>IF(Option2="No","",(('Project details'!$F$98-'Project details'!$D$98)*'Project details'!$D$72)+(('Project details'!$F$139-'Project details'!$D$139)*'Project details'!$D$113)+(('Project details'!$F$180-'Project details'!$D$180)*'Project details'!$D$154)+(('Project details'!$F$221-'Project details'!$D$221)*'Project details'!$D$195)+(('Project details'!$F$262-'Project details'!$D$262)*'Project details'!$D$236))</f>
        <v>0</v>
      </c>
      <c r="F8" s="150">
        <f>IF(Option3="No","",(('Project details'!$G$98-'Project details'!$D$98)*'Project details'!$D$72)+(('Project details'!$G$139-'Project details'!$D$139)*'Project details'!$D$113)+(('Project details'!$G$180-'Project details'!$D$180)*'Project details'!$D$154)+(('Project details'!$G$221-'Project details'!$D$221)*'Project details'!$D$195)+(('Project details'!$G$262-'Project details'!$D$262)*'Project details'!$D$236))</f>
        <v>0</v>
      </c>
    </row>
    <row r="9" spans="2:6">
      <c r="B9" s="569"/>
      <c r="C9" s="150" t="s">
        <v>37</v>
      </c>
      <c r="D9" s="150">
        <f>IF(Option1="No","",(('Project details'!$E$98-'Project details'!$D$98)*'Project details'!$E$72)+(('Project details'!$E$139-'Project details'!$D$139)*'Project details'!$E$113)+(('Project details'!$E$180-'Project details'!$D$180)*'Project details'!$E$154)+(('Project details'!$E$221-'Project details'!$D$221)*'Project details'!$E$195)+(('Project details'!$E$262-'Project details'!$D$262)*'Project details'!$E$236))</f>
        <v>0</v>
      </c>
      <c r="E9" s="150">
        <f>IF(Option2="No","",(('Project details'!$F$98-'Project details'!$D$98)*'Project details'!$E$72)+(('Project details'!$F$139-'Project details'!$D$139)*'Project details'!$E$113)+(('Project details'!$F$180-'Project details'!$D$180)*'Project details'!$E$154)+(('Project details'!$F$221-'Project details'!$D$221)*'Project details'!$E$195)+(('Project details'!$F$262-'Project details'!$D$262)*'Project details'!$E$236))</f>
        <v>0</v>
      </c>
      <c r="F9" s="150">
        <f>IF(Option3="No","",(('Project details'!$G$98-'Project details'!$D$98)*'Project details'!$E$72)+(('Project details'!$G$139-'Project details'!$D$139)*'Project details'!$E$113)+(('Project details'!$G$180-'Project details'!$D$180)*'Project details'!$E$154)+(('Project details'!$G$221-'Project details'!$D$221)*'Project details'!$E$195)+(('Project details'!$G$262-'Project details'!$D$262)*'Project details'!$E$236))</f>
        <v>0</v>
      </c>
    </row>
    <row r="11" spans="2:6">
      <c r="B11" s="101" t="s">
        <v>277</v>
      </c>
      <c r="C11" s="99"/>
      <c r="D11" s="99"/>
      <c r="E11" s="99"/>
      <c r="F11" s="99"/>
    </row>
    <row r="12" spans="2:6">
      <c r="B12" s="106"/>
      <c r="C12" s="107"/>
      <c r="D12" s="23" t="s">
        <v>124</v>
      </c>
      <c r="E12" s="23" t="s">
        <v>125</v>
      </c>
      <c r="F12" s="23" t="s">
        <v>126</v>
      </c>
    </row>
    <row r="13" spans="2:6">
      <c r="B13" s="568" t="s">
        <v>274</v>
      </c>
      <c r="C13" s="1" t="s">
        <v>30</v>
      </c>
      <c r="D13" s="150">
        <f>IF(Option1="No","",(D6/3600)*General!$C$29)</f>
        <v>0</v>
      </c>
      <c r="E13" s="150">
        <f>IF(Option2="No","",(E6/3600)*General!$C$29)</f>
        <v>0</v>
      </c>
      <c r="F13" s="150">
        <f>IF(Option3="No","",(F6/3600)*General!$C$29)</f>
        <v>0</v>
      </c>
    </row>
    <row r="14" spans="2:6">
      <c r="B14" s="569"/>
      <c r="C14" s="150" t="s">
        <v>37</v>
      </c>
      <c r="D14" s="150">
        <f>IF(Option1="No","",(D7/3600)*General!$C$29)</f>
        <v>0</v>
      </c>
      <c r="E14" s="150">
        <f>IF(Option2="No","",(E7/3600)*General!$C$29)</f>
        <v>0</v>
      </c>
      <c r="F14" s="150">
        <f>IF(Option3="No","",(F7/3600)*General!$C$29)</f>
        <v>0</v>
      </c>
    </row>
    <row r="15" spans="2:6">
      <c r="B15" s="568" t="s">
        <v>275</v>
      </c>
      <c r="C15" s="1" t="s">
        <v>30</v>
      </c>
      <c r="D15" s="150">
        <f>IF(Option1="No","",(D8/3600)*General!$C$29)</f>
        <v>0</v>
      </c>
      <c r="E15" s="150">
        <f>IF(Option2="No","",(E8/3600)*General!$C$29)</f>
        <v>0</v>
      </c>
      <c r="F15" s="150">
        <f>IF(Option3="No","",(F8/3600)*General!$C$29)</f>
        <v>0</v>
      </c>
    </row>
    <row r="16" spans="2:6">
      <c r="B16" s="569"/>
      <c r="C16" s="150" t="s">
        <v>37</v>
      </c>
      <c r="D16" s="150">
        <f>IF(Option1="No","",(D9/3600)*General!$C$29)</f>
        <v>0</v>
      </c>
      <c r="E16" s="150">
        <f>IF(Option2="No","",(E9/3600)*General!$C$29)</f>
        <v>0</v>
      </c>
      <c r="F16" s="150">
        <f>IF(Option3="No","",(F9/3600)*General!$C$29)</f>
        <v>0</v>
      </c>
    </row>
    <row r="17" spans="2:6">
      <c r="B17" s="102"/>
      <c r="C17" s="154"/>
      <c r="D17" s="154"/>
      <c r="E17" s="15"/>
      <c r="F17" s="15"/>
    </row>
    <row r="18" spans="2:6">
      <c r="B18" s="101" t="s">
        <v>601</v>
      </c>
      <c r="C18" s="99"/>
      <c r="D18" s="99"/>
      <c r="E18" s="99"/>
      <c r="F18" s="99"/>
    </row>
    <row r="19" spans="2:6">
      <c r="B19" s="106"/>
      <c r="C19" s="107"/>
      <c r="D19" s="23" t="s">
        <v>124</v>
      </c>
      <c r="E19" s="23" t="s">
        <v>125</v>
      </c>
      <c r="F19" s="23" t="s">
        <v>126</v>
      </c>
    </row>
    <row r="20" spans="2:6">
      <c r="B20" s="568" t="s">
        <v>666</v>
      </c>
      <c r="C20" s="1" t="s">
        <v>30</v>
      </c>
      <c r="D20" s="150">
        <f>IF(Option1="No","",-(D13*'EEM values'!$D$31*'EEM values'!$C$25))</f>
        <v>0</v>
      </c>
      <c r="E20" s="150">
        <f>IF(Option2="No","",-(E13*'EEM values'!$D$31*'EEM values'!$C$25))</f>
        <v>0</v>
      </c>
      <c r="F20" s="150">
        <f>IF(Option3="No","",-(F13*'EEM values'!$D$31*'EEM values'!$C$25))</f>
        <v>0</v>
      </c>
    </row>
    <row r="21" spans="2:6">
      <c r="B21" s="569"/>
      <c r="C21" s="150" t="s">
        <v>37</v>
      </c>
      <c r="D21" s="150">
        <f>IF(Option1="No","",-(D14*'EEM values'!$F$31*'EEM values'!$C$25))</f>
        <v>0</v>
      </c>
      <c r="E21" s="150">
        <f>IF(Option2="No","",-(E14*'EEM values'!$F$31*'EEM values'!$C$25))</f>
        <v>0</v>
      </c>
      <c r="F21" s="150">
        <f>IF(Option3="No","",-(F14*'EEM values'!$F$31*'EEM values'!$C$25))</f>
        <v>0</v>
      </c>
    </row>
    <row r="22" spans="2:6">
      <c r="B22" s="568" t="s">
        <v>667</v>
      </c>
      <c r="C22" s="1" t="s">
        <v>30</v>
      </c>
      <c r="D22" s="150">
        <f>IF(Option1="No","",-(D15*'EEM values'!$D$30*General!$C$32*'EEM values'!$C$25))</f>
        <v>0</v>
      </c>
      <c r="E22" s="150">
        <f>IF(Option2="No","",-(E15*'EEM values'!$D$30*General!$C$32*'EEM values'!$C$25))</f>
        <v>0</v>
      </c>
      <c r="F22" s="150">
        <f>IF(Option3="No","",-(F15*'EEM values'!$D$30*General!$C$32*'EEM values'!$C$25))</f>
        <v>0</v>
      </c>
    </row>
    <row r="23" spans="2:6">
      <c r="B23" s="569"/>
      <c r="C23" s="150" t="s">
        <v>37</v>
      </c>
      <c r="D23" s="150">
        <f>IF(Option1="No","",-(D16*'EEM values'!$F$30*General!$C$32*'EEM values'!$C$25))</f>
        <v>0</v>
      </c>
      <c r="E23" s="150">
        <f>IF(Option2="No","",-(E16*'EEM values'!$F$30*General!$C$32*'EEM values'!$C$25))</f>
        <v>0</v>
      </c>
      <c r="F23" s="150">
        <f>IF(Option3="No","",-(F16*'EEM values'!$F$30*General!$C$32*'EEM values'!$C$25))</f>
        <v>0</v>
      </c>
    </row>
    <row r="41" spans="8:8">
      <c r="H41" s="46"/>
    </row>
  </sheetData>
  <sheetProtection password="EA07" sheet="1" objects="1" scenarios="1" formatColumns="0" formatRows="0"/>
  <mergeCells count="6">
    <mergeCell ref="B6:B7"/>
    <mergeCell ref="B8:B9"/>
    <mergeCell ref="B20:B21"/>
    <mergeCell ref="B22:B23"/>
    <mergeCell ref="B13:B14"/>
    <mergeCell ref="B15:B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2:F26"/>
  <sheetViews>
    <sheetView workbookViewId="0">
      <selection activeCell="B3" sqref="B3"/>
    </sheetView>
  </sheetViews>
  <sheetFormatPr defaultColWidth="9.140625" defaultRowHeight="15"/>
  <cols>
    <col min="1" max="1" width="10.28515625" style="1" customWidth="1"/>
    <col min="2" max="2" width="56.42578125" style="1" customWidth="1"/>
    <col min="3" max="3" width="9.140625" style="1"/>
    <col min="4" max="6" width="12.42578125" style="1" customWidth="1"/>
    <col min="7" max="16384" width="9.140625" style="1"/>
  </cols>
  <sheetData>
    <row r="2" spans="1:6">
      <c r="B2" s="155" t="s">
        <v>594</v>
      </c>
      <c r="C2" s="214"/>
      <c r="D2" s="156"/>
    </row>
    <row r="4" spans="1:6">
      <c r="B4" s="101" t="s">
        <v>486</v>
      </c>
      <c r="C4" s="99"/>
      <c r="D4" s="99"/>
      <c r="E4" s="99"/>
      <c r="F4" s="99"/>
    </row>
    <row r="5" spans="1:6">
      <c r="B5" s="106"/>
      <c r="C5" s="107"/>
      <c r="D5" s="23" t="s">
        <v>124</v>
      </c>
      <c r="E5" s="23" t="s">
        <v>125</v>
      </c>
      <c r="F5" s="23" t="s">
        <v>126</v>
      </c>
    </row>
    <row r="6" spans="1:6">
      <c r="B6" s="568" t="s">
        <v>602</v>
      </c>
      <c r="C6" s="1" t="s">
        <v>30</v>
      </c>
      <c r="D6" s="150">
        <f>IF(Option1="No","",((('Project details'!$L$99-'Project details'!$L$98)-('Project details'!$K$99-'Project details'!$K$98))*'Project details'!$K$72)+((('Project details'!$L$140-'Project details'!$L$139)-('Project details'!$K$140-'Project details'!$K$139))*'Project details'!$K$113)+((('Project details'!$L$181-'Project details'!$L$180)-('Project details'!$K$181-'Project details'!$K$180))*'Project details'!$K$154)+((('Project details'!$L$222-'Project details'!$L$221)-('Project details'!$K$222-'Project details'!$K$221))*'Project details'!$K$195)+((('Project details'!$L$263-'Project details'!$L$262)-('Project details'!$K$263-'Project details'!$K$262))*'Project details'!$K$236))</f>
        <v>0</v>
      </c>
      <c r="E6" s="150">
        <f>IF(Option2="No","",((('Project details'!$M$99-'Project details'!$M$98)-('Project details'!$K$99-'Project details'!$K$98))*'Project details'!$K$72)+((('Project details'!$M$140-'Project details'!$M$139)-('Project details'!$K$140-'Project details'!$K$139))*'Project details'!$K$113)+((('Project details'!$M$181-'Project details'!$M$180)-('Project details'!$K$181-'Project details'!$K$180))*'Project details'!$K$154)+((('Project details'!$M$222-'Project details'!$M$221)-('Project details'!$K$222-'Project details'!$K$221))*'Project details'!$K$195)+((('Project details'!$M$263-'Project details'!$M$262)-('Project details'!$K$263-'Project details'!$K$262))*'Project details'!$K$236))</f>
        <v>0</v>
      </c>
      <c r="F6" s="150">
        <f>IF(Option3="No","",((('Project details'!$N$99-'Project details'!$N$98)-('Project details'!$K$99-'Project details'!$K$98))*'Project details'!$K$72)+((('Project details'!$N$140-'Project details'!$N$139)-('Project details'!$K$140-'Project details'!$K$139))*'Project details'!$K$113)+((('Project details'!$N$181-'Project details'!$N$180)-('Project details'!$K$181-'Project details'!$K$180))*'Project details'!$K$154)+((('Project details'!$N$222-'Project details'!$N$221)-('Project details'!$K$222-'Project details'!$K$221))*'Project details'!$K$195)+((('Project details'!$N$263-'Project details'!$N$262)-('Project details'!$K$263-'Project details'!$K$262))*'Project details'!$K$236))</f>
        <v>0</v>
      </c>
    </row>
    <row r="7" spans="1:6">
      <c r="B7" s="569"/>
      <c r="C7" s="150" t="s">
        <v>37</v>
      </c>
      <c r="D7" s="150">
        <f>IF(Option1="No","",((('Project details'!$L$100-'Project details'!$L$98)-('Project details'!$K$100-'Project details'!$K$98))*'Project details'!$L$72)+((('Project details'!$L$141-'Project details'!$L$139)-('Project details'!$K$141-'Project details'!$K$139))*'Project details'!$L$113)+((('Project details'!$L$182-'Project details'!$L$180)-('Project details'!$K$182-'Project details'!$K$180))*'Project details'!$L$154)+((('Project details'!$L$223-'Project details'!$L$221)-('Project details'!$K$223-'Project details'!$K$221))*'Project details'!$L$195)+((('Project details'!$L$264-'Project details'!$L$262)-('Project details'!$K$264-'Project details'!$K$262))*'Project details'!$L$236))</f>
        <v>0</v>
      </c>
      <c r="E7" s="150">
        <f>IF(Option2="No","",((('Project details'!$M$100-'Project details'!$M$98)-('Project details'!$K$100-'Project details'!$K$98))*'Project details'!$L$72)+((('Project details'!$M$141-'Project details'!$M$139)-('Project details'!$K$141-'Project details'!$K$139))*'Project details'!$L$113)+((('Project details'!$M$182-'Project details'!$M$180)-('Project details'!$K$182-'Project details'!$K$180))*'Project details'!$L$154)+((('Project details'!$M$223-'Project details'!$M$221)-('Project details'!$K$223-'Project details'!$K$221))*'Project details'!$L$195)+((('Project details'!$M$264-'Project details'!$M$262)-('Project details'!$K$264-'Project details'!$K$262))*'Project details'!$L$236))</f>
        <v>0</v>
      </c>
      <c r="F7" s="150">
        <f>IF(Option3="No","",((('Project details'!$N$100-'Project details'!$N$98)-('Project details'!$K$100-'Project details'!$K$98))*'Project details'!$L$72)+((('Project details'!$N$141-'Project details'!$N$139)-('Project details'!$K$141-'Project details'!$K$139))*'Project details'!$L$113)+((('Project details'!$N$182-'Project details'!$N$180)-('Project details'!$K$182-'Project details'!$K$180))*'Project details'!$L$154)+((('Project details'!$N$223-'Project details'!$N$221)-('Project details'!$K$223-'Project details'!$K$221))*'Project details'!$L$195)+((('Project details'!$N$264-'Project details'!$N$262)-('Project details'!$K$264-'Project details'!$K$262))*'Project details'!$L$236))</f>
        <v>0</v>
      </c>
    </row>
    <row r="8" spans="1:6">
      <c r="B8" s="568" t="s">
        <v>603</v>
      </c>
      <c r="C8" s="1" t="s">
        <v>30</v>
      </c>
      <c r="D8" s="150">
        <f>IF(Option1="No","",((('Project details'!$E$99-'Project details'!$E$98)-('Project details'!$D$99-'Project details'!$D$98))*'Project details'!$D$72)+((('Project details'!$E$140-'Project details'!$E$139)-('Project details'!$D$140-'Project details'!$D$139))*'Project details'!$D$113)+((('Project details'!$E$181-'Project details'!$E$180)-('Project details'!$D$181-'Project details'!$D$180))*'Project details'!$D$154)+((('Project details'!$E$222-'Project details'!$E$221)-('Project details'!$D$222-'Project details'!$D$221))*'Project details'!$D$195)+((('Project details'!$E$263-'Project details'!$E$262)-('Project details'!$D$263-'Project details'!$D$262))*'Project details'!$D$236))</f>
        <v>0</v>
      </c>
      <c r="E8" s="150">
        <f>IF(Option2="No","",((('Project details'!$F$99-'Project details'!$F$98)-('Project details'!$D$99-'Project details'!$D$98))*'Project details'!$D$72)+((('Project details'!$F$140-'Project details'!$F$139)-('Project details'!$D$140-'Project details'!$D$139))*'Project details'!$D$113)+((('Project details'!$F$181-'Project details'!$F$180)-('Project details'!$D$181-'Project details'!$D$180))*'Project details'!$D$154)+((('Project details'!$F$222-'Project details'!$F$221)-('Project details'!$D$222-'Project details'!$D$221))*'Project details'!$D$195)+((('Project details'!$F$263-'Project details'!$F$262)-('Project details'!$D$263-'Project details'!$D$262))*'Project details'!$D$236))</f>
        <v>0</v>
      </c>
      <c r="F8" s="150">
        <f>IF(Option3="No","",((('Project details'!$G$99-'Project details'!$G$98)-('Project details'!$D$99-'Project details'!$D$98))*'Project details'!$D$72)+((('Project details'!$G$140-'Project details'!$G$139)-('Project details'!$D$140-'Project details'!$D$139))*'Project details'!$D$113)+((('Project details'!$G$181-'Project details'!$G$180)-('Project details'!$D$181-'Project details'!$D$180))*'Project details'!$D$154)+((('Project details'!$G$222-'Project details'!$G$221)-('Project details'!$D$222-'Project details'!$D$221))*'Project details'!$D$195)+((('Project details'!$G$263-'Project details'!$G$262)-('Project details'!$D$263-'Project details'!$D$262))*'Project details'!$D$236))</f>
        <v>0</v>
      </c>
    </row>
    <row r="9" spans="1:6">
      <c r="B9" s="569"/>
      <c r="C9" s="150" t="s">
        <v>37</v>
      </c>
      <c r="D9" s="150">
        <f>IF(Option1="No","",((('Project details'!$E$99-'Project details'!$E$98)-('Project details'!$D$99-'Project details'!$D$98))*'Project details'!$E$72)+((('Project details'!$E$140-'Project details'!$E$139)-('Project details'!$D$140-'Project details'!$D$139))*'Project details'!$E$113)+((('Project details'!$E$181-'Project details'!$E$180)-('Project details'!$D$181-'Project details'!$D$180))*'Project details'!$E$154)+((('Project details'!$E$222-'Project details'!$E$221)-('Project details'!$D$222-'Project details'!$D$221))*'Project details'!$E$195)+((('Project details'!$E$263-'Project details'!$E$262)-('Project details'!$D$263-'Project details'!$D$262))*'Project details'!$E$236))</f>
        <v>0</v>
      </c>
      <c r="E9" s="150">
        <f>IF(Option2="No","",((('Project details'!$F$99-'Project details'!$F$98)-('Project details'!$D$99-'Project details'!$D$98))*'Project details'!$E$72)+((('Project details'!$F$140-'Project details'!$F$139)-('Project details'!$D$140-'Project details'!$D$139))*'Project details'!$E$113)+((('Project details'!$F$181-'Project details'!$F$180)-('Project details'!$D$181-'Project details'!$D$180))*'Project details'!$E$154)+((('Project details'!$F$222-'Project details'!$F$221)-('Project details'!$D$222-'Project details'!$D$221))*'Project details'!$E$195)+((('Project details'!$F$263-'Project details'!$F$262)-('Project details'!$D$263-'Project details'!$D$262))*'Project details'!$E$236))</f>
        <v>0</v>
      </c>
      <c r="F9" s="150">
        <f>IF(Option3="No","",((('Project details'!$G$99-'Project details'!$G$98)-('Project details'!$D$99-'Project details'!$D$98))*'Project details'!$E$72)+((('Project details'!$G$140-'Project details'!$G$139)-('Project details'!$D$140-'Project details'!$D$139))*'Project details'!$E$113)+((('Project details'!$G$181-'Project details'!$G$180)-('Project details'!$D$181-'Project details'!$D$180))*'Project details'!$E$154)+((('Project details'!$G$222-'Project details'!$G$221)-('Project details'!$D$222-'Project details'!$D$221))*'Project details'!$E$195)+((('Project details'!$G$263-'Project details'!$G$262)-('Project details'!$D$263-'Project details'!$D$262))*'Project details'!$E$236))</f>
        <v>0</v>
      </c>
    </row>
    <row r="11" spans="1:6">
      <c r="B11" s="101" t="s">
        <v>604</v>
      </c>
      <c r="C11" s="99"/>
      <c r="D11" s="99"/>
      <c r="E11" s="99"/>
      <c r="F11" s="99"/>
    </row>
    <row r="12" spans="1:6">
      <c r="B12" s="106"/>
      <c r="C12" s="107"/>
      <c r="D12" s="23" t="s">
        <v>124</v>
      </c>
      <c r="E12" s="23" t="s">
        <v>125</v>
      </c>
      <c r="F12" s="23" t="s">
        <v>126</v>
      </c>
    </row>
    <row r="13" spans="1:6">
      <c r="B13" s="568" t="s">
        <v>602</v>
      </c>
      <c r="C13" s="1" t="s">
        <v>30</v>
      </c>
      <c r="D13" s="150">
        <f>IF(Option1="No","",(D6/3600)*General!$C$29)</f>
        <v>0</v>
      </c>
      <c r="E13" s="150">
        <f>IF(Option2="No","",(E6/3600)*General!$C$29)</f>
        <v>0</v>
      </c>
      <c r="F13" s="150">
        <f>IF(Option3="No","",(F6/3600)*General!$C$29)</f>
        <v>0</v>
      </c>
    </row>
    <row r="14" spans="1:6">
      <c r="B14" s="569"/>
      <c r="C14" s="150" t="s">
        <v>37</v>
      </c>
      <c r="D14" s="150">
        <f>IF(Option1="No","",(D7/3600)*General!$C$29)</f>
        <v>0</v>
      </c>
      <c r="E14" s="150">
        <f>IF(Option2="No","",(E7/3600)*General!$C$29)</f>
        <v>0</v>
      </c>
      <c r="F14" s="150">
        <f>IF(Option3="No","",(F7/3600)*General!$C$29)</f>
        <v>0</v>
      </c>
    </row>
    <row r="15" spans="1:6">
      <c r="A15" s="60"/>
      <c r="B15" s="568" t="s">
        <v>603</v>
      </c>
      <c r="C15" s="1" t="s">
        <v>30</v>
      </c>
      <c r="D15" s="150">
        <f>IF(Option1="No","",(D8/3600)*General!$C$29)</f>
        <v>0</v>
      </c>
      <c r="E15" s="150">
        <f>IF(Option2="No","",(E8/3600)*General!$C$29)</f>
        <v>0</v>
      </c>
      <c r="F15" s="150">
        <f>IF(Option3="No","",(F8/3600)*General!$C$29)</f>
        <v>0</v>
      </c>
    </row>
    <row r="16" spans="1:6">
      <c r="B16" s="569"/>
      <c r="C16" s="150" t="s">
        <v>37</v>
      </c>
      <c r="D16" s="150">
        <f>IF(Option1="No","",(D9/3600)*General!$C$29)</f>
        <v>0</v>
      </c>
      <c r="E16" s="150">
        <f>IF(Option2="No","",(E9/3600)*General!$C$29)</f>
        <v>0</v>
      </c>
      <c r="F16" s="150">
        <f>IF(Option3="No","",(F9/3600)*General!$C$29)</f>
        <v>0</v>
      </c>
    </row>
    <row r="17" spans="1:6">
      <c r="A17" s="26"/>
      <c r="B17" s="102"/>
      <c r="C17" s="154"/>
      <c r="D17" s="154"/>
      <c r="E17" s="15"/>
      <c r="F17" s="15"/>
    </row>
    <row r="18" spans="1:6">
      <c r="B18" s="101" t="s">
        <v>601</v>
      </c>
      <c r="C18" s="99"/>
      <c r="D18" s="99"/>
      <c r="E18" s="99"/>
      <c r="F18" s="99"/>
    </row>
    <row r="19" spans="1:6">
      <c r="B19" s="106"/>
      <c r="C19" s="107"/>
      <c r="D19" s="23" t="s">
        <v>124</v>
      </c>
      <c r="E19" s="23" t="s">
        <v>125</v>
      </c>
      <c r="F19" s="23" t="s">
        <v>126</v>
      </c>
    </row>
    <row r="20" spans="1:6">
      <c r="B20" s="568" t="s">
        <v>666</v>
      </c>
      <c r="C20" s="1" t="s">
        <v>30</v>
      </c>
      <c r="D20" s="150">
        <f>IF(Option1="No","",-(D13*'EEM values'!$D$31*'EEM values'!$C$25))</f>
        <v>0</v>
      </c>
      <c r="E20" s="150">
        <f>IF(Option2="No","",-(E13*'EEM values'!$D$31*'EEM values'!$C$25))</f>
        <v>0</v>
      </c>
      <c r="F20" s="150">
        <f>IF(Option3="No","",-(F13*'EEM values'!$D$31*'EEM values'!$C$25))</f>
        <v>0</v>
      </c>
    </row>
    <row r="21" spans="1:6">
      <c r="B21" s="569"/>
      <c r="C21" s="150" t="s">
        <v>37</v>
      </c>
      <c r="D21" s="150">
        <f>IF(Option1="No","",-(D14*'EEM values'!$F$31*'EEM values'!$C$25))</f>
        <v>0</v>
      </c>
      <c r="E21" s="150">
        <f>IF(Option2="No","",-(E14*'EEM values'!$F$31*'EEM values'!$C$25))</f>
        <v>0</v>
      </c>
      <c r="F21" s="150">
        <f>IF(Option3="No","",-(F14*'EEM values'!$F$31*'EEM values'!$C$25))</f>
        <v>0</v>
      </c>
    </row>
    <row r="22" spans="1:6">
      <c r="B22" s="568" t="s">
        <v>667</v>
      </c>
      <c r="C22" s="1" t="s">
        <v>30</v>
      </c>
      <c r="D22" s="150">
        <f>IF(Option1="No","",-(D15*'EEM values'!$D$30*'EEM values'!$C$25))</f>
        <v>0</v>
      </c>
      <c r="E22" s="150">
        <f>IF(Option2="No","",-(E15*'EEM values'!$D$30*'EEM values'!$C$25))</f>
        <v>0</v>
      </c>
      <c r="F22" s="150">
        <f>IF(Option3="No","",-(F15*'EEM values'!$D$30*'EEM values'!$C$25))</f>
        <v>0</v>
      </c>
    </row>
    <row r="23" spans="1:6">
      <c r="A23" s="26"/>
      <c r="B23" s="569"/>
      <c r="C23" s="150" t="s">
        <v>37</v>
      </c>
      <c r="D23" s="150">
        <f>IF(Option1="No","",-(D16*'EEM values'!$F$30*'EEM values'!$C$25))</f>
        <v>0</v>
      </c>
      <c r="E23" s="150">
        <f>IF(Option2="No","",-(E16*'EEM values'!$F$30*'EEM values'!$C$25))</f>
        <v>0</v>
      </c>
      <c r="F23" s="150">
        <f>IF(Option3="No","",-(F16*'EEM values'!$F$30*'EEM values'!$C$25))</f>
        <v>0</v>
      </c>
    </row>
    <row r="24" spans="1:6">
      <c r="B24" s="498"/>
    </row>
    <row r="26" spans="1:6">
      <c r="A26" s="26"/>
    </row>
  </sheetData>
  <sheetProtection password="EA07" sheet="1" objects="1" scenarios="1" formatColumns="0" formatRows="0"/>
  <mergeCells count="6">
    <mergeCell ref="B22:B23"/>
    <mergeCell ref="B6:B7"/>
    <mergeCell ref="B8:B9"/>
    <mergeCell ref="B13:B14"/>
    <mergeCell ref="B15:B16"/>
    <mergeCell ref="B20: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21</vt:i4>
      </vt:variant>
    </vt:vector>
  </HeadingPairs>
  <TitlesOfParts>
    <vt:vector size="47" baseType="lpstr">
      <vt:lpstr>Cover</vt:lpstr>
      <vt:lpstr>General</vt:lpstr>
      <vt:lpstr>Station parameters</vt:lpstr>
      <vt:lpstr>Route capacity parameters</vt:lpstr>
      <vt:lpstr>Station catchment</vt:lpstr>
      <vt:lpstr>Project details</vt:lpstr>
      <vt:lpstr>Health</vt:lpstr>
      <vt:lpstr>Travel time</vt:lpstr>
      <vt:lpstr>Quality</vt:lpstr>
      <vt:lpstr>Mode change</vt:lpstr>
      <vt:lpstr>Road safety</vt:lpstr>
      <vt:lpstr>Reduction in car usage</vt:lpstr>
      <vt:lpstr>Patronage summary</vt:lpstr>
      <vt:lpstr>Economic summary</vt:lpstr>
      <vt:lpstr>Capacity check</vt:lpstr>
      <vt:lpstr>Catchments</vt:lpstr>
      <vt:lpstr>EEM values</vt:lpstr>
      <vt:lpstr>Time-series parameters</vt:lpstr>
      <vt:lpstr>Elasticities</vt:lpstr>
      <vt:lpstr>Diversion factors</vt:lpstr>
      <vt:lpstr>Diversion (option 1)</vt:lpstr>
      <vt:lpstr>Diversion (option 2)</vt:lpstr>
      <vt:lpstr>Diversion (option 3)</vt:lpstr>
      <vt:lpstr>Time-series worksheet_8</vt:lpstr>
      <vt:lpstr>Time-series worksheet_6</vt:lpstr>
      <vt:lpstr>Time-series worksheet_4</vt:lpstr>
      <vt:lpstr>Appraisal_Period</vt:lpstr>
      <vt:lpstr>Average_car_occupancy</vt:lpstr>
      <vt:lpstr>Contingency</vt:lpstr>
      <vt:lpstr>CycleDiversionFactor</vt:lpstr>
      <vt:lpstr>DestinationCycleGJT</vt:lpstr>
      <vt:lpstr>DestinationWalkGJT</vt:lpstr>
      <vt:lpstr>DiversionCycleAccess</vt:lpstr>
      <vt:lpstr>DiversionCycleEgress</vt:lpstr>
      <vt:lpstr>DiversionPTMainMode</vt:lpstr>
      <vt:lpstr>DiversionWalkAccess</vt:lpstr>
      <vt:lpstr>DiversionWalkEgress</vt:lpstr>
      <vt:lpstr>HomeCycleGJT</vt:lpstr>
      <vt:lpstr>HomeWalkGJT</vt:lpstr>
      <vt:lpstr>ImplementationYear</vt:lpstr>
      <vt:lpstr>Optimism</vt:lpstr>
      <vt:lpstr>Option1</vt:lpstr>
      <vt:lpstr>Option2</vt:lpstr>
      <vt:lpstr>Option3</vt:lpstr>
      <vt:lpstr>Price_Base</vt:lpstr>
      <vt:lpstr>WalkDiversionFactor</vt:lpstr>
      <vt:lpstr>Year_cost_estimate</vt:lpstr>
    </vt:vector>
  </TitlesOfParts>
  <Company>Sinclair Knight Merz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apelayo</dc:creator>
  <cp:lastModifiedBy>Karen Johnson</cp:lastModifiedBy>
  <dcterms:created xsi:type="dcterms:W3CDTF">2012-04-10T08:42:40Z</dcterms:created>
  <dcterms:modified xsi:type="dcterms:W3CDTF">2013-11-26T22:13:18Z</dcterms:modified>
</cp:coreProperties>
</file>