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8257CE87-4CB9-4984-A913-5E0D016496C7}" xr6:coauthVersionLast="47" xr6:coauthVersionMax="47" xr10:uidLastSave="{00000000-0000-0000-0000-000000000000}"/>
  <bookViews>
    <workbookView xWindow="-15135" yWindow="-16470" windowWidth="29040" windowHeight="15840" tabRatio="733" xr2:uid="{00000000-000D-0000-FFFF-FFFF00000000}"/>
  </bookViews>
  <sheets>
    <sheet name="AST" sheetId="2" r:id="rId1"/>
    <sheet name="Benefits Framework" sheetId="3" state="hidden" r:id="rId2"/>
    <sheet name="W1 - Summary_Upload" sheetId="51" state="hidden" r:id="rId3"/>
    <sheet name="overview &amp; guide" sheetId="52" r:id="rId4"/>
    <sheet name="SP3-1" sheetId="53" r:id="rId5"/>
    <sheet name="SP3-2" sheetId="54" r:id="rId6"/>
    <sheet name="SP3-3 (1)" sheetId="55" r:id="rId7"/>
    <sheet name="SP3-3 (2)" sheetId="56" r:id="rId8"/>
    <sheet name="SP3-3 (3)" sheetId="57" r:id="rId9"/>
    <sheet name="SP3-4" sheetId="58" r:id="rId10"/>
    <sheet name="SP3-5" sheetId="59" r:id="rId11"/>
    <sheet name="SP3-6" sheetId="60" r:id="rId12"/>
    <sheet name="SP3-7" sheetId="61" r:id="rId13"/>
    <sheet name="Tables" sheetId="62" state="hidden" r:id="rId14"/>
    <sheet name="Cost Estimates" sheetId="63" r:id="rId15"/>
    <sheet name="Sensitivity" sheetId="64" r:id="rId16"/>
    <sheet name="Working" sheetId="65" r:id="rId17"/>
    <sheet name="Notes" sheetId="66" r:id="rId18"/>
  </sheets>
  <definedNames>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13">Tables!$A$55</definedName>
    <definedName name="_Toc149723405" localSheetId="13">Tables!$A$91</definedName>
    <definedName name="_Toc149723406" localSheetId="13">Tables!$A$122</definedName>
    <definedName name="_Toc149723407" localSheetId="13">Tables!$A$158</definedName>
    <definedName name="_Toc149723408" localSheetId="13">Tables!$A$194</definedName>
    <definedName name="_Toc149723409" localSheetId="13">Tables!$A$229</definedName>
    <definedName name="_Toc18127489" localSheetId="13">Tables!$A$56</definedName>
    <definedName name="_Toc18207243" localSheetId="13">Tables!$B$56</definedName>
    <definedName name="_Toc18207244" localSheetId="13">Tables!$A$73</definedName>
    <definedName name="_Toc18207246" localSheetId="13">Tables!$A$108</definedName>
    <definedName name="_Toc18207247" localSheetId="13">Tables!$A$109</definedName>
    <definedName name="_Toc18207248" localSheetId="13">Tables!$A$123</definedName>
    <definedName name="_Toc18207249" localSheetId="13">Tables!$A$140</definedName>
    <definedName name="_Toc18207251" localSheetId="13">Tables!$A$176</definedName>
    <definedName name="_Toc18207253" localSheetId="13">Tables!$A$211</definedName>
    <definedName name="_Toc18207255" localSheetId="13">Tables!$A$246</definedName>
    <definedName name="OG">#REF!</definedName>
    <definedName name="_xlnm.Print_Area" localSheetId="3">'overview &amp; guide'!$B$2:$O$28</definedName>
    <definedName name="_xlnm.Print_Area" localSheetId="4">'SP3-1'!$A$2:$O$44</definedName>
    <definedName name="_xlnm.Print_Area" localSheetId="5">'SP3-2'!$A$2:$T$32</definedName>
    <definedName name="_xlnm.Print_Area" localSheetId="6">'SP3-3 (1)'!$A$2:$T$30</definedName>
    <definedName name="_xlnm.Print_Area" localSheetId="7">'SP3-3 (2)'!$A$2:$T$30</definedName>
    <definedName name="_xlnm.Print_Area" localSheetId="8">'SP3-3 (3)'!$A$2:$T$30</definedName>
    <definedName name="_xlnm.Print_Area" localSheetId="9">'SP3-4'!$A$2:$R$25</definedName>
    <definedName name="_xlnm.Print_Area" localSheetId="10">'SP3-5'!$A$2:$R$30</definedName>
    <definedName name="_xlnm.Print_Area" localSheetId="11">'SP3-6'!$A$2:$R$42</definedName>
    <definedName name="_xlnm.Print_Area" localSheetId="12">'SP3-7'!$A$2:$T$30</definedName>
    <definedName name="_xlnm.Print_Area" localSheetId="2">'W1 - Summary_Upload'!$A$1:$K$92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62" l="1"/>
  <c r="N10" i="60" l="1"/>
  <c r="N9" i="58"/>
  <c r="J32" i="60" l="1"/>
  <c r="L32" i="60"/>
  <c r="N32" i="60"/>
  <c r="P32" i="60"/>
  <c r="J36" i="60"/>
  <c r="J26" i="60"/>
  <c r="J20" i="60"/>
  <c r="V2" i="57"/>
  <c r="Q9" i="56"/>
  <c r="K323" i="62"/>
  <c r="K319" i="62"/>
  <c r="O11" i="62" s="1"/>
  <c r="C127" i="62" l="1"/>
  <c r="F10" i="2"/>
  <c r="E3" i="2" l="1"/>
  <c r="F8" i="2"/>
  <c r="G24" i="2" l="1"/>
  <c r="I24" i="2" s="1"/>
  <c r="O13" i="62"/>
  <c r="O6" i="62"/>
  <c r="O3" i="62"/>
  <c r="C250" i="62"/>
  <c r="C234" i="62"/>
  <c r="D234" i="62"/>
  <c r="E234" i="62"/>
  <c r="F234" i="62"/>
  <c r="G234" i="62"/>
  <c r="H234" i="62"/>
  <c r="C235" i="62"/>
  <c r="D235" i="62"/>
  <c r="E235" i="62"/>
  <c r="F235" i="62"/>
  <c r="G235" i="62"/>
  <c r="H235" i="62"/>
  <c r="C236" i="62"/>
  <c r="D236" i="62"/>
  <c r="E236" i="62"/>
  <c r="F236" i="62"/>
  <c r="G236" i="62"/>
  <c r="H236" i="62"/>
  <c r="C237" i="62"/>
  <c r="D237" i="62"/>
  <c r="E237" i="62"/>
  <c r="F237" i="62"/>
  <c r="G237" i="62"/>
  <c r="H237" i="62"/>
  <c r="C238" i="62"/>
  <c r="D238" i="62"/>
  <c r="E238" i="62"/>
  <c r="F238" i="62"/>
  <c r="G238" i="62"/>
  <c r="H238" i="62"/>
  <c r="C239" i="62"/>
  <c r="D239" i="62"/>
  <c r="E239" i="62"/>
  <c r="F239" i="62"/>
  <c r="G239" i="62"/>
  <c r="H239" i="62"/>
  <c r="C240" i="62"/>
  <c r="D240" i="62"/>
  <c r="E240" i="62"/>
  <c r="F240" i="62"/>
  <c r="G240" i="62"/>
  <c r="H240" i="62"/>
  <c r="C241" i="62"/>
  <c r="D241" i="62"/>
  <c r="E241" i="62"/>
  <c r="F241" i="62"/>
  <c r="G241" i="62"/>
  <c r="H241" i="62"/>
  <c r="C242" i="62"/>
  <c r="D242" i="62"/>
  <c r="E242" i="62"/>
  <c r="F242" i="62"/>
  <c r="G242" i="62"/>
  <c r="H242" i="62"/>
  <c r="C243" i="62"/>
  <c r="D243" i="62"/>
  <c r="E243" i="62"/>
  <c r="F243" i="62"/>
  <c r="G243" i="62"/>
  <c r="H243" i="62"/>
  <c r="C244" i="62"/>
  <c r="D244" i="62"/>
  <c r="E244" i="62"/>
  <c r="F244" i="62"/>
  <c r="G244" i="62"/>
  <c r="H244" i="62"/>
  <c r="C245" i="62"/>
  <c r="D245" i="62"/>
  <c r="E245" i="62"/>
  <c r="F245" i="62"/>
  <c r="G245" i="62"/>
  <c r="H245" i="62"/>
  <c r="D233" i="62"/>
  <c r="E233" i="62"/>
  <c r="F233" i="62"/>
  <c r="G233" i="62"/>
  <c r="H233" i="62"/>
  <c r="C233" i="62"/>
  <c r="C199" i="62"/>
  <c r="D199" i="62"/>
  <c r="E199" i="62"/>
  <c r="F199" i="62"/>
  <c r="G199" i="62"/>
  <c r="H199" i="62"/>
  <c r="C200" i="62"/>
  <c r="D200" i="62"/>
  <c r="E200" i="62"/>
  <c r="F200" i="62"/>
  <c r="G200" i="62"/>
  <c r="H200" i="62"/>
  <c r="C201" i="62"/>
  <c r="D201" i="62"/>
  <c r="E201" i="62"/>
  <c r="F201" i="62"/>
  <c r="G201" i="62"/>
  <c r="H201" i="62"/>
  <c r="C202" i="62"/>
  <c r="D202" i="62"/>
  <c r="E202" i="62"/>
  <c r="F202" i="62"/>
  <c r="G202" i="62"/>
  <c r="H202" i="62"/>
  <c r="C203" i="62"/>
  <c r="D203" i="62"/>
  <c r="E203" i="62"/>
  <c r="F203" i="62"/>
  <c r="G203" i="62"/>
  <c r="H203" i="62"/>
  <c r="C204" i="62"/>
  <c r="D204" i="62"/>
  <c r="E204" i="62"/>
  <c r="F204" i="62"/>
  <c r="G204" i="62"/>
  <c r="H204" i="62"/>
  <c r="C205" i="62"/>
  <c r="D205" i="62"/>
  <c r="E205" i="62"/>
  <c r="F205" i="62"/>
  <c r="G205" i="62"/>
  <c r="H205" i="62"/>
  <c r="C206" i="62"/>
  <c r="D206" i="62"/>
  <c r="E206" i="62"/>
  <c r="F206" i="62"/>
  <c r="G206" i="62"/>
  <c r="H206" i="62"/>
  <c r="C207" i="62"/>
  <c r="D207" i="62"/>
  <c r="E207" i="62"/>
  <c r="F207" i="62"/>
  <c r="G207" i="62"/>
  <c r="H207" i="62"/>
  <c r="C208" i="62"/>
  <c r="D208" i="62"/>
  <c r="E208" i="62"/>
  <c r="F208" i="62"/>
  <c r="G208" i="62"/>
  <c r="H208" i="62"/>
  <c r="C209" i="62"/>
  <c r="D209" i="62"/>
  <c r="E209" i="62"/>
  <c r="F209" i="62"/>
  <c r="G209" i="62"/>
  <c r="H209" i="62"/>
  <c r="C210" i="62"/>
  <c r="D210" i="62"/>
  <c r="E210" i="62"/>
  <c r="F210" i="62"/>
  <c r="G210" i="62"/>
  <c r="H210" i="62"/>
  <c r="D198" i="62"/>
  <c r="E198" i="62"/>
  <c r="F198" i="62"/>
  <c r="G198" i="62"/>
  <c r="H198" i="62"/>
  <c r="C198" i="62"/>
  <c r="C216" i="62"/>
  <c r="D216" i="62"/>
  <c r="E216" i="62"/>
  <c r="F216" i="62"/>
  <c r="G216" i="62"/>
  <c r="H216" i="62"/>
  <c r="C217" i="62"/>
  <c r="D217" i="62"/>
  <c r="E217" i="62"/>
  <c r="F217" i="62"/>
  <c r="G217" i="62"/>
  <c r="H217" i="62"/>
  <c r="C218" i="62"/>
  <c r="D218" i="62"/>
  <c r="E218" i="62"/>
  <c r="F218" i="62"/>
  <c r="G218" i="62"/>
  <c r="H218" i="62"/>
  <c r="C219" i="62"/>
  <c r="D219" i="62"/>
  <c r="E219" i="62"/>
  <c r="F219" i="62"/>
  <c r="G219" i="62"/>
  <c r="H219" i="62"/>
  <c r="C220" i="62"/>
  <c r="D220" i="62"/>
  <c r="E220" i="62"/>
  <c r="F220" i="62"/>
  <c r="G220" i="62"/>
  <c r="H220" i="62"/>
  <c r="C221" i="62"/>
  <c r="D221" i="62"/>
  <c r="E221" i="62"/>
  <c r="F221" i="62"/>
  <c r="G221" i="62"/>
  <c r="H221" i="62"/>
  <c r="C222" i="62"/>
  <c r="D222" i="62"/>
  <c r="E222" i="62"/>
  <c r="F222" i="62"/>
  <c r="G222" i="62"/>
  <c r="H222" i="62"/>
  <c r="C223" i="62"/>
  <c r="D223" i="62"/>
  <c r="E223" i="62"/>
  <c r="F223" i="62"/>
  <c r="G223" i="62"/>
  <c r="H223" i="62"/>
  <c r="C224" i="62"/>
  <c r="D224" i="62"/>
  <c r="E224" i="62"/>
  <c r="F224" i="62"/>
  <c r="G224" i="62"/>
  <c r="H224" i="62"/>
  <c r="C225" i="62"/>
  <c r="D225" i="62"/>
  <c r="E225" i="62"/>
  <c r="F225" i="62"/>
  <c r="G225" i="62"/>
  <c r="H225" i="62"/>
  <c r="C226" i="62"/>
  <c r="D226" i="62"/>
  <c r="E226" i="62"/>
  <c r="F226" i="62"/>
  <c r="G226" i="62"/>
  <c r="H226" i="62"/>
  <c r="C227" i="62"/>
  <c r="D227" i="62"/>
  <c r="E227" i="62"/>
  <c r="F227" i="62"/>
  <c r="G227" i="62"/>
  <c r="H227" i="62"/>
  <c r="D215" i="62"/>
  <c r="E215" i="62"/>
  <c r="F215" i="62"/>
  <c r="G215" i="62"/>
  <c r="H215" i="62"/>
  <c r="C215" i="62"/>
  <c r="C181" i="62"/>
  <c r="D181" i="62"/>
  <c r="E181" i="62"/>
  <c r="F181" i="62"/>
  <c r="G181" i="62"/>
  <c r="H181" i="62"/>
  <c r="C182" i="62"/>
  <c r="D182" i="62"/>
  <c r="E182" i="62"/>
  <c r="F182" i="62"/>
  <c r="G182" i="62"/>
  <c r="H182" i="62"/>
  <c r="C183" i="62"/>
  <c r="D183" i="62"/>
  <c r="E183" i="62"/>
  <c r="F183" i="62"/>
  <c r="G183" i="62"/>
  <c r="H183" i="62"/>
  <c r="C184" i="62"/>
  <c r="D184" i="62"/>
  <c r="E184" i="62"/>
  <c r="F184" i="62"/>
  <c r="G184" i="62"/>
  <c r="H184" i="62"/>
  <c r="C185" i="62"/>
  <c r="D185" i="62"/>
  <c r="E185" i="62"/>
  <c r="F185" i="62"/>
  <c r="G185" i="62"/>
  <c r="H185" i="62"/>
  <c r="C186" i="62"/>
  <c r="D186" i="62"/>
  <c r="E186" i="62"/>
  <c r="F186" i="62"/>
  <c r="G186" i="62"/>
  <c r="H186" i="62"/>
  <c r="C187" i="62"/>
  <c r="D187" i="62"/>
  <c r="E187" i="62"/>
  <c r="F187" i="62"/>
  <c r="G187" i="62"/>
  <c r="H187" i="62"/>
  <c r="C188" i="62"/>
  <c r="D188" i="62"/>
  <c r="E188" i="62"/>
  <c r="F188" i="62"/>
  <c r="G188" i="62"/>
  <c r="H188" i="62"/>
  <c r="C189" i="62"/>
  <c r="D189" i="62"/>
  <c r="E189" i="62"/>
  <c r="F189" i="62"/>
  <c r="G189" i="62"/>
  <c r="H189" i="62"/>
  <c r="C190" i="62"/>
  <c r="D190" i="62"/>
  <c r="E190" i="62"/>
  <c r="F190" i="62"/>
  <c r="G190" i="62"/>
  <c r="H190" i="62"/>
  <c r="C191" i="62"/>
  <c r="D191" i="62"/>
  <c r="E191" i="62"/>
  <c r="F191" i="62"/>
  <c r="G191" i="62"/>
  <c r="H191" i="62"/>
  <c r="C192" i="62"/>
  <c r="D192" i="62"/>
  <c r="E192" i="62"/>
  <c r="F192" i="62"/>
  <c r="G192" i="62"/>
  <c r="H192" i="62"/>
  <c r="D180" i="62"/>
  <c r="E180" i="62"/>
  <c r="F180" i="62"/>
  <c r="G180" i="62"/>
  <c r="H180" i="62"/>
  <c r="C180" i="62"/>
  <c r="C156" i="62"/>
  <c r="H156" i="62"/>
  <c r="C164" i="62"/>
  <c r="D164" i="62"/>
  <c r="E164" i="62"/>
  <c r="F164" i="62"/>
  <c r="G164" i="62"/>
  <c r="H164" i="62"/>
  <c r="C165" i="62"/>
  <c r="D165" i="62"/>
  <c r="E165" i="62"/>
  <c r="F165" i="62"/>
  <c r="G165" i="62"/>
  <c r="H165" i="62"/>
  <c r="C166" i="62"/>
  <c r="D166" i="62"/>
  <c r="E166" i="62"/>
  <c r="F166" i="62"/>
  <c r="G166" i="62"/>
  <c r="H166" i="62"/>
  <c r="C167" i="62"/>
  <c r="D167" i="62"/>
  <c r="E167" i="62"/>
  <c r="F167" i="62"/>
  <c r="G167" i="62"/>
  <c r="H167" i="62"/>
  <c r="C168" i="62"/>
  <c r="D168" i="62"/>
  <c r="E168" i="62"/>
  <c r="F168" i="62"/>
  <c r="G168" i="62"/>
  <c r="H168" i="62"/>
  <c r="C169" i="62"/>
  <c r="D169" i="62"/>
  <c r="E169" i="62"/>
  <c r="F169" i="62"/>
  <c r="G169" i="62"/>
  <c r="H169" i="62"/>
  <c r="C170" i="62"/>
  <c r="D170" i="62"/>
  <c r="E170" i="62"/>
  <c r="F170" i="62"/>
  <c r="G170" i="62"/>
  <c r="H170" i="62"/>
  <c r="C171" i="62"/>
  <c r="D171" i="62"/>
  <c r="E171" i="62"/>
  <c r="F171" i="62"/>
  <c r="G171" i="62"/>
  <c r="H171" i="62"/>
  <c r="C172" i="62"/>
  <c r="D172" i="62"/>
  <c r="E172" i="62"/>
  <c r="F172" i="62"/>
  <c r="G172" i="62"/>
  <c r="H172" i="62"/>
  <c r="C173" i="62"/>
  <c r="D173" i="62"/>
  <c r="E173" i="62"/>
  <c r="F173" i="62"/>
  <c r="G173" i="62"/>
  <c r="H173" i="62"/>
  <c r="C174" i="62"/>
  <c r="D174" i="62"/>
  <c r="E174" i="62"/>
  <c r="F174" i="62"/>
  <c r="G174" i="62"/>
  <c r="H174" i="62"/>
  <c r="C175" i="62"/>
  <c r="D175" i="62"/>
  <c r="E175" i="62"/>
  <c r="F175" i="62"/>
  <c r="G175" i="62"/>
  <c r="H175" i="62"/>
  <c r="D163" i="62"/>
  <c r="E163" i="62"/>
  <c r="F163" i="62"/>
  <c r="G163" i="62"/>
  <c r="H163" i="62"/>
  <c r="C163" i="62"/>
  <c r="M127" i="62"/>
  <c r="J127" i="62"/>
  <c r="I128" i="62"/>
  <c r="H253" i="62"/>
  <c r="H262" i="62"/>
  <c r="G262" i="62"/>
  <c r="F262" i="62"/>
  <c r="E262" i="62"/>
  <c r="D262" i="62"/>
  <c r="C262" i="62"/>
  <c r="H261" i="62"/>
  <c r="G261" i="62"/>
  <c r="F261" i="62"/>
  <c r="E261" i="62"/>
  <c r="D261" i="62"/>
  <c r="C261" i="62"/>
  <c r="H260" i="62"/>
  <c r="G260" i="62"/>
  <c r="F260" i="62"/>
  <c r="E260" i="62"/>
  <c r="D260" i="62"/>
  <c r="C260" i="62"/>
  <c r="H259" i="62"/>
  <c r="G259" i="62"/>
  <c r="F259" i="62"/>
  <c r="E259" i="62"/>
  <c r="D259" i="62"/>
  <c r="C259" i="62"/>
  <c r="H258" i="62"/>
  <c r="G258" i="62"/>
  <c r="F258" i="62"/>
  <c r="E258" i="62"/>
  <c r="D258" i="62"/>
  <c r="C258" i="62"/>
  <c r="H257" i="62"/>
  <c r="G257" i="62"/>
  <c r="F257" i="62"/>
  <c r="E257" i="62"/>
  <c r="D257" i="62"/>
  <c r="C257" i="62"/>
  <c r="H256" i="62"/>
  <c r="G256" i="62"/>
  <c r="F256" i="62"/>
  <c r="E256" i="62"/>
  <c r="D256" i="62"/>
  <c r="C256" i="62"/>
  <c r="H255" i="62"/>
  <c r="G255" i="62"/>
  <c r="F255" i="62"/>
  <c r="E255" i="62"/>
  <c r="D255" i="62"/>
  <c r="C255" i="62"/>
  <c r="H254" i="62"/>
  <c r="G254" i="62"/>
  <c r="F254" i="62"/>
  <c r="E254" i="62"/>
  <c r="D254" i="62"/>
  <c r="C254" i="62"/>
  <c r="G253" i="62"/>
  <c r="F253" i="62"/>
  <c r="E253" i="62"/>
  <c r="D253" i="62"/>
  <c r="C253" i="62"/>
  <c r="H252" i="62"/>
  <c r="G252" i="62"/>
  <c r="F252" i="62"/>
  <c r="E252" i="62"/>
  <c r="D252" i="62"/>
  <c r="C252" i="62"/>
  <c r="H251" i="62"/>
  <c r="G251" i="62"/>
  <c r="F251" i="62"/>
  <c r="E251" i="62"/>
  <c r="D251" i="62"/>
  <c r="C251" i="62"/>
  <c r="H250" i="62"/>
  <c r="G250" i="62"/>
  <c r="F250" i="62"/>
  <c r="E250" i="62"/>
  <c r="D250" i="62"/>
  <c r="C145" i="62"/>
  <c r="D145" i="62"/>
  <c r="E145" i="62"/>
  <c r="F145" i="62"/>
  <c r="G145" i="62"/>
  <c r="H145" i="62"/>
  <c r="C146" i="62"/>
  <c r="D146" i="62"/>
  <c r="E146" i="62"/>
  <c r="F146" i="62"/>
  <c r="G146" i="62"/>
  <c r="H146" i="62"/>
  <c r="C147" i="62"/>
  <c r="D147" i="62"/>
  <c r="E147" i="62"/>
  <c r="F147" i="62"/>
  <c r="G147" i="62"/>
  <c r="H147" i="62"/>
  <c r="C148" i="62"/>
  <c r="D148" i="62"/>
  <c r="E148" i="62"/>
  <c r="F148" i="62"/>
  <c r="G148" i="62"/>
  <c r="H148" i="62"/>
  <c r="C149" i="62"/>
  <c r="D149" i="62"/>
  <c r="E149" i="62"/>
  <c r="F149" i="62"/>
  <c r="G149" i="62"/>
  <c r="H149" i="62"/>
  <c r="C150" i="62"/>
  <c r="D150" i="62"/>
  <c r="E150" i="62"/>
  <c r="F150" i="62"/>
  <c r="G150" i="62"/>
  <c r="H150" i="62"/>
  <c r="C151" i="62"/>
  <c r="D151" i="62"/>
  <c r="E151" i="62"/>
  <c r="F151" i="62"/>
  <c r="G151" i="62"/>
  <c r="H151" i="62"/>
  <c r="C152" i="62"/>
  <c r="D152" i="62"/>
  <c r="E152" i="62"/>
  <c r="F152" i="62"/>
  <c r="G152" i="62"/>
  <c r="H152" i="62"/>
  <c r="C153" i="62"/>
  <c r="D153" i="62"/>
  <c r="E153" i="62"/>
  <c r="F153" i="62"/>
  <c r="G153" i="62"/>
  <c r="H153" i="62"/>
  <c r="C154" i="62"/>
  <c r="D154" i="62"/>
  <c r="E154" i="62"/>
  <c r="F154" i="62"/>
  <c r="G154" i="62"/>
  <c r="H154" i="62"/>
  <c r="C155" i="62"/>
  <c r="D155" i="62"/>
  <c r="E155" i="62"/>
  <c r="F155" i="62"/>
  <c r="G155" i="62"/>
  <c r="H155" i="62"/>
  <c r="D156" i="62"/>
  <c r="E156" i="62"/>
  <c r="F156" i="62"/>
  <c r="G156" i="62"/>
  <c r="D144" i="62"/>
  <c r="E144" i="62"/>
  <c r="F144" i="62"/>
  <c r="G144" i="62"/>
  <c r="H144" i="62"/>
  <c r="C144" i="62"/>
  <c r="C128" i="62"/>
  <c r="D128" i="62"/>
  <c r="E128" i="62"/>
  <c r="F128" i="62"/>
  <c r="G128" i="62"/>
  <c r="H128" i="62"/>
  <c r="C129" i="62"/>
  <c r="D129" i="62"/>
  <c r="E129" i="62"/>
  <c r="F129" i="62"/>
  <c r="G129" i="62"/>
  <c r="H129" i="62"/>
  <c r="C130" i="62"/>
  <c r="D130" i="62"/>
  <c r="E130" i="62"/>
  <c r="F130" i="62"/>
  <c r="G130" i="62"/>
  <c r="H130" i="62"/>
  <c r="C131" i="62"/>
  <c r="D131" i="62"/>
  <c r="E131" i="62"/>
  <c r="F131" i="62"/>
  <c r="G131" i="62"/>
  <c r="H131" i="62"/>
  <c r="C132" i="62"/>
  <c r="D132" i="62"/>
  <c r="E132" i="62"/>
  <c r="F132" i="62"/>
  <c r="G132" i="62"/>
  <c r="H132" i="62"/>
  <c r="C133" i="62"/>
  <c r="D133" i="62"/>
  <c r="E133" i="62"/>
  <c r="F133" i="62"/>
  <c r="G133" i="62"/>
  <c r="H133" i="62"/>
  <c r="C134" i="62"/>
  <c r="D134" i="62"/>
  <c r="E134" i="62"/>
  <c r="F134" i="62"/>
  <c r="G134" i="62"/>
  <c r="H134" i="62"/>
  <c r="C135" i="62"/>
  <c r="D135" i="62"/>
  <c r="E135" i="62"/>
  <c r="F135" i="62"/>
  <c r="G135" i="62"/>
  <c r="H135" i="62"/>
  <c r="C136" i="62"/>
  <c r="D136" i="62"/>
  <c r="E136" i="62"/>
  <c r="F136" i="62"/>
  <c r="G136" i="62"/>
  <c r="H136" i="62"/>
  <c r="C137" i="62"/>
  <c r="D137" i="62"/>
  <c r="E137" i="62"/>
  <c r="F137" i="62"/>
  <c r="G137" i="62"/>
  <c r="H137" i="62"/>
  <c r="C138" i="62"/>
  <c r="D138" i="62"/>
  <c r="E138" i="62"/>
  <c r="F138" i="62"/>
  <c r="G138" i="62"/>
  <c r="H138" i="62"/>
  <c r="C139" i="62"/>
  <c r="D139" i="62"/>
  <c r="E139" i="62"/>
  <c r="F139" i="62"/>
  <c r="G139" i="62"/>
  <c r="H139" i="62"/>
  <c r="D127" i="62"/>
  <c r="E127" i="62"/>
  <c r="F127" i="62"/>
  <c r="G127" i="62"/>
  <c r="H127" i="62"/>
  <c r="O12" i="62" l="1"/>
  <c r="O15" i="62"/>
  <c r="O14" i="62"/>
  <c r="V331" i="62"/>
  <c r="W331" i="62" s="1"/>
  <c r="X331" i="62" s="1"/>
  <c r="N24" i="57" s="1"/>
  <c r="Q24" i="57" s="1"/>
  <c r="R331" i="62"/>
  <c r="S331" i="62" s="1"/>
  <c r="T331" i="62" s="1"/>
  <c r="N24" i="56" s="1"/>
  <c r="Q24" i="56" s="1"/>
  <c r="N331" i="62"/>
  <c r="O331" i="62" s="1"/>
  <c r="P331" i="62" s="1"/>
  <c r="N24" i="55" s="1"/>
  <c r="Q24" i="55" s="1"/>
  <c r="F331" i="62"/>
  <c r="G331" i="62" s="1"/>
  <c r="H331" i="62" s="1"/>
  <c r="N28" i="54" s="1"/>
  <c r="Q28" i="54" s="1"/>
  <c r="V330" i="62"/>
  <c r="W330" i="62" s="1"/>
  <c r="X330" i="62" s="1"/>
  <c r="N23" i="57" s="1"/>
  <c r="Q23" i="57" s="1"/>
  <c r="R330" i="62"/>
  <c r="S330" i="62" s="1"/>
  <c r="T330" i="62" s="1"/>
  <c r="N23" i="56" s="1"/>
  <c r="Q23" i="56" s="1"/>
  <c r="N330" i="62"/>
  <c r="O330" i="62" s="1"/>
  <c r="P330" i="62" s="1"/>
  <c r="N23" i="55" s="1"/>
  <c r="Q23" i="55" s="1"/>
  <c r="F330" i="62"/>
  <c r="G330" i="62" s="1"/>
  <c r="H330" i="62" s="1"/>
  <c r="N27" i="54" s="1"/>
  <c r="Q27" i="54" s="1"/>
  <c r="V329" i="62"/>
  <c r="W329" i="62" s="1"/>
  <c r="X329" i="62" s="1"/>
  <c r="N22" i="57" s="1"/>
  <c r="Q22" i="57" s="1"/>
  <c r="R329" i="62"/>
  <c r="S329" i="62" s="1"/>
  <c r="T329" i="62" s="1"/>
  <c r="N22" i="56" s="1"/>
  <c r="Q22" i="56" s="1"/>
  <c r="N329" i="62"/>
  <c r="O329" i="62" s="1"/>
  <c r="P329" i="62" s="1"/>
  <c r="N22" i="55" s="1"/>
  <c r="Q22" i="55" s="1"/>
  <c r="F329" i="62"/>
  <c r="G329" i="62" s="1"/>
  <c r="H329" i="62" s="1"/>
  <c r="N26" i="54" s="1"/>
  <c r="Q26" i="54" s="1"/>
  <c r="V328" i="62"/>
  <c r="W328" i="62" s="1"/>
  <c r="X328" i="62" s="1"/>
  <c r="N21" i="57" s="1"/>
  <c r="Q21" i="57" s="1"/>
  <c r="R328" i="62"/>
  <c r="S328" i="62" s="1"/>
  <c r="T328" i="62" s="1"/>
  <c r="N21" i="56" s="1"/>
  <c r="Q21" i="56" s="1"/>
  <c r="N328" i="62"/>
  <c r="O328" i="62" s="1"/>
  <c r="P328" i="62" s="1"/>
  <c r="N21" i="55" s="1"/>
  <c r="Q21" i="55" s="1"/>
  <c r="F328" i="62"/>
  <c r="G328" i="62" s="1"/>
  <c r="H328" i="62" s="1"/>
  <c r="N25" i="54" s="1"/>
  <c r="Q25" i="54" s="1"/>
  <c r="V327" i="62"/>
  <c r="W327" i="62" s="1"/>
  <c r="X327" i="62" s="1"/>
  <c r="N20" i="57" s="1"/>
  <c r="Q20" i="57" s="1"/>
  <c r="R327" i="62"/>
  <c r="S327" i="62" s="1"/>
  <c r="T327" i="62" s="1"/>
  <c r="N20" i="56" s="1"/>
  <c r="Q20" i="56" s="1"/>
  <c r="N327" i="62"/>
  <c r="O327" i="62" s="1"/>
  <c r="F327" i="62"/>
  <c r="G327" i="62" s="1"/>
  <c r="V326" i="62"/>
  <c r="W326" i="62" s="1"/>
  <c r="X326" i="62" s="1"/>
  <c r="N19" i="57" s="1"/>
  <c r="Q19" i="57" s="1"/>
  <c r="R326" i="62"/>
  <c r="S326" i="62" s="1"/>
  <c r="T326" i="62" s="1"/>
  <c r="N19" i="56" s="1"/>
  <c r="Q19" i="56" s="1"/>
  <c r="N326" i="62"/>
  <c r="O326" i="62" s="1"/>
  <c r="F326" i="62"/>
  <c r="G326" i="62" s="1"/>
  <c r="V325" i="62"/>
  <c r="W325" i="62" s="1"/>
  <c r="X325" i="62" s="1"/>
  <c r="N18" i="57" s="1"/>
  <c r="Q18" i="57" s="1"/>
  <c r="R325" i="62"/>
  <c r="S325" i="62" s="1"/>
  <c r="T325" i="62" s="1"/>
  <c r="N18" i="56" s="1"/>
  <c r="Q18" i="56" s="1"/>
  <c r="N325" i="62"/>
  <c r="O325" i="62" s="1"/>
  <c r="I325" i="62"/>
  <c r="F325" i="62"/>
  <c r="G325" i="62" s="1"/>
  <c r="V324" i="62"/>
  <c r="W324" i="62" s="1"/>
  <c r="X324" i="62" s="1"/>
  <c r="N17" i="57" s="1"/>
  <c r="Q17" i="57" s="1"/>
  <c r="R324" i="62"/>
  <c r="S324" i="62" s="1"/>
  <c r="T324" i="62" s="1"/>
  <c r="N17" i="56" s="1"/>
  <c r="Q17" i="56" s="1"/>
  <c r="N324" i="62"/>
  <c r="O324" i="62" s="1"/>
  <c r="P324" i="62" s="1"/>
  <c r="N17" i="55" s="1"/>
  <c r="Q17" i="55" s="1"/>
  <c r="F324" i="62"/>
  <c r="G324" i="62" s="1"/>
  <c r="V323" i="62"/>
  <c r="W323" i="62" s="1"/>
  <c r="X323" i="62" s="1"/>
  <c r="N16" i="57" s="1"/>
  <c r="Q16" i="57" s="1"/>
  <c r="R323" i="62"/>
  <c r="S323" i="62" s="1"/>
  <c r="T323" i="62" s="1"/>
  <c r="N16" i="56" s="1"/>
  <c r="Q16" i="56" s="1"/>
  <c r="N323" i="62"/>
  <c r="O323" i="62" s="1"/>
  <c r="F323" i="62"/>
  <c r="G323" i="62" s="1"/>
  <c r="I322" i="62"/>
  <c r="X320" i="62"/>
  <c r="T320" i="62"/>
  <c r="P320" i="62"/>
  <c r="I320" i="62"/>
  <c r="H320" i="62"/>
  <c r="F270" i="62"/>
  <c r="I127" i="62"/>
  <c r="I129" i="62" s="1"/>
  <c r="A52" i="62"/>
  <c r="A46" i="62"/>
  <c r="A32" i="62"/>
  <c r="B12" i="62"/>
  <c r="A12" i="62"/>
  <c r="B11" i="62"/>
  <c r="A11" i="62"/>
  <c r="Q29" i="61"/>
  <c r="O29" i="61"/>
  <c r="S29" i="61" s="1"/>
  <c r="Q28" i="61"/>
  <c r="O28" i="61"/>
  <c r="S28" i="61" s="1"/>
  <c r="S27" i="61"/>
  <c r="Q27" i="61"/>
  <c r="O27" i="61"/>
  <c r="Q26" i="61"/>
  <c r="O26" i="61"/>
  <c r="S26" i="61" s="1"/>
  <c r="M18" i="61"/>
  <c r="K18" i="61"/>
  <c r="I18" i="61"/>
  <c r="G18" i="61"/>
  <c r="S17" i="61"/>
  <c r="S18" i="61" s="1"/>
  <c r="S19" i="61" s="1"/>
  <c r="Q17" i="61"/>
  <c r="O17" i="61"/>
  <c r="S16" i="61"/>
  <c r="Q16" i="61"/>
  <c r="Q18" i="61" s="1"/>
  <c r="Q19" i="61" s="1"/>
  <c r="O16" i="61"/>
  <c r="O18" i="61" s="1"/>
  <c r="O19" i="61" s="1"/>
  <c r="M14" i="61"/>
  <c r="K14" i="61"/>
  <c r="I14" i="61"/>
  <c r="G14" i="61"/>
  <c r="S13" i="61"/>
  <c r="Q13" i="61"/>
  <c r="O13" i="61"/>
  <c r="S12" i="61"/>
  <c r="Q12" i="61"/>
  <c r="O12" i="61"/>
  <c r="S11" i="61"/>
  <c r="S14" i="61" s="1"/>
  <c r="Q11" i="61"/>
  <c r="Q14" i="61" s="1"/>
  <c r="O11" i="61"/>
  <c r="O14" i="61" s="1"/>
  <c r="G7" i="61"/>
  <c r="G6" i="61"/>
  <c r="Q2" i="61"/>
  <c r="P18" i="60"/>
  <c r="P19" i="60" s="1"/>
  <c r="N18" i="60"/>
  <c r="N19" i="60" s="1"/>
  <c r="B52" i="62"/>
  <c r="N2" i="60"/>
  <c r="N9" i="59"/>
  <c r="N8" i="59"/>
  <c r="A37" i="62" s="1"/>
  <c r="B37" i="62" s="1"/>
  <c r="O2" i="59"/>
  <c r="N8" i="58"/>
  <c r="N21" i="58" s="1"/>
  <c r="O2" i="58"/>
  <c r="Q14" i="57"/>
  <c r="G12" i="57"/>
  <c r="Q9" i="57"/>
  <c r="O9" i="57"/>
  <c r="Q2" i="57"/>
  <c r="Q14" i="56"/>
  <c r="G12" i="56"/>
  <c r="O9" i="56"/>
  <c r="Q2" i="56"/>
  <c r="Q14" i="55"/>
  <c r="G12" i="55"/>
  <c r="O9" i="55"/>
  <c r="Q9" i="55" s="1"/>
  <c r="G58" i="51" s="1"/>
  <c r="C60" i="51" s="1"/>
  <c r="Q2" i="55"/>
  <c r="Q17" i="54"/>
  <c r="K15" i="54"/>
  <c r="K12" i="54"/>
  <c r="E11" i="54"/>
  <c r="E10" i="54"/>
  <c r="E9" i="54"/>
  <c r="Q2" i="54"/>
  <c r="X37" i="53"/>
  <c r="X36" i="53"/>
  <c r="X35" i="53"/>
  <c r="K2" i="52"/>
  <c r="C111" i="51"/>
  <c r="C110" i="51"/>
  <c r="C109" i="51"/>
  <c r="C108" i="51"/>
  <c r="C107" i="51"/>
  <c r="C106" i="51"/>
  <c r="C105" i="51"/>
  <c r="C104" i="51"/>
  <c r="C103" i="51"/>
  <c r="C102" i="51"/>
  <c r="C101" i="51"/>
  <c r="C100" i="51"/>
  <c r="C99" i="51"/>
  <c r="C98" i="51"/>
  <c r="C97" i="51"/>
  <c r="C87" i="51"/>
  <c r="C84" i="51"/>
  <c r="C83" i="51"/>
  <c r="C82" i="51"/>
  <c r="C81" i="51"/>
  <c r="C80" i="51"/>
  <c r="C79" i="51"/>
  <c r="C78" i="51"/>
  <c r="C77" i="51"/>
  <c r="C76" i="51"/>
  <c r="C75" i="51"/>
  <c r="C74" i="51"/>
  <c r="C73" i="51"/>
  <c r="C72" i="51"/>
  <c r="C71" i="51"/>
  <c r="C70" i="51"/>
  <c r="C66" i="51"/>
  <c r="C65" i="51"/>
  <c r="F60" i="51"/>
  <c r="C63" i="51" s="1"/>
  <c r="C59" i="51"/>
  <c r="C57" i="51"/>
  <c r="G56" i="51"/>
  <c r="C58" i="51" s="1"/>
  <c r="C54" i="51"/>
  <c r="I47" i="51"/>
  <c r="C45" i="51" s="1"/>
  <c r="H47" i="51"/>
  <c r="C44" i="51" s="1"/>
  <c r="G47" i="51"/>
  <c r="C43" i="51" s="1"/>
  <c r="F47" i="51"/>
  <c r="C42" i="51" s="1"/>
  <c r="C41" i="51"/>
  <c r="C40" i="51"/>
  <c r="C39" i="51"/>
  <c r="C38" i="51"/>
  <c r="C37" i="51"/>
  <c r="G36" i="51"/>
  <c r="C32" i="51" s="1"/>
  <c r="F36" i="51"/>
  <c r="C31" i="51" s="1"/>
  <c r="C36" i="51"/>
  <c r="G35" i="51"/>
  <c r="C30" i="51" s="1"/>
  <c r="F35" i="51"/>
  <c r="C29" i="51" s="1"/>
  <c r="C35" i="51"/>
  <c r="F34" i="51"/>
  <c r="C27" i="51" s="1"/>
  <c r="C34" i="51"/>
  <c r="G33" i="51"/>
  <c r="C26" i="51" s="1"/>
  <c r="F33" i="51"/>
  <c r="C25" i="51" s="1"/>
  <c r="C33" i="51"/>
  <c r="F30" i="51"/>
  <c r="C24" i="51" s="1"/>
  <c r="C28" i="51"/>
  <c r="C23" i="51"/>
  <c r="G22" i="51"/>
  <c r="C6" i="51" s="1"/>
  <c r="F22" i="51"/>
  <c r="C5" i="51" s="1"/>
  <c r="C22" i="51"/>
  <c r="C21" i="51"/>
  <c r="C20" i="51"/>
  <c r="F19" i="51"/>
  <c r="C19" i="51"/>
  <c r="F18" i="51"/>
  <c r="C18" i="51"/>
  <c r="C17" i="51"/>
  <c r="F16" i="51"/>
  <c r="C16" i="51"/>
  <c r="F15" i="51"/>
  <c r="C15" i="51"/>
  <c r="F14" i="51"/>
  <c r="C14" i="51"/>
  <c r="C13" i="51"/>
  <c r="F12" i="51"/>
  <c r="C4" i="51" s="1"/>
  <c r="C12" i="51"/>
  <c r="F11" i="51"/>
  <c r="C11" i="51"/>
  <c r="F10" i="51"/>
  <c r="C3" i="51" s="1"/>
  <c r="C10" i="51"/>
  <c r="C9" i="51"/>
  <c r="F8" i="51"/>
  <c r="C2" i="51" s="1"/>
  <c r="C8" i="51"/>
  <c r="F7" i="51"/>
  <c r="C7" i="51"/>
  <c r="F6" i="51"/>
  <c r="F4" i="51"/>
  <c r="F3" i="51"/>
  <c r="O8" i="62" l="1"/>
  <c r="H270" i="62"/>
  <c r="L17" i="60" s="1"/>
  <c r="L18" i="60" s="1"/>
  <c r="L19" i="60" s="1"/>
  <c r="L21" i="60" s="1"/>
  <c r="L23" i="60" s="1"/>
  <c r="L33" i="60" s="1"/>
  <c r="G270" i="62"/>
  <c r="J17" i="60" s="1"/>
  <c r="C12" i="62"/>
  <c r="C11" i="62"/>
  <c r="H17" i="59" s="1"/>
  <c r="N20" i="59" s="1"/>
  <c r="O7" i="62"/>
  <c r="N17" i="58"/>
  <c r="N23" i="58" s="1"/>
  <c r="P323" i="62"/>
  <c r="N16" i="55" s="1"/>
  <c r="Q16" i="55" s="1"/>
  <c r="J145" i="62"/>
  <c r="J128" i="62"/>
  <c r="J25" i="60" s="1"/>
  <c r="J35" i="60" s="1"/>
  <c r="J164" i="62"/>
  <c r="J234" i="62"/>
  <c r="K325" i="62"/>
  <c r="B46" i="62"/>
  <c r="C46" i="62" s="1"/>
  <c r="H327" i="62"/>
  <c r="N24" i="54" s="1"/>
  <c r="Q24" i="54" s="1"/>
  <c r="H326" i="62"/>
  <c r="N23" i="54" s="1"/>
  <c r="Q23" i="54" s="1"/>
  <c r="P327" i="62"/>
  <c r="N20" i="55" s="1"/>
  <c r="Q20" i="55" s="1"/>
  <c r="H325" i="62"/>
  <c r="N22" i="54" s="1"/>
  <c r="Q22" i="54" s="1"/>
  <c r="P326" i="62"/>
  <c r="N19" i="55" s="1"/>
  <c r="Q19" i="55" s="1"/>
  <c r="H324" i="62"/>
  <c r="N21" i="54" s="1"/>
  <c r="Q21" i="54" s="1"/>
  <c r="P325" i="62"/>
  <c r="N18" i="55" s="1"/>
  <c r="Q18" i="55" s="1"/>
  <c r="K320" i="62"/>
  <c r="H323" i="62"/>
  <c r="N20" i="54" s="1"/>
  <c r="Q20" i="54" s="1"/>
  <c r="C52" i="62"/>
  <c r="Q25" i="56"/>
  <c r="Q25" i="57"/>
  <c r="J251" i="62"/>
  <c r="J216" i="62"/>
  <c r="J199" i="62"/>
  <c r="J24" i="60" s="1"/>
  <c r="J181" i="62"/>
  <c r="K322" i="62"/>
  <c r="N24" i="58" l="1"/>
  <c r="J18" i="60"/>
  <c r="J19" i="60" s="1"/>
  <c r="J21" i="60" s="1"/>
  <c r="J23" i="60" s="1"/>
  <c r="J33" i="60" s="1"/>
  <c r="F53" i="51"/>
  <c r="C56" i="51" s="1"/>
  <c r="I21" i="2"/>
  <c r="N17" i="59"/>
  <c r="N24" i="59" s="1"/>
  <c r="N27" i="59" s="1"/>
  <c r="B33" i="59" s="1"/>
  <c r="E29" i="58"/>
  <c r="I53" i="51" s="1"/>
  <c r="C93" i="51" s="1"/>
  <c r="L24" i="60"/>
  <c r="L34" i="60" s="1"/>
  <c r="L25" i="60"/>
  <c r="L35" i="60" s="1"/>
  <c r="N25" i="60"/>
  <c r="N35" i="60" s="1"/>
  <c r="N24" i="60"/>
  <c r="N34" i="60" s="1"/>
  <c r="P24" i="60"/>
  <c r="P34" i="60" s="1"/>
  <c r="P25" i="60"/>
  <c r="P35" i="60" s="1"/>
  <c r="J34" i="60"/>
  <c r="O12" i="56"/>
  <c r="Q12" i="56" s="1"/>
  <c r="F52" i="51"/>
  <c r="C55" i="51" s="1"/>
  <c r="Q29" i="54"/>
  <c r="B29" i="58"/>
  <c r="B49" i="53" s="1"/>
  <c r="H66" i="51" s="1"/>
  <c r="C94" i="51" s="1"/>
  <c r="P21" i="60"/>
  <c r="P23" i="60" s="1"/>
  <c r="N21" i="60"/>
  <c r="O15" i="54"/>
  <c r="Q15" i="54" s="1"/>
  <c r="Q25" i="55"/>
  <c r="O27" i="55"/>
  <c r="Q27" i="55" s="1"/>
  <c r="O12" i="55"/>
  <c r="Q12" i="55" s="1"/>
  <c r="O27" i="57"/>
  <c r="Q27" i="57" s="1"/>
  <c r="O27" i="56"/>
  <c r="Q27" i="56" s="1"/>
  <c r="O12" i="57"/>
  <c r="Q12" i="57" s="1"/>
  <c r="I48" i="51" l="1"/>
  <c r="C49" i="51" s="1"/>
  <c r="P33" i="60"/>
  <c r="I49" i="51" s="1"/>
  <c r="C53" i="51" s="1"/>
  <c r="N23" i="60"/>
  <c r="F48" i="51"/>
  <c r="C46" i="51" s="1"/>
  <c r="F49" i="51"/>
  <c r="C50" i="51" s="1"/>
  <c r="Q29" i="57"/>
  <c r="Y37" i="53" s="1"/>
  <c r="I22" i="2"/>
  <c r="B50" i="53"/>
  <c r="H67" i="51" s="1"/>
  <c r="C95" i="51" s="1"/>
  <c r="E38" i="53"/>
  <c r="Q29" i="56"/>
  <c r="Y36" i="53" s="1"/>
  <c r="J37" i="60"/>
  <c r="J27" i="60"/>
  <c r="J28" i="60" s="1"/>
  <c r="L37" i="60"/>
  <c r="L27" i="60"/>
  <c r="L28" i="60" s="1"/>
  <c r="P27" i="60"/>
  <c r="P28" i="60" s="1"/>
  <c r="P37" i="60"/>
  <c r="N37" i="60"/>
  <c r="N27" i="60"/>
  <c r="Q31" i="54"/>
  <c r="F59" i="51" s="1"/>
  <c r="C61" i="51" s="1"/>
  <c r="G48" i="51"/>
  <c r="C47" i="51" s="1"/>
  <c r="G49" i="51"/>
  <c r="C51" i="51" s="1"/>
  <c r="G59" i="51"/>
  <c r="C62" i="51" s="1"/>
  <c r="Q29" i="55"/>
  <c r="H48" i="51" l="1"/>
  <c r="C48" i="51" s="1"/>
  <c r="N33" i="60"/>
  <c r="H49" i="51" s="1"/>
  <c r="C52" i="51" s="1"/>
  <c r="Y35" i="53"/>
  <c r="N28" i="60"/>
  <c r="J29" i="60" s="1"/>
  <c r="N29" i="59"/>
  <c r="M38" i="53"/>
  <c r="F66" i="51" s="1"/>
  <c r="C67" i="51" s="1"/>
  <c r="I52" i="51"/>
  <c r="C92" i="51" s="1"/>
  <c r="J38" i="60"/>
  <c r="P38" i="60"/>
  <c r="I51" i="51"/>
  <c r="C91" i="51" s="1"/>
  <c r="L38" i="60"/>
  <c r="N38" i="60" l="1"/>
  <c r="J39" i="60" s="1"/>
  <c r="J40" i="60" s="1"/>
  <c r="J42" i="53"/>
  <c r="I10" i="2" s="1"/>
  <c r="G60" i="51"/>
  <c r="C64" i="51" s="1"/>
  <c r="H84" i="51"/>
  <c r="E39" i="53"/>
  <c r="M39" i="53" s="1"/>
  <c r="F67" i="51" s="1"/>
  <c r="C68" i="51" s="1"/>
  <c r="J41" i="60" l="1"/>
  <c r="I17" i="2"/>
  <c r="B51" i="53"/>
  <c r="H68" i="51" s="1"/>
  <c r="C96" i="51" s="1"/>
  <c r="E40" i="53" l="1"/>
  <c r="M40" i="53" s="1"/>
  <c r="C112" i="51"/>
  <c r="M43" i="53" l="1"/>
  <c r="F90" i="51" s="1"/>
  <c r="C88" i="51" s="1"/>
  <c r="F68" i="51"/>
  <c r="F84" i="51" s="1"/>
  <c r="C85" i="51" s="1"/>
  <c r="J41" i="53"/>
  <c r="I8" i="2" s="1"/>
  <c r="M41" i="53" l="1"/>
  <c r="I11" i="2" s="1"/>
  <c r="C69" i="51"/>
  <c r="P43" i="53" l="1"/>
  <c r="F92" i="51" s="1"/>
  <c r="C89" i="51" s="1"/>
  <c r="F88" i="51"/>
  <c r="C86" i="51" s="1"/>
  <c r="R43" i="53"/>
  <c r="G92" i="51" s="1"/>
  <c r="C90" i="51" s="1"/>
  <c r="F12" i="2"/>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5" authorId="0" shapeId="0" xr:uid="{B6C610E4-99B4-4947-8DCE-5D9BBB734A97}">
      <text>
        <r>
          <rPr>
            <sz val="10"/>
            <color indexed="9"/>
            <rFont val="Calibri"/>
            <family val="2"/>
          </rPr>
          <t>Measures can be selected from anywhere in the benefits framework.</t>
        </r>
      </text>
    </comment>
    <comment ref="D26" authorId="0" shapeId="0" xr:uid="{CC1F544B-22F9-4F61-95A1-FC46075A45E6}">
      <text>
        <r>
          <rPr>
            <sz val="10"/>
            <color indexed="9"/>
            <rFont val="Calibri"/>
            <family val="2"/>
          </rPr>
          <t>Measures can be selected from anywhere in the benefits framework.</t>
        </r>
      </text>
    </comment>
    <comment ref="B28" authorId="1"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1"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9" authorId="0" shapeId="0" xr:uid="{954452F3-1D0C-4480-88DA-5FCD1DD15C1D}">
      <text>
        <r>
          <rPr>
            <sz val="8"/>
            <color indexed="81"/>
            <rFont val="Verdana"/>
            <family val="2"/>
          </rPr>
          <t>Cost benefit analysis
1. Under benefits, enter the PVs for the benefits for the do-minimum and for each option. Then subtract the benefits for the do minimum from the benefits for the options to get the net benefits of each option.
2. Under costs, enter the PVs of the capital and maintenance costs for the do minimum and each option. Subtract the PV costs for the do minimum from the costs for the options to get the net costs of each option.
3. Calculate the national BCR by dividing the net benefits by the net costs.</t>
        </r>
      </text>
    </comment>
    <comment ref="A24" authorId="0" shapeId="0" xr:uid="{331E6F54-C97F-405A-AD25-3316D4F6B22B}">
      <text>
        <r>
          <rPr>
            <sz val="8"/>
            <color indexed="81"/>
            <rFont val="Verdana"/>
            <family val="2"/>
          </rPr>
          <t>Incremental analysis
1. Select the appropriate target incremental BCR from section 6.3.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D8976B84-FCD5-45FD-BB36-C396F4BCD777}">
      <text>
        <r>
          <rPr>
            <sz val="8"/>
            <color indexed="81"/>
            <rFont val="Verdana"/>
            <family val="2"/>
          </rPr>
          <t>1. Enter the full name, contact details, name of organisation, office location, etc of the evaluator(s) and reviewer(s).</t>
        </r>
      </text>
    </comment>
    <comment ref="B10" authorId="0" shapeId="0" xr:uid="{180FEC30-E3AF-45A1-8E4A-B681FEE1F47B}">
      <text>
        <r>
          <rPr>
            <sz val="8"/>
            <color indexed="81"/>
            <rFont val="Verdana"/>
            <family val="2"/>
          </rPr>
          <t>2. Provide a general description of the activity and package/programme (where relevant). Describe the issues with the existing road section and the issues to be addressed.</t>
        </r>
      </text>
    </comment>
    <comment ref="B16" authorId="0" shapeId="0" xr:uid="{F9BA659C-C762-466B-92E5-824BFD7520A4}">
      <text>
        <r>
          <rPr>
            <sz val="8"/>
            <color indexed="81"/>
            <rFont val="Verdana"/>
            <family val="2"/>
          </rPr>
          <t>3. Provide a brief description of the activity location including page references to route map and layout plan within the documentation, used as the foundation of the economics.</t>
        </r>
      </text>
    </comment>
    <comment ref="B18" authorId="0" shapeId="0" xr:uid="{AFBB2DEB-10C8-4FD2-9509-0808B9DFCCA8}">
      <text>
        <r>
          <rPr>
            <sz val="8"/>
            <color indexed="81"/>
            <rFont val="Verdana"/>
            <family val="2"/>
          </rPr>
          <t>4. Describe the do-minimum that is usually the least cost option to maintain the road section in an unimproved state. Describe the options assessed and how the preferred option will improve the road section.</t>
        </r>
      </text>
    </comment>
    <comment ref="B21" authorId="0" shapeId="0" xr:uid="{7ACA39A6-0633-4453-8499-598F3E76F697}">
      <text>
        <r>
          <rPr>
            <sz val="8"/>
            <color indexed="81"/>
            <rFont val="Verdana"/>
            <family val="2"/>
          </rPr>
          <t>5. For the economic efficiency evaluation the construction start is assumed to be 1 July of the financial year in which the activity is submitted for a commitment to funding.</t>
        </r>
      </text>
    </comment>
    <comment ref="B26" authorId="0" shapeId="0" xr:uid="{9C14050F-2DF6-4211-AD14-7D1B6696CE06}">
      <text>
        <r>
          <rPr>
            <sz val="8"/>
            <color indexed="81"/>
            <rFont val="Verdana"/>
            <family val="2"/>
          </rPr>
          <t>6. Enter the timeframe information, the road and traffic data, identify the existing and predicted traffic speed, the existing and predicted roughness (IRI or NAASRA), and the length of road before and after works.</t>
        </r>
      </text>
    </comment>
    <comment ref="B35" authorId="0" shapeId="0" xr:uid="{A201254F-3453-484B-B3FD-6E5E979C74EE}">
      <text>
        <r>
          <rPr>
            <sz val="8"/>
            <color indexed="81"/>
            <rFont val="Verdana"/>
            <family val="2"/>
          </rPr>
          <t>7. Use worksheet 2 to calculate the PV cost of the do-minimum. This should be the lowest cost option that will keep the road in service. It will provide no improvements.</t>
        </r>
      </text>
    </comment>
    <comment ref="B36" authorId="0" shapeId="0" xr:uid="{D2C10C3D-5BD3-4560-BFEA-F9FA7E13E9A9}">
      <text>
        <r>
          <rPr>
            <sz val="8"/>
            <color indexed="81"/>
            <rFont val="Verdana"/>
            <family val="2"/>
          </rPr>
          <t>8. Use worksheet 3 to estimate the preferred option PV cost.</t>
        </r>
      </text>
    </comment>
    <comment ref="B37" authorId="0" shapeId="0" xr:uid="{ECEAFA4E-C4A8-457E-9302-7F222B34B00F}">
      <text>
        <r>
          <rPr>
            <sz val="8"/>
            <color indexed="81"/>
            <rFont val="Verdana"/>
            <family val="2"/>
          </rPr>
          <t>9. Enter the benefits values from worksheets 4 (travel time savings), 5 (vehicle operating cost savings) and 6 (crash cost savings). To bring the benefits up to the base date values, use the appropriate update factors on the MBCM web page. The base VOC incorporates the CO</t>
        </r>
        <r>
          <rPr>
            <vertAlign val="subscript"/>
            <sz val="8"/>
            <color indexed="81"/>
            <rFont val="Verdana"/>
            <family val="2"/>
          </rPr>
          <t>2</t>
        </r>
        <r>
          <rPr>
            <sz val="8"/>
            <color indexed="81"/>
            <rFont val="Verdana"/>
            <family val="2"/>
          </rPr>
          <t xml:space="preserve"> costs and no separate adjustment is required.</t>
        </r>
      </text>
    </comment>
    <comment ref="B41" authorId="0" shapeId="0" xr:uid="{252F7665-DF92-4588-AD37-42F88AD00353}">
      <text>
        <r>
          <rPr>
            <sz val="8"/>
            <color indexed="81"/>
            <rFont val="Verdana"/>
            <family val="2"/>
          </rPr>
          <t>10. The BCR</t>
        </r>
        <r>
          <rPr>
            <vertAlign val="subscript"/>
            <sz val="8"/>
            <color indexed="81"/>
            <rFont val="Verdana"/>
            <family val="2"/>
          </rPr>
          <t>N</t>
        </r>
        <r>
          <rPr>
            <sz val="8"/>
            <color indexed="81"/>
            <rFont val="Verdana"/>
            <family val="2"/>
          </rPr>
          <t xml:space="preserve"> is calculated by dividing the PV of the net benefits (PV benefits of the do-minimum subtracted from the PV benefits of the option) by PV of the net costs (PV costs of the do-minimum subtracted from the PV costs of the option).</t>
        </r>
      </text>
    </comment>
    <comment ref="B43" authorId="0" shapeId="0" xr:uid="{66FDE78F-DF8F-49B0-B5C8-F14CC6C2F64B}">
      <text>
        <r>
          <rPr>
            <sz val="8"/>
            <color indexed="81"/>
            <rFont val="Verdana"/>
            <family val="2"/>
          </rPr>
          <t xml:space="preserve">11. The FYRR is calculated as the benefits in the first full year following completion divided by the activity costs. The first year benefits are calculated by dividing the totals at </t>
        </r>
        <r>
          <rPr>
            <b/>
            <sz val="8"/>
            <color indexed="81"/>
            <rFont val="Verdana"/>
            <family val="2"/>
          </rPr>
          <t>W</t>
        </r>
        <r>
          <rPr>
            <sz val="8"/>
            <color indexed="81"/>
            <rFont val="Verdana"/>
            <family val="2"/>
          </rPr>
          <t xml:space="preserve">,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factors used on worksheets 4, 5 and 6 respectively, and then multiplying by 0.96 to get the PV.
</t>
        </r>
        <r>
          <rPr>
            <b/>
            <sz val="8"/>
            <color indexed="81"/>
            <rFont val="Verdana"/>
            <family val="2"/>
          </rPr>
          <t>Note:</t>
        </r>
        <r>
          <rPr>
            <sz val="8"/>
            <color indexed="81"/>
            <rFont val="Verdana"/>
            <family val="2"/>
          </rPr>
          <t xml:space="preserve"> The discount factor for VOCs and travel time (see explanation for worksheets 4 and 5) is different to the discount factor for crashes (see explanation for worksheet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EEFCB5FC-9CE4-4F9A-ACE5-5377D371CE5F}">
      <text>
        <r>
          <rPr>
            <sz val="8"/>
            <color indexed="81"/>
            <rFont val="Verdana"/>
            <family val="2"/>
          </rPr>
          <t>1. The annual and periodic maintenance costs should be obtained from maintenance records and resealing records. If pavement rehabilitation is proposed at some future date as part of the do-minimum, then:
• it must be tested against the option of continued pavement maintenance in order to establish that it is the true do-minimum, and
• only the costs of basic sealed smoothing work shall be used in the analysis.</t>
        </r>
      </text>
    </comment>
    <comment ref="B14" authorId="0" shapeId="0" xr:uid="{A59185A1-C42C-42C1-B85C-5AE1839EF9F5}">
      <text>
        <r>
          <rPr>
            <sz val="8"/>
            <color indexed="81"/>
            <rFont val="Verdana"/>
            <family val="2"/>
          </rPr>
          <t xml:space="preserve">2. Calculate the PV of annual maintenance costs </t>
        </r>
        <r>
          <rPr>
            <b/>
            <sz val="8"/>
            <color indexed="81"/>
            <rFont val="Verdana"/>
            <family val="2"/>
          </rPr>
          <t>(a)</t>
        </r>
        <r>
          <rPr>
            <sz val="8"/>
            <color indexed="81"/>
            <rFont val="Verdana"/>
            <family val="2"/>
          </rPr>
          <t xml:space="preserve"> for the do-minimum by multiplying the annual cost by the discount factor of 20.19.</t>
        </r>
      </text>
    </comment>
    <comment ref="B16" authorId="0" shapeId="0" xr:uid="{33582244-C1D7-4F3F-BC3A-27B177C76F08}">
      <text>
        <r>
          <rPr>
            <sz val="8"/>
            <color indexed="81"/>
            <rFont val="Verdana"/>
            <family val="2"/>
          </rPr>
          <t xml:space="preserve">3. Schedule any periodic maintenance, according to the year in which this work is expected to be undertaken. Apply the appropriate SPPWF to determine the PV at time zero. Sum the PV of the periodic costs to determine the PV of total periodic maintenance costs </t>
        </r>
        <r>
          <rPr>
            <b/>
            <sz val="8"/>
            <color indexed="81"/>
            <rFont val="Verdana"/>
            <family val="2"/>
          </rPr>
          <t>(b)</t>
        </r>
        <r>
          <rPr>
            <sz val="8"/>
            <color indexed="81"/>
            <rFont val="Verdana"/>
            <family val="2"/>
          </rPr>
          <t>.</t>
        </r>
      </text>
    </comment>
    <comment ref="B30" authorId="0" shapeId="0" xr:uid="{640703F3-E1B7-4CF8-B7D9-49F02D09B726}">
      <text>
        <r>
          <rPr>
            <sz val="8"/>
            <color indexed="81"/>
            <rFont val="Verdana"/>
            <family val="2"/>
          </rPr>
          <t xml:space="preserve">4. Calculate the PV cost of the do-minimum by adding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Transfer the PV costs of the do-minimum </t>
        </r>
        <r>
          <rPr>
            <b/>
            <sz val="8"/>
            <color indexed="81"/>
            <rFont val="Verdana"/>
            <family val="2"/>
          </rPr>
          <t>A</t>
        </r>
        <r>
          <rPr>
            <sz val="8"/>
            <color indexed="81"/>
            <rFont val="Verdana"/>
            <family val="2"/>
          </rPr>
          <t xml:space="preserve">, to </t>
        </r>
        <r>
          <rPr>
            <b/>
            <sz val="8"/>
            <color indexed="81"/>
            <rFont val="Verdana"/>
            <family val="2"/>
          </rPr>
          <t>A</t>
        </r>
        <r>
          <rPr>
            <sz val="8"/>
            <color indexed="81"/>
            <rFont val="Verdana"/>
            <family val="2"/>
          </rPr>
          <t xml:space="preserve"> on worksheet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61951DC3-059F-44A2-A650-88EF2D05F8A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0.96 and enter at </t>
        </r>
        <r>
          <rPr>
            <b/>
            <sz val="8"/>
            <color indexed="81"/>
            <rFont val="Verdana"/>
            <family val="2"/>
          </rPr>
          <t>(a)</t>
        </r>
        <r>
          <rPr>
            <sz val="8"/>
            <color indexed="81"/>
            <rFont val="Verdana"/>
            <family val="2"/>
          </rPr>
          <t>.</t>
        </r>
      </text>
    </comment>
    <comment ref="B10" authorId="0" shapeId="0" xr:uid="{81F60A33-59AD-480C-BB35-E1D8841DC5A8}">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1" authorId="0" shapeId="0" xr:uid="{A8293623-82A7-46C9-8C75-AACD4E6FB92E}">
      <text>
        <r>
          <rPr>
            <sz val="8"/>
            <color indexed="81"/>
            <rFont val="Verdana"/>
            <family val="2"/>
          </rPr>
          <t xml:space="preserve">3. Enter the cost for annual maintenance and inspections following completion of the works. Multiply by 19.21 to get the PV of annual maintenance costs </t>
        </r>
        <r>
          <rPr>
            <b/>
            <sz val="8"/>
            <color indexed="81"/>
            <rFont val="Verdana"/>
            <family val="2"/>
          </rPr>
          <t>(c)</t>
        </r>
        <r>
          <rPr>
            <sz val="8"/>
            <color indexed="81"/>
            <rFont val="Verdana"/>
            <family val="2"/>
          </rPr>
          <t xml:space="preserve"> for years 2 to 40 inclusive.</t>
        </r>
      </text>
    </comment>
    <comment ref="B13" authorId="0" shapeId="0" xr:uid="{984880C2-9099-4B33-8720-33D74281EBF5}">
      <text>
        <r>
          <rPr>
            <sz val="8"/>
            <color indexed="81"/>
            <rFont val="Verdana"/>
            <family val="2"/>
          </rPr>
          <t xml:space="preserve">4. Enter the costs of periodic maintenance. Determine which years this maintenance will be required (if at all) and enter the year, estimated cost and SPPWF. Calculate the PV (estimated cost multiplied by SPPWF) for each cost and sum these to obtain the PV of the total periodic maintenance cost </t>
        </r>
        <r>
          <rPr>
            <b/>
            <sz val="8"/>
            <color indexed="81"/>
            <rFont val="Verdana"/>
            <family val="2"/>
          </rPr>
          <t>(d)</t>
        </r>
        <r>
          <rPr>
            <sz val="8"/>
            <color indexed="81"/>
            <rFont val="Verdana"/>
            <family val="2"/>
          </rPr>
          <t>.</t>
        </r>
      </text>
    </comment>
    <comment ref="B26" authorId="0" shapeId="0" xr:uid="{9443A807-7DC3-4006-89D7-199C9A9268A4}">
      <text>
        <r>
          <rPr>
            <sz val="8"/>
            <color indexed="81"/>
            <rFont val="Verdana"/>
            <family val="2"/>
          </rPr>
          <t xml:space="preserve">5. The annual costs (for years 2 to 40) associated with the improved road section, but not maintaining the capital assets, are specified and multiplied by the discount factor of 19.21 to get </t>
        </r>
        <r>
          <rPr>
            <b/>
            <sz val="8"/>
            <color indexed="81"/>
            <rFont val="Verdana"/>
            <family val="2"/>
          </rPr>
          <t>(e)</t>
        </r>
      </text>
    </comment>
    <comment ref="B28" authorId="0" shapeId="0" xr:uid="{F986A58B-B185-40E2-93CD-84379CC522FA}">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BEC9F9BB-FEDF-4DF9-9C6C-AA1117E5D502}">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0.96 and enter at </t>
        </r>
        <r>
          <rPr>
            <b/>
            <sz val="8"/>
            <color indexed="81"/>
            <rFont val="Verdana"/>
            <family val="2"/>
          </rPr>
          <t>(a)</t>
        </r>
        <r>
          <rPr>
            <sz val="8"/>
            <color indexed="81"/>
            <rFont val="Verdana"/>
            <family val="2"/>
          </rPr>
          <t>.</t>
        </r>
      </text>
    </comment>
    <comment ref="B10" authorId="0" shapeId="0" xr:uid="{A09FCDD7-CD37-4CBC-B242-7FC31D09326A}">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1" authorId="0" shapeId="0" xr:uid="{FD0F49EA-5194-4AFA-BE70-A604E7B22E6D}">
      <text>
        <r>
          <rPr>
            <sz val="8"/>
            <color indexed="81"/>
            <rFont val="Verdana"/>
            <family val="2"/>
          </rPr>
          <t xml:space="preserve">3. Enter the cost for annual maintenance and inspections following completion of the works. Multiply by 19.21 to get the PV of annual maintenance costs </t>
        </r>
        <r>
          <rPr>
            <b/>
            <sz val="8"/>
            <color indexed="81"/>
            <rFont val="Verdana"/>
            <family val="2"/>
          </rPr>
          <t>(c)</t>
        </r>
        <r>
          <rPr>
            <sz val="8"/>
            <color indexed="81"/>
            <rFont val="Verdana"/>
            <family val="2"/>
          </rPr>
          <t xml:space="preserve"> for years 2 to 40 inclusive.</t>
        </r>
      </text>
    </comment>
    <comment ref="B13" authorId="0" shapeId="0" xr:uid="{DCB35D67-4C45-442A-A37B-34BF6E570BA7}">
      <text>
        <r>
          <rPr>
            <sz val="8"/>
            <color indexed="81"/>
            <rFont val="Verdana"/>
            <family val="2"/>
          </rPr>
          <t xml:space="preserve">4. Enter the costs of periodic maintenance. Determine which years this maintenance will be required (if at all) and enter the year, estimated cost and SPPWF. Calculate the PV (estimated cost multiplied by SPPWF) for each cost and sum these to obtain the PV of the total periodic maintenance cost </t>
        </r>
        <r>
          <rPr>
            <b/>
            <sz val="8"/>
            <color indexed="81"/>
            <rFont val="Verdana"/>
            <family val="2"/>
          </rPr>
          <t>(d)</t>
        </r>
        <r>
          <rPr>
            <sz val="8"/>
            <color indexed="81"/>
            <rFont val="Verdana"/>
            <family val="2"/>
          </rPr>
          <t>.</t>
        </r>
      </text>
    </comment>
    <comment ref="B26" authorId="0" shapeId="0" xr:uid="{7F53E55E-D394-4895-90DC-B8B868DE2E97}">
      <text>
        <r>
          <rPr>
            <sz val="8"/>
            <color indexed="81"/>
            <rFont val="Verdana"/>
            <family val="2"/>
          </rPr>
          <t xml:space="preserve">5. The annual costs (for years 2 to 40) associated with the improved road section, but not maintaining the capital assets, are specified and multiplied by the discount factor of 19.21 to get </t>
        </r>
        <r>
          <rPr>
            <b/>
            <sz val="8"/>
            <color indexed="81"/>
            <rFont val="Verdana"/>
            <family val="2"/>
          </rPr>
          <t>(e)</t>
        </r>
      </text>
    </comment>
    <comment ref="B28" authorId="0" shapeId="0" xr:uid="{1D293B47-60CB-4EB7-9220-5B83A074A9AB}">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8C12EA15-EEF1-4789-BEEF-7684DF734866}">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0.96 and enter at </t>
        </r>
        <r>
          <rPr>
            <b/>
            <sz val="8"/>
            <color indexed="81"/>
            <rFont val="Verdana"/>
            <family val="2"/>
          </rPr>
          <t>(a)</t>
        </r>
        <r>
          <rPr>
            <sz val="8"/>
            <color indexed="81"/>
            <rFont val="Verdana"/>
            <family val="2"/>
          </rPr>
          <t>.</t>
        </r>
      </text>
    </comment>
    <comment ref="B10" authorId="0" shapeId="0" xr:uid="{DB2C12DA-7FF2-4CA9-B21F-6BD0898AB66C}">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1" authorId="0" shapeId="0" xr:uid="{D51F9391-ED01-41D9-9F04-834C77A67E35}">
      <text>
        <r>
          <rPr>
            <sz val="8"/>
            <color indexed="81"/>
            <rFont val="Verdana"/>
            <family val="2"/>
          </rPr>
          <t xml:space="preserve">3. Enter the cost for annual maintenance and inspections following completion of the works. Multiply by 19.21 to get the PV of annual maintenance costs </t>
        </r>
        <r>
          <rPr>
            <b/>
            <sz val="8"/>
            <color indexed="81"/>
            <rFont val="Verdana"/>
            <family val="2"/>
          </rPr>
          <t>(c)</t>
        </r>
        <r>
          <rPr>
            <sz val="8"/>
            <color indexed="81"/>
            <rFont val="Verdana"/>
            <family val="2"/>
          </rPr>
          <t xml:space="preserve"> for years 2 to 40 inclusive.</t>
        </r>
      </text>
    </comment>
    <comment ref="B13" authorId="0" shapeId="0" xr:uid="{4BAB53DA-FB61-428F-9BA2-0392FA24612A}">
      <text>
        <r>
          <rPr>
            <sz val="8"/>
            <color indexed="81"/>
            <rFont val="Verdana"/>
            <family val="2"/>
          </rPr>
          <t xml:space="preserve">4. Enter the costs of periodic maintenance. Determine which years this maintenance will be required (if at all) and enter the year, estimated cost and SPPWF. Calculate the PV (estimated cost multiplied by SPPWF) for each cost and sum these to obtain the PV of the total periodic maintenance cost </t>
        </r>
        <r>
          <rPr>
            <b/>
            <sz val="8"/>
            <color indexed="81"/>
            <rFont val="Verdana"/>
            <family val="2"/>
          </rPr>
          <t>(d)</t>
        </r>
        <r>
          <rPr>
            <sz val="8"/>
            <color indexed="81"/>
            <rFont val="Verdana"/>
            <family val="2"/>
          </rPr>
          <t>.</t>
        </r>
      </text>
    </comment>
    <comment ref="B26" authorId="0" shapeId="0" xr:uid="{02175A51-7485-4602-AB94-66D44CF46B11}">
      <text>
        <r>
          <rPr>
            <sz val="8"/>
            <color indexed="81"/>
            <rFont val="Verdana"/>
            <family val="2"/>
          </rPr>
          <t xml:space="preserve">5. The annual costs (for years 2 to 40) associated with the improved road section, but not maintaining the capital assets, are specified and multiplied by the discount factor of 19.21 to get </t>
        </r>
        <r>
          <rPr>
            <b/>
            <sz val="8"/>
            <color indexed="81"/>
            <rFont val="Verdana"/>
            <family val="2"/>
          </rPr>
          <t>(e)</t>
        </r>
      </text>
    </comment>
    <comment ref="B28" authorId="0" shapeId="0" xr:uid="{84068B15-735C-49D0-84E2-B507F8B6BD91}">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6" authorId="0" shapeId="0" xr:uid="{05BCA584-4621-44D1-9F3B-E49811F587C0}">
      <text>
        <r>
          <rPr>
            <sz val="8"/>
            <color indexed="81"/>
            <rFont val="Verdana"/>
            <family val="2"/>
          </rPr>
          <t>1. Select the road category.</t>
        </r>
      </text>
    </comment>
    <comment ref="B7" authorId="0" shapeId="0" xr:uid="{BB85143F-CE5F-4CC8-A1F3-D5A647B17C1B}">
      <text>
        <r>
          <rPr>
            <sz val="8"/>
            <color indexed="81"/>
            <rFont val="Verdana"/>
            <family val="2"/>
          </rPr>
          <t>2. Enter the data required to complete the travel time cost savings calculations. Default values for travel time costs are found in table 17.</t>
        </r>
      </text>
    </comment>
    <comment ref="B15" authorId="0" shapeId="0" xr:uid="{197A5328-1011-4B06-98C0-4532F6CA1F83}">
      <text>
        <r>
          <rPr>
            <sz val="8"/>
            <color indexed="81"/>
            <rFont val="Verdana"/>
            <family val="2"/>
          </rPr>
          <t>3. Calculate the annual travel time costs for the do-minimum using the formula provided.</t>
        </r>
      </text>
    </comment>
    <comment ref="B19" authorId="0" shapeId="0" xr:uid="{17325517-5EFC-48E8-8699-FE7B1DFD66FB}">
      <text>
        <r>
          <rPr>
            <sz val="8"/>
            <color indexed="81"/>
            <rFont val="Verdana"/>
            <family val="2"/>
          </rPr>
          <t>4. Calculate the annual travel time costs for the option using the formula provided. The vehicle speed and route length will be the same for both the do-minimum and the activity option if the work does not either shorten the route or increase vehicle speeds.</t>
        </r>
      </text>
    </comment>
    <comment ref="B23" authorId="0" shapeId="0" xr:uid="{D43A7D2B-3086-42CA-B4EF-7A4481B624A4}">
      <text>
        <r>
          <rPr>
            <sz val="8"/>
            <color indexed="81"/>
            <rFont val="Verdana"/>
            <family val="2"/>
          </rPr>
          <t xml:space="preserve">5. Calculate the annual travel time cost savings by subtracting the travel time costs for the option </t>
        </r>
        <r>
          <rPr>
            <b/>
            <sz val="8"/>
            <color indexed="81"/>
            <rFont val="Verdana"/>
            <family val="2"/>
          </rPr>
          <t>(b)</t>
        </r>
        <r>
          <rPr>
            <sz val="8"/>
            <color indexed="81"/>
            <rFont val="Verdana"/>
            <family val="2"/>
          </rPr>
          <t xml:space="preserve"> from the do-minimum travel time costs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B24" authorId="0" shapeId="0" xr:uid="{F9AC3296-703E-4AE0-9518-0B60AE3C04AC}">
      <text>
        <r>
          <rPr>
            <sz val="8"/>
            <color indexed="81"/>
            <rFont val="Verdana"/>
            <family val="2"/>
          </rPr>
          <t xml:space="preserve">6. Determine the PV of the travel time cost savings, </t>
        </r>
        <r>
          <rPr>
            <b/>
            <sz val="8"/>
            <color indexed="81"/>
            <rFont val="Verdana"/>
            <family val="2"/>
          </rPr>
          <t>C</t>
        </r>
        <r>
          <rPr>
            <sz val="8"/>
            <color indexed="81"/>
            <rFont val="Verdana"/>
            <family val="2"/>
          </rPr>
          <t xml:space="preserve"> by multiplying </t>
        </r>
        <r>
          <rPr>
            <b/>
            <sz val="8"/>
            <color indexed="81"/>
            <rFont val="Verdana"/>
            <family val="2"/>
          </rPr>
          <t>(c)</t>
        </r>
        <r>
          <rPr>
            <sz val="8"/>
            <color indexed="81"/>
            <rFont val="Verdana"/>
            <family val="2"/>
          </rPr>
          <t xml:space="preserve"> by the appropriate discount factor. Transfer the PV of travel time cost savings for the preferred option </t>
        </r>
        <r>
          <rPr>
            <b/>
            <sz val="8"/>
            <color indexed="81"/>
            <rFont val="Verdana"/>
            <family val="2"/>
          </rPr>
          <t>C</t>
        </r>
        <r>
          <rPr>
            <sz val="8"/>
            <color indexed="81"/>
            <rFont val="Verdana"/>
            <family val="2"/>
          </rPr>
          <t xml:space="preserve">, to </t>
        </r>
        <r>
          <rPr>
            <b/>
            <sz val="8"/>
            <color indexed="81"/>
            <rFont val="Verdana"/>
            <family val="2"/>
          </rPr>
          <t>C</t>
        </r>
        <r>
          <rPr>
            <sz val="8"/>
            <color indexed="81"/>
            <rFont val="Verdana"/>
            <family val="2"/>
          </rPr>
          <t xml:space="preserve"> on worksheet 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184FF647-70A3-4E78-86CF-E9115F60A349}">
      <text>
        <r>
          <rPr>
            <sz val="8"/>
            <color indexed="81"/>
            <rFont val="Verdana"/>
            <family val="2"/>
          </rPr>
          <t xml:space="preserve">1. Enter the base data required for analysis of VOC savings. Table SP3.1 provides the base VOCs (CB) in cents/km for different gradients and mean vehicle speeds, while table SP3.2 provides roughness costs (CR) in cents/km for different road roughness.
</t>
        </r>
      </text>
    </comment>
    <comment ref="B19" authorId="0" shapeId="0" xr:uid="{C9965A15-7FE8-4C92-8AC9-A82736596263}">
      <text>
        <r>
          <rPr>
            <sz val="8"/>
            <color indexed="81"/>
            <rFont val="Verdana"/>
            <family val="2"/>
          </rPr>
          <t xml:space="preserve">2. Calculate the annual VOCs </t>
        </r>
        <r>
          <rPr>
            <b/>
            <sz val="8"/>
            <color indexed="81"/>
            <rFont val="Verdana"/>
            <family val="2"/>
          </rPr>
          <t>(a)</t>
        </r>
        <r>
          <rPr>
            <sz val="8"/>
            <color indexed="81"/>
            <rFont val="Verdana"/>
            <family val="2"/>
          </rPr>
          <t xml:space="preserve"> for the do-minimum using the formula provided.</t>
        </r>
      </text>
    </comment>
    <comment ref="B23" authorId="0" shapeId="0" xr:uid="{5471D7CD-7528-4BE4-A438-C077CA5720A3}">
      <text>
        <r>
          <rPr>
            <sz val="8"/>
            <color indexed="81"/>
            <rFont val="Verdana"/>
            <family val="2"/>
          </rPr>
          <t xml:space="preserve">3. Calculate the annual VOCs </t>
        </r>
        <r>
          <rPr>
            <b/>
            <sz val="8"/>
            <color indexed="81"/>
            <rFont val="Verdana"/>
            <family val="2"/>
          </rPr>
          <t>(b)</t>
        </r>
        <r>
          <rPr>
            <sz val="8"/>
            <color indexed="81"/>
            <rFont val="Verdana"/>
            <family val="2"/>
          </rPr>
          <t xml:space="preserve"> for the option using the formula provided.</t>
        </r>
      </text>
    </comment>
    <comment ref="B27" authorId="0" shapeId="0" xr:uid="{CA1BBE44-62A0-4576-986D-419A14FD45DB}">
      <text>
        <r>
          <rPr>
            <sz val="8"/>
            <color indexed="81"/>
            <rFont val="Verdana"/>
            <family val="2"/>
          </rPr>
          <t xml:space="preserve">4. Calculate the annual VOC savings by subtracting the VOCs for the option </t>
        </r>
        <r>
          <rPr>
            <b/>
            <sz val="8"/>
            <color indexed="81"/>
            <rFont val="Verdana"/>
            <family val="2"/>
          </rPr>
          <t>(b)</t>
        </r>
        <r>
          <rPr>
            <sz val="8"/>
            <color indexed="81"/>
            <rFont val="Verdana"/>
            <family val="2"/>
          </rPr>
          <t xml:space="preserve"> from the do-minimum VOCs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B29" authorId="0" shapeId="0" xr:uid="{FE15281B-B9B5-46AD-8ABC-5D5E61303E7A}">
      <text>
        <r>
          <rPr>
            <sz val="8"/>
            <color indexed="81"/>
            <rFont val="Verdana"/>
            <family val="2"/>
          </rPr>
          <t xml:space="preserve">5. Determine the PV of the annual VOC savings </t>
        </r>
        <r>
          <rPr>
            <b/>
            <sz val="8"/>
            <color indexed="81"/>
            <rFont val="Verdana"/>
            <family val="2"/>
          </rPr>
          <t>D</t>
        </r>
        <r>
          <rPr>
            <sz val="8"/>
            <color indexed="81"/>
            <rFont val="Verdana"/>
            <family val="2"/>
          </rPr>
          <t xml:space="preserve">, multiplying </t>
        </r>
        <r>
          <rPr>
            <b/>
            <sz val="8"/>
            <color indexed="81"/>
            <rFont val="Verdana"/>
            <family val="2"/>
          </rPr>
          <t>(c)</t>
        </r>
        <r>
          <rPr>
            <sz val="8"/>
            <color indexed="81"/>
            <rFont val="Verdana"/>
            <family val="2"/>
          </rPr>
          <t xml:space="preserve"> by the appropriate discount factor. Transfer PV of vehicle operating cost savings for the preferred option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in worksheet 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A15" authorId="0" shapeId="0" xr:uid="{36EDD523-D3D3-44D5-BFEF-23F1B9AF43CF}">
      <text>
        <r>
          <rPr>
            <sz val="8"/>
            <color indexed="81"/>
            <rFont val="Tahoma"/>
            <family val="2"/>
          </rPr>
          <t>3. Enter number of years of typical crash rate records</t>
        </r>
      </text>
    </comment>
    <comment ref="A16" authorId="0" shapeId="0" xr:uid="{84406BD2-4500-4C48-8987-B82D867C984C}">
      <text>
        <r>
          <rPr>
            <sz val="8"/>
            <color indexed="81"/>
            <rFont val="Tahoma"/>
            <family val="2"/>
          </rPr>
          <t>4. Enter the number of reported crashes in the reporting period for each of the severity categories</t>
        </r>
      </text>
    </comment>
    <comment ref="A17" authorId="0" shapeId="0" xr:uid="{E9362CD3-D9C7-4F61-B46A-2A923BA1A957}">
      <text>
        <r>
          <rPr>
            <sz val="8"/>
            <color indexed="81"/>
            <rFont val="Tahoma"/>
            <family val="2"/>
          </rPr>
          <t>5. If the number of fatal and serious crashes at the site is greater than the limiting number specified in figure A1, leave line (5) blank and go to line (6). Otherwise, in line (5) enter the ratio of fatal/(fatal + serious) and serious/(fatal + serious) from tables A15, A16, or A17 (all movements, all vehicles).</t>
        </r>
      </text>
    </comment>
    <comment ref="A18" authorId="0" shapeId="0" xr:uid="{36E13D8F-7674-42FC-9E2B-7E0DBAB47CB6}">
      <text>
        <r>
          <rPr>
            <sz val="8"/>
            <color indexed="81"/>
            <rFont val="Tahoma"/>
            <family val="2"/>
          </rPr>
          <t>6. Multiply the total fatal + serious crashes (4) by the ratios (5) to get the adjusted fatal and serious crashes (6) for the reporting period. For minor and non–injury crashes transfer the crash numbers from (4).</t>
        </r>
      </text>
    </comment>
    <comment ref="A19" authorId="0" shapeId="0" xr:uid="{FB44B7C2-3D71-46C3-A88C-834580BDE7C3}">
      <text>
        <r>
          <rPr>
            <sz val="8"/>
            <color indexed="81"/>
            <rFont val="Tahoma"/>
            <family val="2"/>
          </rPr>
          <t>7. To get the crashes per year, divide (6) by (3).</t>
        </r>
      </text>
    </comment>
    <comment ref="A20" authorId="0" shapeId="0" xr:uid="{864D9490-EDB5-4232-ABE2-5CC923E78C90}">
      <text>
        <r>
          <rPr>
            <sz val="8"/>
            <color indexed="81"/>
            <rFont val="Tahoma"/>
            <family val="2"/>
          </rPr>
          <t>8. Enter the adjustment factor for the crash trend from table A13</t>
        </r>
      </text>
    </comment>
    <comment ref="A21" authorId="0" shapeId="0" xr:uid="{1FD54484-6F7B-46E8-A550-6A069941E5B9}">
      <text>
        <r>
          <rPr>
            <sz val="8"/>
            <color indexed="81"/>
            <rFont val="Tahoma"/>
            <family val="2"/>
          </rPr>
          <t>9. Multiply (7) by (8) to obtain the crashes per year (at time zero) for each crash category</t>
        </r>
      </text>
    </comment>
    <comment ref="A22" authorId="0" shapeId="0" xr:uid="{5061F435-B78C-4558-B422-2870BD37BD4B}">
      <text>
        <r>
          <rPr>
            <sz val="8"/>
            <color indexed="81"/>
            <rFont val="Tahoma"/>
            <family val="2"/>
          </rPr>
          <t>10. Enter the under–reporting factors from tables A13 and A14</t>
        </r>
      </text>
    </comment>
    <comment ref="A23" authorId="0" shapeId="0" xr:uid="{8309D911-53CB-4CF2-8339-34FE38769A87}">
      <text>
        <r>
          <rPr>
            <sz val="8"/>
            <color indexed="81"/>
            <rFont val="Tahoma"/>
            <family val="2"/>
          </rPr>
          <t>11. Multiply (9) by (10) to get the total estimated crashes per year</t>
        </r>
      </text>
    </comment>
    <comment ref="A24" authorId="0" shapeId="0" xr:uid="{20E3D7D0-AD84-41CE-B1B9-5FBA311A8DF0}">
      <text>
        <r>
          <rPr>
            <sz val="8"/>
            <color indexed="81"/>
            <rFont val="Tahoma"/>
            <family val="2"/>
          </rPr>
          <t>12. Enter the crash costs for 100km/h speed limit for each crash category (all movements, all vehicles) from the table A24-A27</t>
        </r>
      </text>
    </comment>
    <comment ref="A25" authorId="0" shapeId="0" xr:uid="{E364796E-13AB-4385-A905-7830A677F8E0}">
      <text>
        <r>
          <rPr>
            <sz val="8"/>
            <color indexed="81"/>
            <rFont val="Tahoma"/>
            <family val="2"/>
          </rPr>
          <t xml:space="preserve">13. Enter the crash costs for 50 km/h speed limit for each crash category (all movements, all vehicles) from the table A20-A23 </t>
        </r>
      </text>
    </comment>
    <comment ref="A26" authorId="0" shapeId="0" xr:uid="{69B81AF2-9122-4DBF-83CC-C75639B2B48F}">
      <text>
        <r>
          <rPr>
            <sz val="8"/>
            <color indexed="81"/>
            <rFont val="Tahoma"/>
            <family val="2"/>
          </rPr>
          <t>14. Calculate the mean speed adjustment for the do minimum [((1) – 50) divided by 50]</t>
        </r>
      </text>
    </comment>
    <comment ref="A27" authorId="0" shapeId="0" xr:uid="{3CEE1F7F-A5E4-4DB1-81DB-7E98E4330F7D}">
      <text>
        <r>
          <rPr>
            <sz val="8"/>
            <color indexed="81"/>
            <rFont val="Tahoma"/>
            <family val="2"/>
          </rPr>
          <t>15. Calculate the cost per crash for the do minimum by adding (13) and (14) and then multiplying this by the difference between crash costs in (12) and (13).</t>
        </r>
      </text>
    </comment>
    <comment ref="A28" authorId="0" shapeId="0" xr:uid="{E49BEA20-5916-4192-BB64-C9A3DD4E3AF4}">
      <text>
        <r>
          <rPr>
            <sz val="8"/>
            <color indexed="81"/>
            <rFont val="Tahoma"/>
            <family val="2"/>
          </rPr>
          <t>16. Multiply crashes per year (11) by (15) to get cost per crash per year</t>
        </r>
      </text>
    </comment>
    <comment ref="A29" authorId="0" shapeId="0" xr:uid="{B14F1D00-59A3-48F8-ACD6-D0B0A8F03FAB}">
      <text>
        <r>
          <rPr>
            <sz val="8"/>
            <color indexed="81"/>
            <rFont val="Tahoma"/>
            <family val="2"/>
          </rPr>
          <t>17. Add the costs for fatal, serious, minor and non–injury crashes in line (16) to get the total crash cost per year</t>
        </r>
      </text>
    </comment>
    <comment ref="A31" authorId="0" shapeId="0" xr:uid="{9285FC82-BB52-41E4-A769-C53147701064}">
      <text>
        <r>
          <rPr>
            <sz val="8"/>
            <color indexed="81"/>
            <rFont val="Tahoma"/>
            <family val="2"/>
          </rPr>
          <t xml:space="preserve">18. Determine the forecast percentage crash reduction for each crash category </t>
        </r>
      </text>
    </comment>
    <comment ref="A32" authorId="0" shapeId="0" xr:uid="{EA14B4FA-AF1D-414D-AF51-DDFACEBD0386}">
      <text>
        <r>
          <rPr>
            <sz val="8"/>
            <color indexed="81"/>
            <rFont val="Tahoma"/>
            <family val="2"/>
          </rPr>
          <t>19. Determine the proportion of crashes remaining [100% minus the percentage reduction in (18)]</t>
        </r>
      </text>
    </comment>
    <comment ref="A33" authorId="0" shapeId="0" xr:uid="{B369301B-4948-4452-BD49-D05E1CB04A74}">
      <text>
        <r>
          <rPr>
            <sz val="8"/>
            <color indexed="81"/>
            <rFont val="Tahoma"/>
            <family val="2"/>
          </rPr>
          <t>20. Calculate the predicted crashes per year by multiplying the crashes per year of the do minimum (11) by the percentage of crashes remaining (19)</t>
        </r>
      </text>
    </comment>
    <comment ref="A34" authorId="0" shapeId="0" xr:uid="{8A3AA893-05C1-4343-8DE0-F99935FDC1CA}">
      <text>
        <r>
          <rPr>
            <sz val="8"/>
            <color indexed="81"/>
            <rFont val="Tahoma"/>
            <family val="2"/>
          </rPr>
          <t>21. Repeat the calculations from lines (12) through (15), in lines (21) through (24) using the option mean speed (2), to obtain the cost per crash for the option (24)</t>
        </r>
      </text>
    </comment>
    <comment ref="A38" authorId="0" shapeId="0" xr:uid="{2EAC2A33-BB19-4AF4-8F5E-D39654F29050}">
      <text>
        <r>
          <rPr>
            <sz val="8"/>
            <color indexed="81"/>
            <rFont val="Tahoma"/>
            <family val="2"/>
          </rPr>
          <t>25. Multiply the predicted number of crashes per year (20) by the cost per crash (24) to get the total crash costs per year for each crash category</t>
        </r>
      </text>
    </comment>
    <comment ref="A39" authorId="0" shapeId="0" xr:uid="{37DB728E-B66A-4F15-B5F5-4F9B877236CF}">
      <text>
        <r>
          <rPr>
            <sz val="8"/>
            <color indexed="81"/>
            <rFont val="Tahoma"/>
            <family val="2"/>
          </rPr>
          <t xml:space="preserve">26. Add together the costs for fatal, serious, minor and non–injury crashes to get total crash costs per year </t>
        </r>
      </text>
    </comment>
    <comment ref="A40" authorId="0" shapeId="0" xr:uid="{7E7A3679-1A4D-4EA2-B9AC-23B9BB43B1D9}">
      <text>
        <r>
          <rPr>
            <sz val="8"/>
            <color indexed="81"/>
            <rFont val="Tahoma"/>
            <family val="2"/>
          </rPr>
          <t xml:space="preserve">27. Calculate the annual crash cost savings by subtracting the values in (26) from (17). </t>
        </r>
      </text>
    </comment>
    <comment ref="A41" authorId="0" shapeId="0" xr:uid="{69A51EB7-E867-4C3D-80AD-E75F79680197}">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A42" authorId="0" shapeId="0" xr:uid="{7E7D5300-A27B-4F4F-9938-478C3C7EE9CE}">
      <text>
        <r>
          <rPr>
            <sz val="8"/>
            <color indexed="81"/>
            <rFont val="Tahoma"/>
            <family val="2"/>
          </rPr>
          <t>Transfer this total, E for the preferred option to worksheet 1.</t>
        </r>
      </text>
    </comment>
  </commentList>
</comments>
</file>

<file path=xl/sharedStrings.xml><?xml version="1.0" encoding="utf-8"?>
<sst xmlns="http://schemas.openxmlformats.org/spreadsheetml/2006/main" count="2147" uniqueCount="922">
  <si>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</si>
  <si>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</si>
  <si>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</si>
  <si>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</si>
  <si>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</si>
  <si>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</si>
  <si>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</si>
  <si>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</si>
  <si>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</si>
  <si>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</si>
  <si>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</si>
  <si>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</si>
  <si>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</si>
  <si>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</si>
  <si>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</si>
  <si>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</si>
  <si>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</si>
  <si>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</si>
  <si>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</si>
  <si>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</si>
  <si>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BCR (excluding WEBs)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</si>
  <si>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</si>
  <si>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</si>
  <si>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</si>
  <si>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</si>
  <si>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</si>
  <si>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</si>
  <si>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</si>
  <si>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</si>
  <si>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</si>
  <si>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</si>
  <si>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</si>
  <si>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</si>
  <si>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</si>
  <si>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</si>
  <si>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</si>
  <si>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</si>
  <si>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</si>
  <si>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</si>
  <si>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</si>
  <si>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</si>
  <si>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</si>
  <si>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</si>
  <si>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</si>
  <si>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</si>
  <si>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</si>
  <si>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</si>
  <si>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</si>
  <si>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</si>
  <si>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</si>
  <si>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</si>
  <si>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</si>
  <si>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</si>
  <si>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</si>
  <si>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</si>
  <si>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</si>
  <si>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</si>
  <si>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</si>
  <si>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</si>
  <si>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</si>
  <si>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</si>
  <si>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</si>
  <si>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</si>
  <si>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</si>
  <si>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</si>
  <si>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</si>
  <si>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</si>
  <si>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</si>
  <si>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</si>
  <si>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</si>
  <si>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</si>
  <si>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</si>
  <si>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</si>
  <si>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</si>
  <si>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</si>
  <si>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</si>
  <si>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</si>
  <si>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</si>
  <si>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</si>
  <si>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</si>
  <si>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</si>
  <si>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</si>
  <si>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</si>
  <si>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</si>
  <si>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</si>
  <si>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</si>
  <si>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</si>
  <si>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</si>
  <si>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</si>
  <si>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</si>
  <si>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</si>
  <si>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</si>
  <si>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</si>
  <si>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</si>
  <si>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</si>
  <si>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</si>
  <si>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</si>
  <si>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</si>
  <si>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</si>
  <si>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</si>
  <si>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</si>
  <si>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</si>
  <si>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</si>
  <si>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</si>
  <si>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</si>
  <si>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</si>
  <si>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</si>
  <si>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</si>
  <si>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</si>
  <si>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</si>
  <si>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</si>
  <si>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</si>
  <si>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</si>
  <si>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</si>
  <si>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</si>
  <si>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</si>
  <si>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</si>
  <si>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</si>
  <si>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</si>
  <si>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</si>
  <si>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</si>
  <si>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</si>
  <si>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</si>
  <si>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</si>
  <si>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</si>
  <si>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</si>
  <si>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</si>
  <si>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</si>
  <si>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</si>
  <si>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</si>
  <si>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</si>
  <si>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</si>
  <si>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</si>
  <si>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</si>
  <si>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</si>
  <si>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</si>
  <si>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 xml:space="preserve">Base year </t>
  </si>
  <si>
    <t>Traffic growth</t>
  </si>
  <si>
    <t>Period of analysis</t>
  </si>
  <si>
    <t>Uniform series conversion factor</t>
  </si>
  <si>
    <t>Arithmetic series conversion factor</t>
  </si>
  <si>
    <t>Bespoke</t>
  </si>
  <si>
    <t>Blank</t>
  </si>
  <si>
    <t>USPWF(1)</t>
  </si>
  <si>
    <t>USPWF(E)</t>
  </si>
  <si>
    <t>AGPWF(E)</t>
  </si>
  <si>
    <t>AGPWF(1)</t>
  </si>
  <si>
    <t>Conversion factor (discounted to real)</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</si>
  <si>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</si>
  <si>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</si>
  <si>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</si>
  <si>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</si>
  <si>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</si>
  <si>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</si>
  <si>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</si>
  <si>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</si>
  <si>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</si>
  <si>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</si>
  <si>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</si>
  <si>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</si>
  <si>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</si>
  <si>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</si>
  <si>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</si>
  <si>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</si>
  <si>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</si>
  <si>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</si>
  <si>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</si>
  <si>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</si>
  <si>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</si>
  <si>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</si>
  <si>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</si>
  <si>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</si>
  <si>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</si>
  <si>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</si>
  <si>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</si>
  <si>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</si>
  <si>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</si>
  <si>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</si>
  <si>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</si>
  <si>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</si>
  <si>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</si>
  <si>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</si>
  <si>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</si>
  <si>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</si>
  <si>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</si>
  <si>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</si>
  <si>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</si>
  <si>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</si>
  <si>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</si>
  <si>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</si>
  <si>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</si>
  <si>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</si>
  <si>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</si>
  <si>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</si>
  <si>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</si>
  <si>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</si>
  <si>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</si>
  <si>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</si>
  <si>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</si>
  <si>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</si>
  <si>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</si>
  <si>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</si>
  <si>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</si>
  <si>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</si>
  <si>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</si>
  <si>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</si>
  <si>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</si>
  <si>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</si>
  <si>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</si>
  <si>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</si>
  <si>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</si>
  <si>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</si>
  <si>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</si>
  <si>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</si>
  <si>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</si>
  <si>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</si>
  <si>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</si>
  <si>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</si>
  <si>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</si>
  <si>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</si>
  <si>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</si>
  <si>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</si>
  <si>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</si>
  <si>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</si>
  <si>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</si>
  <si>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</si>
  <si>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</si>
  <si>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</si>
  <si>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</si>
  <si>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</si>
  <si>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</si>
  <si>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</si>
  <si>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</si>
  <si>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</si>
  <si>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</si>
  <si>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</si>
  <si>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</si>
  <si>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</si>
  <si>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</si>
  <si>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</si>
  <si>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</si>
  <si>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</si>
  <si>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</si>
  <si>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</si>
  <si>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</si>
  <si>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</si>
  <si>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</si>
  <si>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</si>
  <si>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</si>
  <si>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</si>
  <si>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</si>
  <si>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</si>
  <si>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</si>
  <si>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</si>
  <si>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</si>
  <si>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</si>
  <si>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</si>
  <si>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</si>
  <si>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</si>
  <si>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</si>
  <si>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</si>
  <si>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</si>
  <si>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</si>
  <si>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</si>
  <si>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</si>
  <si>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</si>
  <si>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</si>
  <si>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</si>
  <si>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</si>
  <si>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</si>
  <si>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</si>
  <si>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</si>
  <si>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</si>
  <si>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</si>
  <si>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</si>
  <si>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</si>
  <si>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</si>
  <si>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</si>
  <si>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</si>
  <si>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</si>
  <si>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Present Value</t>
  </si>
  <si>
    <t>Total Value (undiscounted)</t>
  </si>
  <si>
    <t>PV_FUNDING_ASSIST</t>
  </si>
  <si>
    <t>Travel time cost savings</t>
  </si>
  <si>
    <t>TRAVEL_TIME_COST_SAVINGS</t>
  </si>
  <si>
    <t>present</t>
  </si>
  <si>
    <t>Vehicle operating cost savings</t>
  </si>
  <si>
    <t>VEHICLE_OP_COST_SAVINGS</t>
  </si>
  <si>
    <t>Crash cost 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</si>
  <si>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</si>
  <si>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</si>
  <si>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</si>
  <si>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</si>
  <si>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</si>
  <si>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</si>
  <si>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</si>
  <si>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</si>
  <si>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</si>
  <si>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</si>
  <si>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</si>
  <si>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</si>
  <si>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</si>
  <si>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</si>
  <si>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</si>
  <si>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</si>
  <si>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</si>
  <si>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</si>
  <si>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</si>
  <si>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</si>
  <si>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</si>
  <si>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</si>
  <si>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</si>
  <si>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</si>
  <si>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</si>
  <si>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</si>
  <si>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</si>
  <si>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</si>
  <si>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</si>
  <si>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</si>
  <si>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</si>
  <si>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</si>
  <si>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</si>
  <si>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</si>
  <si>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</si>
  <si>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</si>
  <si>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</si>
  <si>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</si>
  <si>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</si>
  <si>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</si>
  <si>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</si>
  <si>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</si>
  <si>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</si>
  <si>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</si>
  <si>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</si>
  <si>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</si>
  <si>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</si>
  <si>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</si>
  <si>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</si>
  <si>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</si>
  <si>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</si>
  <si>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</si>
  <si>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</si>
  <si>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</si>
  <si>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</si>
  <si>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t>Northland</t>
  </si>
  <si>
    <t>Auckland</t>
  </si>
  <si>
    <t>Waikato</t>
  </si>
  <si>
    <r>
      <t>-</t>
    </r>
    <r>
      <rPr>
        <b/>
        <sz val="10"/>
        <rFont val="Verdana"/>
        <family val="2"/>
      </rPr>
      <t>pale yellow, non-bordered cells</t>
    </r>
    <r>
      <rPr>
        <sz val="10"/>
        <rFont val="Verdana"/>
        <family val="2"/>
      </rPr>
      <t xml:space="preserve"> are generally open for overlaying or inputting data or information as required</t>
    </r>
  </si>
  <si>
    <t>Gisborne</t>
  </si>
  <si>
    <r>
      <t>-</t>
    </r>
    <r>
      <rPr>
        <b/>
        <sz val="10"/>
        <rFont val="Verdana"/>
        <family val="2"/>
      </rPr>
      <t>white, non-bordered cells</t>
    </r>
    <r>
      <rPr>
        <sz val="10"/>
        <rFont val="Verdana"/>
        <family val="2"/>
      </rPr>
      <t xml:space="preserve"> are generally auto-populate cells and their data are calculated/transferred from other cells</t>
    </r>
  </si>
  <si>
    <t>Hawkes Bay</t>
  </si>
  <si>
    <r>
      <t>-</t>
    </r>
    <r>
      <rPr>
        <b/>
        <sz val="10"/>
        <rFont val="Verdana"/>
        <family val="2"/>
      </rPr>
      <t>green, black bordered cells</t>
    </r>
    <r>
      <rPr>
        <sz val="10"/>
        <rFont val="Verdana"/>
        <family val="2"/>
      </rPr>
      <t xml:space="preserve"> are providing further guidance or links for external resources.</t>
    </r>
  </si>
  <si>
    <t>Taranaki</t>
  </si>
  <si>
    <t>Manawatu-Wanganui</t>
  </si>
  <si>
    <t>Wellington</t>
  </si>
  <si>
    <t>Worksheet title (and link):</t>
  </si>
  <si>
    <t>Marlborough</t>
  </si>
  <si>
    <t xml:space="preserve">    a brief description</t>
  </si>
  <si>
    <t>Nelson</t>
  </si>
  <si>
    <t>Canterbury</t>
  </si>
  <si>
    <t xml:space="preserve">   - Provides a summary of the general data used for the evaluation as well as the results of the analysis.</t>
  </si>
  <si>
    <t>West Coast</t>
  </si>
  <si>
    <t xml:space="preserve"> </t>
  </si>
  <si>
    <t>Otago</t>
  </si>
  <si>
    <t>Southland</t>
  </si>
  <si>
    <t xml:space="preserve">   - This worksheet is used to calculate the PV costs of the option 1. A separate worksheet is required for each option evaluated. Up to 3 options in addition to do-minimum can be evaluated.</t>
  </si>
  <si>
    <t xml:space="preserve">   - This worksheet is used to calculate the PV costs of the option 2. Not required if there is no option 2.</t>
  </si>
  <si>
    <t xml:space="preserve">   - This worksheet is used to calculate the PV costs of the option 3. Not required if there is no option 3.</t>
  </si>
  <si>
    <t xml:space="preserve">   - This worksheet is used for calculating travel time cost savings.</t>
  </si>
  <si>
    <r>
      <t xml:space="preserve">   - This worksheet is used for calculating crash cost savings using </t>
    </r>
    <r>
      <rPr>
        <b/>
        <sz val="10"/>
        <rFont val="Verdana"/>
        <family val="2"/>
      </rPr>
      <t>crash-by-crash analysis</t>
    </r>
    <r>
      <rPr>
        <sz val="10"/>
        <rFont val="Verdana"/>
        <family val="2"/>
      </rPr>
      <t xml:space="preserve"> method (method A in appendix A6).</t>
    </r>
  </si>
  <si>
    <t xml:space="preserve">   - This worksheet is used for relative comparison of the options.</t>
  </si>
  <si>
    <t xml:space="preserve">Worksheet Completion Steps: </t>
  </si>
  <si>
    <t xml:space="preserve">Spreadsheet problems? </t>
  </si>
  <si>
    <t>Email: MBCM@nzta.govt.nz</t>
  </si>
  <si>
    <t>Worksheet 1 - Evaluation summary</t>
  </si>
  <si>
    <t>Evaluator(s)</t>
  </si>
  <si>
    <t>Reviewer(s)</t>
  </si>
  <si>
    <t>Approved organisation name</t>
  </si>
  <si>
    <t>Your reference</t>
  </si>
  <si>
    <t>Activity description</t>
  </si>
  <si>
    <t>Describe the issues to be addressed</t>
  </si>
  <si>
    <t>Brief description of location</t>
  </si>
  <si>
    <t>Alternatives and options</t>
  </si>
  <si>
    <t>Describe the do-minimum</t>
  </si>
  <si>
    <t>Summarise the options assessed</t>
  </si>
  <si>
    <t>Timing</t>
  </si>
  <si>
    <t>Time zero (assumed construction start date)</t>
  </si>
  <si>
    <t>1 July</t>
  </si>
  <si>
    <t>Expected duration of construction (months)</t>
  </si>
  <si>
    <t>Economic efficiency</t>
  </si>
  <si>
    <t>Date economic evaluation completed (mm/yyyy)</t>
  </si>
  <si>
    <t>Base date for costs and benefits</t>
  </si>
  <si>
    <t>PV cost of do-minimum</t>
  </si>
  <si>
    <t>A</t>
  </si>
  <si>
    <t>PV cost of the preferred option</t>
  </si>
  <si>
    <t>B</t>
  </si>
  <si>
    <t>Benefit values from worksheet 4, 5, 6</t>
  </si>
  <si>
    <t xml:space="preserve">PV travel time cost savings  </t>
  </si>
  <si>
    <r>
      <t>C</t>
    </r>
    <r>
      <rPr>
        <sz val="8"/>
        <rFont val="Verdana"/>
        <family val="2"/>
      </rPr>
      <t xml:space="preserve"> x Update factor </t>
    </r>
    <r>
      <rPr>
        <vertAlign val="superscript"/>
        <sz val="8"/>
        <rFont val="Verdana"/>
        <family val="2"/>
      </rPr>
      <t>TT</t>
    </r>
  </si>
  <si>
    <t>= $</t>
  </si>
  <si>
    <t>Y</t>
  </si>
  <si>
    <t>Z</t>
  </si>
  <si>
    <r>
      <t>BCR</t>
    </r>
    <r>
      <rPr>
        <vertAlign val="subscript"/>
        <sz val="8"/>
        <rFont val="Verdana"/>
        <family val="2"/>
      </rPr>
      <t>N</t>
    </r>
    <r>
      <rPr>
        <sz val="8"/>
        <rFont val="Verdana"/>
        <family val="2"/>
      </rPr>
      <t xml:space="preserve">   =</t>
    </r>
  </si>
  <si>
    <t>PV net benefits</t>
  </si>
  <si>
    <t>=</t>
  </si>
  <si>
    <t>3% DR</t>
  </si>
  <si>
    <t>6% DR</t>
  </si>
  <si>
    <t>B - A</t>
  </si>
  <si>
    <t>FYRR   =</t>
  </si>
  <si>
    <t>Worksheet 2 - Cost of do-minimum</t>
  </si>
  <si>
    <t>Historic maintenance cost data (indicate whether assessed or actual)</t>
  </si>
  <si>
    <t>Maintenance costs for the site over last three years</t>
  </si>
  <si>
    <t>Year 1</t>
  </si>
  <si>
    <t>Year 2</t>
  </si>
  <si>
    <t>Year 3</t>
  </si>
  <si>
    <t>Maintenance costs for the site this year</t>
  </si>
  <si>
    <t>Future annual maintenance costs</t>
  </si>
  <si>
    <t>PV of annual maintenance and inspection costs following the work</t>
  </si>
  <si>
    <t>x</t>
  </si>
  <si>
    <t>(a)</t>
  </si>
  <si>
    <t>Time zero</t>
  </si>
  <si>
    <t>1st July in the year</t>
  </si>
  <si>
    <t>Periodic maintenance will be required in the following years:</t>
  </si>
  <si>
    <t>Year</t>
  </si>
  <si>
    <t>Type of maintenance</t>
  </si>
  <si>
    <t>Amount $</t>
  </si>
  <si>
    <t>SPPWF</t>
  </si>
  <si>
    <t>Present value</t>
  </si>
  <si>
    <t>Sum of PV of periodic maintenance $</t>
  </si>
  <si>
    <t>(b)</t>
  </si>
  <si>
    <t>(c)</t>
  </si>
  <si>
    <r>
      <t xml:space="preserve">Transfer the PV cost of do 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</si>
  <si>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t>Assessed</t>
  </si>
  <si>
    <t>Actual</t>
  </si>
  <si>
    <t>Worksheet 3 - Cost of the option(s)</t>
  </si>
  <si>
    <t>PV of estimated cost of proposed work (as per attached estimate sheet)</t>
  </si>
  <si>
    <t xml:space="preserve"> =   $</t>
  </si>
  <si>
    <t>PV of maintenance in year 1</t>
  </si>
  <si>
    <t>(years 2 to</t>
  </si>
  <si>
    <t xml:space="preserve"> inclusive) $</t>
  </si>
  <si>
    <t>PV of periodic maintenance costs</t>
  </si>
  <si>
    <t>Sum of PV of periodic maintenance costs = $</t>
  </si>
  <si>
    <t>(d)</t>
  </si>
  <si>
    <t>PV cost of additional annual maintenance</t>
  </si>
  <si>
    <t>(e)</t>
  </si>
  <si>
    <r>
      <t xml:space="preserve">Transfer the PV total costs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</si>
  <si>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t>Worksheet 4 - Travel time cost savings</t>
  </si>
  <si>
    <t>Travel time data</t>
  </si>
  <si>
    <t>Do-minimum</t>
  </si>
  <si>
    <t>Option</t>
  </si>
  <si>
    <t>Length of route (km)</t>
  </si>
  <si>
    <r>
      <t>L</t>
    </r>
    <r>
      <rPr>
        <vertAlign val="superscript"/>
        <sz val="8"/>
        <rFont val="Verdana"/>
        <family val="2"/>
      </rPr>
      <t>dm</t>
    </r>
  </si>
  <si>
    <r>
      <t>L</t>
    </r>
    <r>
      <rPr>
        <vertAlign val="superscript"/>
        <sz val="8"/>
        <rFont val="Verdana"/>
        <family val="2"/>
      </rPr>
      <t>opt</t>
    </r>
  </si>
  <si>
    <r>
      <t>VS</t>
    </r>
    <r>
      <rPr>
        <vertAlign val="superscript"/>
        <sz val="8"/>
        <rFont val="Verdana"/>
        <family val="2"/>
      </rPr>
      <t>dm</t>
    </r>
  </si>
  <si>
    <r>
      <t>VS</t>
    </r>
    <r>
      <rPr>
        <vertAlign val="superscript"/>
        <sz val="8"/>
        <rFont val="Verdana"/>
        <family val="2"/>
      </rPr>
      <t>opt</t>
    </r>
  </si>
  <si>
    <r>
      <t>AADT x 365 x L</t>
    </r>
    <r>
      <rPr>
        <vertAlign val="superscript"/>
        <sz val="8"/>
        <rFont val="Verdana"/>
        <family val="2"/>
      </rPr>
      <t>dm</t>
    </r>
    <r>
      <rPr>
        <sz val="8"/>
        <rFont val="Verdana"/>
        <family val="2"/>
      </rPr>
      <t xml:space="preserve"> x TTC</t>
    </r>
  </si>
  <si>
    <r>
      <t>AADT x 365 x L</t>
    </r>
    <r>
      <rPr>
        <vertAlign val="superscript"/>
        <sz val="8"/>
        <rFont val="Verdana"/>
        <family val="2"/>
      </rPr>
      <t>opt</t>
    </r>
    <r>
      <rPr>
        <sz val="8"/>
        <rFont val="Verdana"/>
        <family val="2"/>
      </rPr>
      <t xml:space="preserve"> x TTC</t>
    </r>
  </si>
  <si>
    <r>
      <t>(a) - (b)</t>
    </r>
    <r>
      <rPr>
        <sz val="8"/>
        <rFont val="Verdana"/>
        <family val="2"/>
      </rPr>
      <t xml:space="preserve"> = $</t>
    </r>
  </si>
  <si>
    <t>PV of travel time cost savings</t>
  </si>
  <si>
    <r>
      <t>(c)</t>
    </r>
    <r>
      <rPr>
        <sz val="8"/>
        <rFont val="Verdana"/>
        <family val="2"/>
      </rPr>
      <t xml:space="preserve"> x DF</t>
    </r>
    <r>
      <rPr>
        <sz val="8"/>
        <rFont val="Verdana"/>
        <family val="2"/>
      </rPr>
      <t xml:space="preserve"> = $</t>
    </r>
  </si>
  <si>
    <t>C</t>
  </si>
  <si>
    <r>
      <t xml:space="preserve">Transfer the PV of travel time cost savings for the preferred option </t>
    </r>
    <r>
      <rPr>
        <b/>
        <sz val="8"/>
        <rFont val="Verdana"/>
        <family val="2"/>
      </rPr>
      <t>C</t>
    </r>
    <r>
      <rPr>
        <sz val="8"/>
        <rFont val="Verdana"/>
        <family val="2"/>
      </rPr>
      <t xml:space="preserve">, to </t>
    </r>
    <r>
      <rPr>
        <b/>
        <sz val="8"/>
        <rFont val="Verdana"/>
        <family val="2"/>
      </rPr>
      <t>C</t>
    </r>
    <r>
      <rPr>
        <sz val="8"/>
        <rFont val="Verdana"/>
        <family val="2"/>
      </rPr>
      <t xml:space="preserve"> on worksheet 1</t>
    </r>
  </si>
  <si>
    <t>F</t>
  </si>
  <si>
    <t>Worksheet 6 - Crash cost savings</t>
  </si>
  <si>
    <r>
      <t xml:space="preserve">These simplified procedures are </t>
    </r>
    <r>
      <rPr>
        <b/>
        <sz val="8"/>
        <rFont val="Verdana"/>
        <family val="2"/>
      </rPr>
      <t>suitable only</t>
    </r>
    <r>
      <rPr>
        <sz val="8"/>
        <rFont val="Verdana"/>
        <family val="2"/>
      </rPr>
      <t xml:space="preserve"> for </t>
    </r>
    <r>
      <rPr>
        <b/>
        <sz val="8"/>
        <rFont val="Verdana"/>
        <family val="2"/>
      </rPr>
      <t xml:space="preserve">crash–by–crash analysis </t>
    </r>
    <r>
      <rPr>
        <sz val="8"/>
        <rFont val="Verdana"/>
        <family val="2"/>
      </rPr>
      <t>(method A in Appendix 2). There must be 5 years or more crash data for the site and the number and types of crashes must meet the specifications set out in Figure A1. If not, either the crash rate analysis (method B) or weighted crash procedure (method C) described in Appendix 2 should be used. The annual crash cost savings determined from such an evaluation are multiplied by the appropriate discount factor and entered in worksheet 1 as total E. Evidence to support alternative analysis must be attached.</t>
    </r>
  </si>
  <si>
    <t>Movement category</t>
  </si>
  <si>
    <t>Lost control off road</t>
  </si>
  <si>
    <t>Vehicle involvement</t>
  </si>
  <si>
    <t>All vehicles</t>
  </si>
  <si>
    <t>Do-minimum mean speed</t>
  </si>
  <si>
    <t>Posted speed limit</t>
  </si>
  <si>
    <t>Option mean speed</t>
  </si>
  <si>
    <t>Factors for converting from reported injury crashes to total injury crashes</t>
  </si>
  <si>
    <t>Severity</t>
  </si>
  <si>
    <t>Non- injury</t>
  </si>
  <si>
    <t>Table A26</t>
  </si>
  <si>
    <t>Number of years of typical crash rate records</t>
  </si>
  <si>
    <t>Number of reported crashes over period</t>
  </si>
  <si>
    <t>50, 60 and 70 km/h speed limit</t>
  </si>
  <si>
    <t>Pedestrian</t>
  </si>
  <si>
    <t>Fatal/serious severity ratio (Tables A23, A24 and A25)</t>
  </si>
  <si>
    <t>Other</t>
  </si>
  <si>
    <r>
      <t xml:space="preserve">Number of reported crashes adjusted by severity </t>
    </r>
    <r>
      <rPr>
        <b/>
        <sz val="8"/>
        <rFont val="Verdana"/>
        <family val="2"/>
      </rPr>
      <t>(4)</t>
    </r>
    <r>
      <rPr>
        <sz val="8"/>
        <rFont val="Verdana"/>
        <family val="2"/>
      </rPr>
      <t xml:space="preserve"> x </t>
    </r>
    <r>
      <rPr>
        <b/>
        <sz val="8"/>
        <rFont val="Verdana"/>
        <family val="2"/>
      </rPr>
      <t>(5)</t>
    </r>
  </si>
  <si>
    <t>80 and 100 km/h speed limit   (excluding motorways)</t>
  </si>
  <si>
    <r>
      <t xml:space="preserve">Crashes per year = </t>
    </r>
    <r>
      <rPr>
        <b/>
        <sz val="8"/>
        <rFont val="Verdana"/>
        <family val="2"/>
      </rPr>
      <t>(6)</t>
    </r>
    <r>
      <rPr>
        <sz val="8"/>
        <rFont val="Verdana"/>
        <family val="2"/>
      </rPr>
      <t>/</t>
    </r>
    <r>
      <rPr>
        <b/>
        <sz val="8"/>
        <rFont val="Verdana"/>
        <family val="2"/>
      </rPr>
      <t>(3)</t>
    </r>
  </si>
  <si>
    <t>Adjustment factor for crash trend (Table A21)</t>
  </si>
  <si>
    <t>100 km/h speed limit  remote rural area</t>
  </si>
  <si>
    <r>
      <t>Adjusted crashes per year =</t>
    </r>
    <r>
      <rPr>
        <b/>
        <sz val="8"/>
        <rFont val="Verdana"/>
        <family val="2"/>
      </rPr>
      <t xml:space="preserve"> (7)</t>
    </r>
    <r>
      <rPr>
        <sz val="8"/>
        <rFont val="Verdana"/>
        <family val="2"/>
      </rPr>
      <t xml:space="preserve"> x </t>
    </r>
    <r>
      <rPr>
        <b/>
        <sz val="8"/>
        <rFont val="Verdana"/>
        <family val="2"/>
      </rPr>
      <t>(8)</t>
    </r>
  </si>
  <si>
    <t>All</t>
  </si>
  <si>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</si>
  <si>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A32 to A35)</t>
  </si>
  <si>
    <t>Factor for converting from reported non-injury crashes to total non-injury crashes</t>
  </si>
  <si>
    <t>Crash cost, 50km/h limit (Tables A28 to A31)</t>
  </si>
  <si>
    <r>
      <t>Mean speed adjustment = (</t>
    </r>
    <r>
      <rPr>
        <b/>
        <sz val="8"/>
        <rFont val="Verdana"/>
        <family val="2"/>
      </rPr>
      <t xml:space="preserve">(1) </t>
    </r>
    <r>
      <rPr>
        <sz val="8"/>
        <rFont val="Verdana"/>
        <family val="2"/>
      </rPr>
      <t xml:space="preserve"> - 50)/50</t>
    </r>
  </si>
  <si>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</si>
  <si>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t>Table A27</t>
  </si>
  <si>
    <r>
      <t xml:space="preserve">Crash cost per year = </t>
    </r>
    <r>
      <rPr>
        <b/>
        <sz val="8"/>
        <rFont val="Verdana"/>
        <family val="2"/>
      </rPr>
      <t>(11)</t>
    </r>
    <r>
      <rPr>
        <sz val="8"/>
        <rFont val="Verdana"/>
        <family val="2"/>
      </rPr>
      <t xml:space="preserve"> x </t>
    </r>
    <r>
      <rPr>
        <b/>
        <sz val="8"/>
        <rFont val="Verdana"/>
        <family val="2"/>
      </rPr>
      <t>(15)</t>
    </r>
  </si>
  <si>
    <t>Speed limit area</t>
  </si>
  <si>
    <t>50,60 or 70 km/h</t>
  </si>
  <si>
    <t xml:space="preserve">80 or 100 km/h </t>
  </si>
  <si>
    <r>
      <t xml:space="preserve">Total cost of crashes per year (sum of columns in row </t>
    </r>
    <r>
      <rPr>
        <b/>
        <sz val="8"/>
        <rFont val="Verdana"/>
        <family val="2"/>
      </rPr>
      <t>(16)</t>
    </r>
    <r>
      <rPr>
        <sz val="8"/>
        <rFont val="Verdana"/>
        <family val="2"/>
      </rPr>
      <t xml:space="preserve"> fatal + serious + minor + non-injury)</t>
    </r>
  </si>
  <si>
    <t>All movements</t>
  </si>
  <si>
    <t>Crash Estimation Compendium (Crash Estimation Compendium)</t>
  </si>
  <si>
    <r>
      <t xml:space="preserve">Predicted crashes per year </t>
    </r>
    <r>
      <rPr>
        <b/>
        <sz val="8"/>
        <rFont val="Verdana"/>
        <family val="2"/>
      </rPr>
      <t>(11)</t>
    </r>
    <r>
      <rPr>
        <sz val="8"/>
        <rFont val="Verdana"/>
        <family val="2"/>
      </rPr>
      <t xml:space="preserve"> x </t>
    </r>
    <r>
      <rPr>
        <b/>
        <sz val="8"/>
        <rFont val="Verdana"/>
        <family val="2"/>
      </rPr>
      <t>(19)</t>
    </r>
  </si>
  <si>
    <r>
      <t>Mean speed adjustment = (</t>
    </r>
    <r>
      <rPr>
        <b/>
        <sz val="8"/>
        <rFont val="Verdana"/>
        <family val="2"/>
      </rPr>
      <t>(2)</t>
    </r>
    <r>
      <rPr>
        <sz val="8"/>
        <rFont val="Verdana"/>
        <family val="2"/>
      </rPr>
      <t xml:space="preserve"> - 50)/50</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</si>
  <si>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</si>
  <si>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</si>
  <si>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</si>
  <si>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</si>
  <si>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</si>
  <si>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E</t>
  </si>
  <si>
    <r>
      <t xml:space="preserve">Transfer PV of crash cost savings, </t>
    </r>
    <r>
      <rPr>
        <b/>
        <sz val="8"/>
        <rFont val="Verdana"/>
        <family val="2"/>
      </rPr>
      <t>E</t>
    </r>
    <r>
      <rPr>
        <sz val="8"/>
        <rFont val="Verdana"/>
        <family val="2"/>
      </rPr>
      <t xml:space="preserve"> for the preferred option to </t>
    </r>
    <r>
      <rPr>
        <b/>
        <sz val="8"/>
        <rFont val="Verdana"/>
        <family val="2"/>
      </rPr>
      <t>E</t>
    </r>
    <r>
      <rPr>
        <sz val="8"/>
        <rFont val="Verdana"/>
        <family val="2"/>
      </rPr>
      <t xml:space="preserve"> on worksheet 1</t>
    </r>
  </si>
  <si>
    <t>Speed limit</t>
  </si>
  <si>
    <t>Traffic growth rate</t>
  </si>
  <si>
    <t>Base date</t>
  </si>
  <si>
    <t>Option A</t>
  </si>
  <si>
    <t>Option B</t>
  </si>
  <si>
    <t>Option C</t>
  </si>
  <si>
    <t>Benefits</t>
  </si>
  <si>
    <t>Target incremental BCR</t>
  </si>
  <si>
    <r>
      <t>MBCM</t>
    </r>
    <r>
      <rPr>
        <sz val="8"/>
        <rFont val="Verdana"/>
        <family val="2"/>
      </rPr>
      <t xml:space="preserve"> - Section 6.3</t>
    </r>
  </si>
  <si>
    <t>Base option for comparison</t>
  </si>
  <si>
    <t>Next higher cost option</t>
  </si>
  <si>
    <t>Incremental analysis</t>
  </si>
  <si>
    <t>Incremental analysis
1. Select the appropriate target incremental BCR from section 6.3 of the MBCM.
2. Rank the options in order of increasing cost.
3. Compare the lowest cost option with the next higher cost option to calculate the incremental BCR.
4. If the incremental BCR is less than the target incremental BCR, discard the second option in favour of the first and compare the first option with the next higher cost option.
5. If the incremental BCR is greater than the target incremental BCR, the second option becomes the basis for comparison against the next higher cost option.
6. Repeat the procedure until no higher cost options are available that have an incremental BCR greater than the target incremental BCR. The highest cost option with an incremental BCR greater than the target incremental BCR is generally the preferred option.</t>
  </si>
  <si>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</si>
  <si>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</si>
  <si>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</si>
  <si>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</si>
  <si>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</si>
  <si>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</si>
  <si>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Accident adjustment factor</t>
  </si>
  <si>
    <t>50 and 60 km/h</t>
  </si>
  <si>
    <t>70 km/h and above</t>
  </si>
  <si>
    <t>a</t>
  </si>
  <si>
    <t>b</t>
  </si>
  <si>
    <t>c</t>
  </si>
  <si>
    <t>speed</t>
  </si>
  <si>
    <t>growth</t>
  </si>
  <si>
    <t>d</t>
  </si>
  <si>
    <t>e</t>
  </si>
  <si>
    <t>f</t>
  </si>
  <si>
    <t>A6.9</t>
  </si>
  <si>
    <r>
      <t>Tables</t>
    </r>
    <r>
      <rPr>
        <sz val="9"/>
        <rFont val="Verdana"/>
        <family val="2"/>
      </rPr>
      <t>, continued</t>
    </r>
  </si>
  <si>
    <t>Table A6.19(a)</t>
  </si>
  <si>
    <t>Ratio of fatal to serious accident severities by movement for 50 km/h</t>
  </si>
  <si>
    <t>speed limit areas</t>
  </si>
  <si>
    <t>CAS movement codes</t>
  </si>
  <si>
    <t>Fatal/</t>
  </si>
  <si>
    <t>Serious/</t>
  </si>
  <si>
    <t>(fatal + serious)</t>
  </si>
  <si>
    <t xml:space="preserve">Head on </t>
  </si>
  <si>
    <t>AB,B</t>
  </si>
  <si>
    <t xml:space="preserve">Hit object </t>
  </si>
  <si>
    <t xml:space="preserve">Lost control off Road </t>
  </si>
  <si>
    <t>AD,CB,CC,CO,D</t>
  </si>
  <si>
    <t xml:space="preserve">Lost control on road </t>
  </si>
  <si>
    <t>CA</t>
  </si>
  <si>
    <t xml:space="preserve">Miscellaneous </t>
  </si>
  <si>
    <t>Q</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</si>
  <si>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</si>
  <si>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</si>
  <si>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</si>
  <si>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</si>
  <si>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</si>
  <si>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</si>
  <si>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</si>
  <si>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</si>
  <si>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</si>
  <si>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</si>
  <si>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</si>
  <si>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</si>
  <si>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</si>
  <si>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</si>
  <si>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</si>
  <si>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</si>
  <si>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</si>
  <si>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</si>
  <si>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</si>
  <si>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</si>
  <si>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</si>
  <si>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</si>
  <si>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</si>
  <si>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</si>
  <si>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</si>
  <si>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</si>
  <si>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</si>
  <si>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AA,AC,AE-AO,GE</t>
  </si>
  <si>
    <t>N,P</t>
  </si>
  <si>
    <t>FB,FC,GD</t>
  </si>
  <si>
    <t>FD,FE,FF,FO</t>
  </si>
  <si>
    <t>FA,GA-GC,GO</t>
  </si>
  <si>
    <t>H</t>
  </si>
  <si>
    <t>J,K,L,M</t>
  </si>
  <si>
    <t>Table A6.20(a)</t>
  </si>
  <si>
    <t>Factors for converting from reported injury accidents to total injury accident</t>
  </si>
  <si>
    <t>100 km/h speed limit      remote rural area</t>
  </si>
  <si>
    <t>Table A6.20(b)</t>
  </si>
  <si>
    <t>Factor for converting from reported non-injury accidents to total non-injury accidents</t>
  </si>
  <si>
    <t>Table A6.21(a)</t>
  </si>
  <si>
    <t>Cost per accident by movement and vehicle involvement for fatal injury accidents in 50 km/h speed limit areas</t>
  </si>
  <si>
    <t>50 km/h speed limit fatal injury accidents</t>
  </si>
  <si>
    <t>Push cycle</t>
  </si>
  <si>
    <t>Motor cycle</t>
  </si>
  <si>
    <t>Bus</t>
  </si>
  <si>
    <t>Truck</t>
  </si>
  <si>
    <t>Car, van</t>
  </si>
  <si>
    <t>&amp; other</t>
  </si>
  <si>
    <t>Head on</t>
  </si>
  <si>
    <t>Hit object</t>
  </si>
  <si>
    <t>Lost control on road</t>
  </si>
  <si>
    <t>Miscellaneous</t>
  </si>
  <si>
    <t>Car, van &amp; other</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</si>
  <si>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</si>
  <si>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</si>
  <si>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</si>
  <si>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</si>
  <si>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</si>
  <si>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</si>
  <si>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</si>
  <si>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</si>
  <si>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</si>
  <si>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</si>
  <si>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</si>
  <si>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</si>
  <si>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</si>
  <si>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</si>
  <si>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</si>
  <si>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</si>
  <si>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</si>
  <si>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</si>
  <si>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</si>
  <si>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Movement codes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</si>
  <si>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</si>
  <si>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</si>
  <si>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</si>
  <si>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</si>
  <si>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</si>
  <si>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</si>
  <si>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</si>
  <si>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</si>
  <si>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</si>
  <si>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Step 1</t>
  </si>
  <si>
    <t>Step 2</t>
  </si>
  <si>
    <t>Step 3</t>
  </si>
  <si>
    <t>SPPWF(1)</t>
  </si>
  <si>
    <t>2009/10</t>
  </si>
  <si>
    <t>2010/11</t>
  </si>
  <si>
    <t>2011/12</t>
  </si>
  <si>
    <t>yr (n)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</si>
  <si>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</si>
  <si>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</si>
  <si>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</si>
  <si>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</si>
  <si>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</si>
  <si>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</si>
  <si>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</si>
  <si>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</si>
  <si>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</si>
  <si>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</si>
  <si>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</si>
  <si>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</si>
  <si>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</si>
  <si>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</si>
  <si>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</si>
  <si>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</si>
  <si>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</si>
  <si>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</si>
  <si>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</si>
  <si>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</si>
  <si>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</si>
  <si>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</si>
  <si>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</si>
  <si>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</si>
  <si>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</si>
  <si>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</si>
  <si>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</si>
  <si>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</si>
  <si>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</si>
  <si>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</si>
  <si>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</si>
  <si>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</si>
  <si>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</si>
  <si>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</si>
  <si>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</si>
  <si>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</si>
  <si>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</si>
  <si>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</si>
  <si>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</si>
  <si>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</si>
  <si>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</si>
  <si>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</si>
  <si>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</si>
  <si>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</si>
  <si>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</si>
  <si>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</si>
  <si>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</si>
  <si>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Recorded crashes (row 4 crash analysis)</t>
  </si>
  <si>
    <t>Determined as ('value of annual travel time savings'/travel time cost)/365</t>
  </si>
  <si>
    <t>Including CO2</t>
  </si>
  <si>
    <t>Crash  cost savings</t>
  </si>
  <si>
    <t>Walking and cycling health benefits</t>
  </si>
  <si>
    <t xml:space="preserve">Total Benefits  </t>
  </si>
  <si>
    <t>SP3 General road improvements - Overview and Guidance</t>
  </si>
  <si>
    <t xml:space="preserve">Designed for the appraisal of activities to which the following assumptions apply:. </t>
  </si>
  <si>
    <r>
      <t xml:space="preserve">- may be used for general road improvement (including seal widening now encapsulated in work category 324, previously 231), </t>
    </r>
    <r>
      <rPr>
        <b/>
        <sz val="10"/>
        <rFont val="Verdana"/>
        <family val="2"/>
      </rPr>
      <t>where the undiscounted whole-of-life cost ≤$15,000,000</t>
    </r>
    <r>
      <rPr>
        <sz val="10"/>
        <rFont val="Verdana"/>
        <family val="2"/>
      </rPr>
      <t>.</t>
    </r>
  </si>
  <si>
    <r>
      <t xml:space="preserve">- work categories </t>
    </r>
    <r>
      <rPr>
        <b/>
        <sz val="10"/>
        <rFont val="Verdana"/>
        <family val="2"/>
      </rPr>
      <t>321</t>
    </r>
    <r>
      <rPr>
        <sz val="10"/>
        <rFont val="Verdana"/>
        <family val="2"/>
      </rPr>
      <t xml:space="preserve">, </t>
    </r>
    <r>
      <rPr>
        <b/>
        <sz val="10"/>
        <rFont val="Verdana"/>
        <family val="2"/>
      </rPr>
      <t>323</t>
    </r>
    <r>
      <rPr>
        <sz val="10"/>
        <rFont val="Verdana"/>
        <family val="2"/>
      </rPr>
      <t xml:space="preserve">, </t>
    </r>
    <r>
      <rPr>
        <b/>
        <sz val="10"/>
        <rFont val="Verdana"/>
        <family val="2"/>
      </rPr>
      <t>324,</t>
    </r>
    <r>
      <rPr>
        <sz val="10"/>
        <rFont val="Verdana"/>
        <family val="2"/>
      </rPr>
      <t xml:space="preserve"> </t>
    </r>
    <r>
      <rPr>
        <b/>
        <sz val="10"/>
        <rFont val="Verdana"/>
        <family val="2"/>
      </rPr>
      <t>331</t>
    </r>
    <r>
      <rPr>
        <sz val="10"/>
        <rFont val="Verdana"/>
        <family val="2"/>
      </rPr>
      <t xml:space="preserve"> or </t>
    </r>
    <r>
      <rPr>
        <b/>
        <sz val="10"/>
        <rFont val="Verdana"/>
        <family val="2"/>
      </rPr>
      <t>332</t>
    </r>
    <r>
      <rPr>
        <sz val="10"/>
        <rFont val="Verdana"/>
        <family val="2"/>
      </rPr>
      <t xml:space="preserve"> may apply here</t>
    </r>
  </si>
  <si>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</si>
  <si>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r>
      <rPr>
        <sz val="10"/>
        <color indexed="8"/>
        <rFont val="Arial"/>
        <family val="2"/>
      </rPr>
      <t xml:space="preserve">For more information please refer to section 4.1 of </t>
    </r>
    <r>
      <rPr>
        <u/>
        <sz val="10"/>
        <color indexed="12"/>
        <rFont val="Arial"/>
        <family val="2"/>
      </rPr>
      <t>Monetised benefits and Costs Manual.</t>
    </r>
  </si>
  <si>
    <t xml:space="preserve">General cell guide </t>
  </si>
  <si>
    <t xml:space="preserve">   - This worksheet is used to calculate the PV cost of the do minimum. The do minimum is the minimum level of expenditure necessary to keep a road open and generally consists of maintenance work.</t>
  </si>
  <si>
    <t xml:space="preserve">   - This worksheet is used for calculating vehicle operating cost (VOC) savings.</t>
  </si>
  <si>
    <t>Step 1: Complete SP3-1 Evaluation Summary Items 1-3</t>
  </si>
  <si>
    <t>Step 2: Complete SP3-2 Cost of Do Minimum</t>
  </si>
  <si>
    <t>Step 3: Complete SP3-3 (1) to SP3-3 (3) Cost of Option(s)</t>
  </si>
  <si>
    <t>Step 4 Complete SP 3-4 to SP 3-6 for the option(s) being evaluated</t>
  </si>
  <si>
    <t>Step 6: Select Preferred Option and Finalise SP3-1 for Preferred Option*</t>
  </si>
  <si>
    <t>Step 7: Complete SP3-7 Incremental Analysis if required</t>
  </si>
  <si>
    <t>SP3 General road improvements</t>
  </si>
  <si>
    <t>Worksheet 1 provides a summary of the general data used for the evaluation as well as the results of the analysis.
The information required is a subset of the information entered into Transport Investment Online.</t>
  </si>
  <si>
    <t>Activity/package details</t>
  </si>
  <si>
    <t>Activity/package name</t>
  </si>
  <si>
    <t xml:space="preserve">
</t>
  </si>
  <si>
    <t xml:space="preserve">
</t>
  </si>
  <si>
    <t>AADT at time zero</t>
  </si>
  <si>
    <t>Eval. Period (yrs)</t>
  </si>
  <si>
    <t>Traffic growth rate at time zero (%)</t>
  </si>
  <si>
    <t>By analysing the traffic count data (for at least the last 5 years and preferably
for the last 10 years) - see Appendix 2 of the MBCM for more information.</t>
  </si>
  <si>
    <t>Existing roughness</t>
  </si>
  <si>
    <t>IRI or NAASRA</t>
  </si>
  <si>
    <t>Length of road before works</t>
  </si>
  <si>
    <t>Predicted roughness</t>
  </si>
  <si>
    <t>Length of road after works</t>
  </si>
  <si>
    <t>Existing traffic speed</t>
  </si>
  <si>
    <t>Predicted traffic speed</t>
  </si>
  <si>
    <r>
      <t>PV Costs (</t>
    </r>
    <r>
      <rPr>
        <b/>
        <sz val="8"/>
        <rFont val="Verdana"/>
        <family val="2"/>
      </rPr>
      <t>B</t>
    </r>
    <r>
      <rPr>
        <sz val="8"/>
        <rFont val="Verdana"/>
        <family val="2"/>
      </rPr>
      <t>)</t>
    </r>
  </si>
  <si>
    <t>SP3-3 (1)</t>
  </si>
  <si>
    <t xml:space="preserve"> $</t>
  </si>
  <si>
    <t>SP3-3 (2)</t>
  </si>
  <si>
    <t>SP3-3 (3)</t>
  </si>
  <si>
    <t>W</t>
  </si>
  <si>
    <r>
      <t>PV VOC and CO</t>
    </r>
    <r>
      <rPr>
        <vertAlign val="subscript"/>
        <sz val="8"/>
        <rFont val="Verdana"/>
        <family val="2"/>
      </rPr>
      <t>2</t>
    </r>
    <r>
      <rPr>
        <sz val="8"/>
        <rFont val="Verdana"/>
        <family val="2"/>
      </rPr>
      <t xml:space="preserve"> savings  </t>
    </r>
  </si>
  <si>
    <r>
      <t>D</t>
    </r>
    <r>
      <rPr>
        <sz val="8"/>
        <rFont val="Verdana"/>
        <family val="2"/>
      </rPr>
      <t xml:space="preserve"> x Update factor </t>
    </r>
    <r>
      <rPr>
        <vertAlign val="superscript"/>
        <sz val="8"/>
        <rFont val="Verdana"/>
        <family val="2"/>
      </rPr>
      <t>VOC</t>
    </r>
  </si>
  <si>
    <t xml:space="preserve">PV crash cost savings   </t>
  </si>
  <si>
    <r>
      <t xml:space="preserve">E </t>
    </r>
    <r>
      <rPr>
        <sz val="8"/>
        <rFont val="Verdana"/>
        <family val="2"/>
      </rPr>
      <t xml:space="preserve">x Update factor </t>
    </r>
    <r>
      <rPr>
        <vertAlign val="superscript"/>
        <sz val="8"/>
        <rFont val="Verdana"/>
        <family val="2"/>
      </rPr>
      <t>ACC</t>
    </r>
  </si>
  <si>
    <t>W + Y + Z</t>
  </si>
  <si>
    <t>PV net costs</t>
  </si>
  <si>
    <r>
      <t>BCR</t>
    </r>
    <r>
      <rPr>
        <vertAlign val="subscript"/>
        <sz val="9"/>
        <rFont val="Verdana"/>
        <family val="2"/>
      </rPr>
      <t>N</t>
    </r>
    <r>
      <rPr>
        <sz val="9"/>
        <rFont val="Verdana"/>
        <family val="2"/>
      </rPr>
      <t xml:space="preserve"> Sensitivity</t>
    </r>
  </si>
  <si>
    <r>
      <t>PV 1</t>
    </r>
    <r>
      <rPr>
        <vertAlign val="superscript"/>
        <sz val="8"/>
        <rFont val="Verdana"/>
        <family val="2"/>
      </rPr>
      <t>st</t>
    </r>
    <r>
      <rPr>
        <sz val="8"/>
        <rFont val="Verdana"/>
        <family val="2"/>
      </rPr>
      <t xml:space="preserve"> year benefits</t>
    </r>
  </si>
  <si>
    <r>
      <t>[(</t>
    </r>
    <r>
      <rPr>
        <b/>
        <sz val="8"/>
        <rFont val="Verdana"/>
        <family val="2"/>
      </rPr>
      <t>W</t>
    </r>
    <r>
      <rPr>
        <sz val="8"/>
        <rFont val="Verdana"/>
        <family val="2"/>
      </rPr>
      <t xml:space="preserve"> + </t>
    </r>
    <r>
      <rPr>
        <b/>
        <sz val="8"/>
        <rFont val="Verdana"/>
        <family val="2"/>
      </rPr>
      <t>Y</t>
    </r>
    <r>
      <rPr>
        <sz val="8"/>
        <rFont val="Verdana"/>
        <family val="2"/>
      </rPr>
      <t>) / DF</t>
    </r>
    <r>
      <rPr>
        <vertAlign val="superscript"/>
        <sz val="8"/>
        <rFont val="Verdana"/>
        <family val="2"/>
      </rPr>
      <t>VOC</t>
    </r>
    <r>
      <rPr>
        <sz val="8"/>
        <rFont val="Verdana"/>
        <family val="2"/>
      </rPr>
      <t xml:space="preserve"> + ( </t>
    </r>
    <r>
      <rPr>
        <b/>
        <sz val="8"/>
        <rFont val="Verdana"/>
        <family val="2"/>
      </rPr>
      <t>Z</t>
    </r>
    <r>
      <rPr>
        <sz val="8"/>
        <rFont val="Verdana"/>
        <family val="2"/>
      </rPr>
      <t xml:space="preserve"> / DF</t>
    </r>
    <r>
      <rPr>
        <vertAlign val="superscript"/>
        <sz val="8"/>
        <rFont val="Verdana"/>
        <family val="2"/>
      </rPr>
      <t>ACC</t>
    </r>
    <r>
      <rPr>
        <sz val="8"/>
        <rFont val="Verdana"/>
        <family val="2"/>
      </rPr>
      <t>)] x 0.96</t>
    </r>
  </si>
  <si>
    <r>
      <t>B</t>
    </r>
    <r>
      <rPr>
        <sz val="8"/>
        <rFont val="Verdana"/>
        <family val="2"/>
      </rPr>
      <t xml:space="preserve"> - </t>
    </r>
    <r>
      <rPr>
        <b/>
        <sz val="8"/>
        <rFont val="Verdana"/>
        <family val="2"/>
      </rPr>
      <t>A</t>
    </r>
  </si>
  <si>
    <t>Total Benefit</t>
  </si>
  <si>
    <t>Travel Time</t>
  </si>
  <si>
    <t>VOC</t>
  </si>
  <si>
    <t>Crash cost</t>
  </si>
  <si>
    <t>Worksheet 2 is used to calculate the PV cost of the do minimum. The do minimum is the minimum level of expenditure necessary to keep a road open and generally consists of maintenance work.</t>
  </si>
  <si>
    <t>Should be obtained from maintenance records and resealing records.
If pavement rehabilitation is proposed at some future date as part of the do-minimum, then:
• it must be tested against the option of continued pavement maintenance in order to establish that it is the true do-minimum, and
• only the costs of basic sealed smoothing work shall be used in the analysis.</t>
  </si>
  <si>
    <t>PV of annual maintenance costs</t>
  </si>
  <si>
    <t>Total =      $</t>
  </si>
  <si>
    <t>PV of the do-minimum</t>
  </si>
  <si>
    <r>
      <t>(a)</t>
    </r>
    <r>
      <rPr>
        <sz val="8"/>
        <rFont val="Verdana"/>
        <family val="2"/>
      </rPr>
      <t xml:space="preserve"> + </t>
    </r>
    <r>
      <rPr>
        <b/>
        <sz val="8"/>
        <rFont val="Verdana"/>
        <family val="2"/>
      </rPr>
      <t xml:space="preserve">(b) </t>
    </r>
    <r>
      <rPr>
        <sz val="8"/>
        <rFont val="Verdana"/>
        <family val="2"/>
      </rPr>
      <t>= $</t>
    </r>
  </si>
  <si>
    <r>
      <rPr>
        <sz val="8"/>
        <rFont val="Verdana"/>
        <family val="2"/>
      </rPr>
      <t>Worksheet 3 is used to calculate the PV costs of the different options. A separate Worksheet 3 is required for each option evaluated. To convert dollar values from different years to base date values, use the update factors on the</t>
    </r>
    <r>
      <rPr>
        <sz val="8"/>
        <color indexed="12"/>
        <rFont val="Verdana"/>
        <family val="2"/>
      </rPr>
      <t xml:space="preserve"> </t>
    </r>
    <r>
      <rPr>
        <u/>
        <sz val="8"/>
        <color indexed="12"/>
        <rFont val="Verdana"/>
        <family val="2"/>
      </rPr>
      <t>MBCM web page.</t>
    </r>
  </si>
  <si>
    <t>Option name</t>
  </si>
  <si>
    <t xml:space="preserve">  =   $</t>
  </si>
  <si>
    <t>PV of total costs of option</t>
  </si>
  <si>
    <r>
      <t xml:space="preserve">PV total costs </t>
    </r>
    <r>
      <rPr>
        <b/>
        <sz val="8"/>
        <rFont val="Verdana"/>
        <family val="2"/>
      </rPr>
      <t>(a) + (b)</t>
    </r>
    <r>
      <rPr>
        <sz val="8"/>
        <rFont val="Verdana"/>
        <family val="2"/>
      </rPr>
      <t xml:space="preserve"> + </t>
    </r>
    <r>
      <rPr>
        <b/>
        <sz val="8"/>
        <rFont val="Verdana"/>
        <family val="2"/>
      </rPr>
      <t>(c)</t>
    </r>
    <r>
      <rPr>
        <sz val="8"/>
        <rFont val="Verdana"/>
        <family val="2"/>
      </rPr>
      <t xml:space="preserve"> + </t>
    </r>
    <r>
      <rPr>
        <b/>
        <sz val="8"/>
        <rFont val="Verdana"/>
        <family val="2"/>
      </rPr>
      <t>(d)</t>
    </r>
    <r>
      <rPr>
        <sz val="8"/>
        <rFont val="Verdana"/>
        <family val="2"/>
      </rPr>
      <t xml:space="preserve"> + </t>
    </r>
    <r>
      <rPr>
        <b/>
        <sz val="8"/>
        <rFont val="Verdana"/>
        <family val="2"/>
      </rPr>
      <t>(e)</t>
    </r>
    <r>
      <rPr>
        <sz val="8"/>
        <rFont val="Verdana"/>
        <family val="2"/>
      </rPr>
      <t xml:space="preserve"> = $</t>
    </r>
  </si>
  <si>
    <r>
      <t>SP3 General road improvements</t>
    </r>
    <r>
      <rPr>
        <sz val="8"/>
        <rFont val="Verdana"/>
        <family val="2"/>
      </rPr>
      <t xml:space="preserve"> </t>
    </r>
  </si>
  <si>
    <t>Worksheet 4 is used for calculating travel time cost savings.</t>
  </si>
  <si>
    <t>Road category (Select)</t>
  </si>
  <si>
    <t>AADT (or the traffic volumes affected by the improvement)</t>
  </si>
  <si>
    <t>Traffic growth rate (per annum)</t>
  </si>
  <si>
    <t>$/hr</t>
  </si>
  <si>
    <t>Mean vehicle speed</t>
  </si>
  <si>
    <t>Annual travel time costs for the do-minimum</t>
  </si>
  <si>
    <t>Annual travel time costs for the option</t>
  </si>
  <si>
    <t>Value of annual travel time cost savings</t>
  </si>
  <si>
    <t>Total TTC Benefit</t>
  </si>
  <si>
    <t>Total  hours saved</t>
  </si>
  <si>
    <t>Worksheet 5 is used for calculating vehicle operating cost (VOC) savings.</t>
  </si>
  <si>
    <t>Base data</t>
  </si>
  <si>
    <t>Roughness (IRI/NAASRA)</t>
  </si>
  <si>
    <r>
      <t>CR</t>
    </r>
    <r>
      <rPr>
        <vertAlign val="superscript"/>
        <sz val="8"/>
        <rFont val="Verdana"/>
        <family val="2"/>
      </rPr>
      <t>dm</t>
    </r>
  </si>
  <si>
    <r>
      <t>CR</t>
    </r>
    <r>
      <rPr>
        <vertAlign val="superscript"/>
        <sz val="8"/>
        <rFont val="Verdana"/>
        <family val="2"/>
      </rPr>
      <t>opt</t>
    </r>
  </si>
  <si>
    <t>Gradient</t>
  </si>
  <si>
    <r>
      <t>CB</t>
    </r>
    <r>
      <rPr>
        <vertAlign val="superscript"/>
        <sz val="8"/>
        <rFont val="Verdana"/>
        <family val="2"/>
      </rPr>
      <t>dm</t>
    </r>
  </si>
  <si>
    <r>
      <t>CB</t>
    </r>
    <r>
      <rPr>
        <vertAlign val="superscript"/>
        <sz val="8"/>
        <rFont val="Verdana"/>
        <family val="2"/>
      </rPr>
      <t>opt</t>
    </r>
  </si>
  <si>
    <t>Annual vehicle operating cost for the do-minimum</t>
  </si>
  <si>
    <r>
      <t>L</t>
    </r>
    <r>
      <rPr>
        <vertAlign val="superscript"/>
        <sz val="8"/>
        <rFont val="Verdana"/>
        <family val="2"/>
      </rPr>
      <t>dm</t>
    </r>
    <r>
      <rPr>
        <sz val="8"/>
        <rFont val="Verdana"/>
        <family val="2"/>
      </rPr>
      <t xml:space="preserve"> x (CR</t>
    </r>
    <r>
      <rPr>
        <vertAlign val="superscript"/>
        <sz val="8"/>
        <rFont val="Verdana"/>
        <family val="2"/>
      </rPr>
      <t>dm</t>
    </r>
    <r>
      <rPr>
        <sz val="8"/>
        <rFont val="Verdana"/>
        <family val="2"/>
      </rPr>
      <t xml:space="preserve"> + CB</t>
    </r>
    <r>
      <rPr>
        <vertAlign val="superscript"/>
        <sz val="8"/>
        <rFont val="Verdana"/>
        <family val="2"/>
      </rPr>
      <t>dm</t>
    </r>
    <r>
      <rPr>
        <sz val="8"/>
        <rFont val="Verdana"/>
        <family val="2"/>
      </rPr>
      <t>) x AADT x 365</t>
    </r>
  </si>
  <si>
    <t>Annual vehicle operating cost for the option</t>
  </si>
  <si>
    <r>
      <t>L</t>
    </r>
    <r>
      <rPr>
        <vertAlign val="superscript"/>
        <sz val="8"/>
        <rFont val="Verdana"/>
        <family val="2"/>
      </rPr>
      <t>opt</t>
    </r>
    <r>
      <rPr>
        <sz val="8"/>
        <rFont val="Verdana"/>
        <family val="2"/>
      </rPr>
      <t xml:space="preserve"> x (CR</t>
    </r>
    <r>
      <rPr>
        <vertAlign val="superscript"/>
        <sz val="8"/>
        <rFont val="Verdana"/>
        <family val="2"/>
      </rPr>
      <t>opt</t>
    </r>
    <r>
      <rPr>
        <sz val="8"/>
        <rFont val="Verdana"/>
        <family val="2"/>
      </rPr>
      <t xml:space="preserve"> + CB</t>
    </r>
    <r>
      <rPr>
        <vertAlign val="superscript"/>
        <sz val="8"/>
        <rFont val="Verdana"/>
        <family val="2"/>
      </rPr>
      <t>opt</t>
    </r>
    <r>
      <rPr>
        <sz val="8"/>
        <rFont val="Verdana"/>
        <family val="2"/>
      </rPr>
      <t>) x AADT x 365</t>
    </r>
  </si>
  <si>
    <t>Value of annual vehicle operating cost savings</t>
  </si>
  <si>
    <r>
      <t xml:space="preserve">(a) - (b) </t>
    </r>
    <r>
      <rPr>
        <sz val="8"/>
        <rFont val="Verdana"/>
        <family val="2"/>
      </rPr>
      <t>= $</t>
    </r>
  </si>
  <si>
    <t xml:space="preserve">(c) </t>
  </si>
  <si>
    <t>PV of vehicle operating cost savings</t>
  </si>
  <si>
    <r>
      <t xml:space="preserve">(c) </t>
    </r>
    <r>
      <rPr>
        <sz val="8"/>
        <rFont val="Verdana"/>
        <family val="2"/>
      </rPr>
      <t>x DF</t>
    </r>
    <r>
      <rPr>
        <vertAlign val="superscript"/>
        <sz val="8"/>
        <rFont val="Verdana"/>
        <family val="2"/>
      </rPr>
      <t xml:space="preserve"> </t>
    </r>
    <r>
      <rPr>
        <sz val="8"/>
        <rFont val="Verdana"/>
        <family val="2"/>
      </rPr>
      <t>= $</t>
    </r>
  </si>
  <si>
    <t>D</t>
  </si>
  <si>
    <r>
      <t xml:space="preserve">Transfer PV of vehicle operating cost savings for the preferred option </t>
    </r>
    <r>
      <rPr>
        <b/>
        <sz val="8"/>
        <rFont val="Verdana"/>
        <family val="2"/>
      </rPr>
      <t>D</t>
    </r>
    <r>
      <rPr>
        <sz val="8"/>
        <rFont val="Verdana"/>
        <family val="2"/>
      </rPr>
      <t xml:space="preserve">, to </t>
    </r>
    <r>
      <rPr>
        <b/>
        <sz val="8"/>
        <rFont val="Verdana"/>
        <family val="2"/>
      </rPr>
      <t>D</t>
    </r>
    <r>
      <rPr>
        <sz val="8"/>
        <rFont val="Verdana"/>
        <family val="2"/>
      </rPr>
      <t xml:space="preserve"> on worksheet 1</t>
    </r>
  </si>
  <si>
    <t>Table SP3.1 -Base vehicle operating costs (CB) including CO2 – in cents/km (July 2015)</t>
  </si>
  <si>
    <t>Total VOC benefit</t>
  </si>
  <si>
    <t xml:space="preserve">Table SP3.2 -Roughness costs (CR) in cents/km (July 2015) </t>
  </si>
  <si>
    <t xml:space="preserve">Traffic growth rate </t>
  </si>
  <si>
    <t>Worksheet 7 - BCR and incremental analysis</t>
  </si>
  <si>
    <r>
      <t>BCR</t>
    </r>
    <r>
      <rPr>
        <b/>
        <vertAlign val="subscript"/>
        <sz val="8"/>
        <color indexed="9"/>
        <rFont val="Verdana"/>
        <family val="2"/>
      </rPr>
      <t>N</t>
    </r>
  </si>
  <si>
    <t>PV of user costs</t>
  </si>
  <si>
    <t>PV of net benefits</t>
  </si>
  <si>
    <r>
      <t xml:space="preserve">Type in the values of </t>
    </r>
    <r>
      <rPr>
        <b/>
        <sz val="8"/>
        <rFont val="Verdana"/>
        <family val="2"/>
      </rPr>
      <t>W</t>
    </r>
    <r>
      <rPr>
        <sz val="8"/>
        <rFont val="Verdana"/>
        <family val="2"/>
      </rPr>
      <t xml:space="preserve">, </t>
    </r>
    <r>
      <rPr>
        <b/>
        <sz val="8"/>
        <rFont val="Verdana"/>
        <family val="2"/>
      </rPr>
      <t>Y</t>
    </r>
    <r>
      <rPr>
        <sz val="8"/>
        <rFont val="Verdana"/>
        <family val="2"/>
      </rPr>
      <t xml:space="preserve">, and </t>
    </r>
    <r>
      <rPr>
        <b/>
        <sz val="8"/>
        <rFont val="Verdana"/>
        <family val="2"/>
      </rPr>
      <t>Z</t>
    </r>
    <r>
      <rPr>
        <sz val="8"/>
        <rFont val="Verdana"/>
        <family val="2"/>
      </rPr>
      <t xml:space="preserve"> from the worksheet 1.
Values to be calculated separately for each option.</t>
    </r>
  </si>
  <si>
    <r>
      <t>VOC and CO</t>
    </r>
    <r>
      <rPr>
        <vertAlign val="subscript"/>
        <sz val="8"/>
        <color indexed="8"/>
        <rFont val="Verdana"/>
        <family val="2"/>
      </rPr>
      <t>2</t>
    </r>
    <r>
      <rPr>
        <sz val="8"/>
        <color indexed="8"/>
        <rFont val="Verdana"/>
        <family val="2"/>
      </rPr>
      <t xml:space="preserve"> savings</t>
    </r>
  </si>
  <si>
    <t>PV total</t>
  </si>
  <si>
    <t>PV of costs as calculated</t>
  </si>
  <si>
    <t>PV of net costs</t>
  </si>
  <si>
    <t>Capital costs</t>
  </si>
  <si>
    <t>Maintenance costs</t>
  </si>
  <si>
    <r>
      <t>Incremental BCR</t>
    </r>
    <r>
      <rPr>
        <vertAlign val="subscript"/>
        <sz val="8"/>
        <color indexed="8"/>
        <rFont val="Verdana"/>
        <family val="2"/>
      </rPr>
      <t>N</t>
    </r>
    <r>
      <rPr>
        <b/>
        <sz val="8"/>
        <color indexed="8"/>
        <rFont val="Verdana"/>
        <family val="2"/>
      </rPr>
      <t xml:space="preserve">
(7)=(6)/(5)</t>
    </r>
  </si>
  <si>
    <t>% gradient</t>
  </si>
  <si>
    <r>
      <t>Mean vehicle speed</t>
    </r>
    <r>
      <rPr>
        <sz val="8"/>
        <rFont val="Verdana"/>
        <family val="2"/>
      </rPr>
      <t xml:space="preserve"> (over length of route)</t>
    </r>
  </si>
  <si>
    <t>0–30 km/h</t>
  </si>
  <si>
    <t>31-50 km/h</t>
  </si>
  <si>
    <t>51-70 km/h</t>
  </si>
  <si>
    <t>71-90 km/h</t>
  </si>
  <si>
    <t>91-105 km/h</t>
  </si>
  <si>
    <t>1 to 3</t>
  </si>
  <si>
    <t>4 to 6</t>
  </si>
  <si>
    <t>7 to 9</t>
  </si>
  <si>
    <t>10 to 12</t>
  </si>
  <si>
    <t>Do minimum SP3-5</t>
  </si>
  <si>
    <t>Option SP3-5</t>
  </si>
  <si>
    <t>IRI</t>
  </si>
  <si>
    <t>NAASRA</t>
  </si>
  <si>
    <t>CR cents/km</t>
  </si>
  <si>
    <t>m/km</t>
  </si>
  <si>
    <t>counts/</t>
  </si>
  <si>
    <t>urban</t>
  </si>
  <si>
    <t>rural</t>
  </si>
  <si>
    <t>g</t>
  </si>
  <si>
    <t>Growth rate</t>
  </si>
  <si>
    <r>
      <t>Discount factor (DF</t>
    </r>
    <r>
      <rPr>
        <b/>
        <vertAlign val="superscript"/>
        <sz val="8"/>
        <rFont val="Verdana"/>
        <family val="2"/>
      </rPr>
      <t>VOC</t>
    </r>
    <r>
      <rPr>
        <b/>
        <sz val="8"/>
        <rFont val="Verdana"/>
        <family val="2"/>
      </rPr>
      <t>)</t>
    </r>
  </si>
  <si>
    <t>SP3-6 Cell J19</t>
  </si>
  <si>
    <t>≥ 70 km/h</t>
  </si>
  <si>
    <t>Total cost per accident ($ July 2015)</t>
  </si>
  <si>
    <t>Do minimum SP3-2</t>
  </si>
  <si>
    <t>Option 1 SP3-3</t>
  </si>
  <si>
    <t>Option 2 SP3-3</t>
  </si>
  <si>
    <t>Option 3 SP3-3</t>
  </si>
  <si>
    <t>discount rate</t>
  </si>
  <si>
    <t>2021 update using 2015 relative values to the value per injury</t>
  </si>
  <si>
    <t>Table A28: Cost per crash by movement and vehicle involvement for fatal injury crashes in 50km/h speed limit areas</t>
  </si>
  <si>
    <t>50km/h speed limit fatal injury crashes</t>
  </si>
  <si>
    <t>Total cost per crash by vehicle type ($M 2021)</t>
  </si>
  <si>
    <t>Cycle</t>
  </si>
  <si>
    <t>Motorcycle</t>
  </si>
  <si>
    <t>Car, van and other</t>
  </si>
  <si>
    <t>AB, B</t>
  </si>
  <si>
    <t>AD, CB, CC, CO, D</t>
  </si>
  <si>
    <t>AA, AC, AE-AO, GE</t>
  </si>
  <si>
    <t>N, P</t>
  </si>
  <si>
    <t>FB, FC, GD</t>
  </si>
  <si>
    <t>FD, FE, FF, FO</t>
  </si>
  <si>
    <t>FA, GA-GC, GO</t>
  </si>
  <si>
    <t>J, K, L, M</t>
  </si>
  <si>
    <t>Table A29: Cost per crash by movement and vehicle involvement for serious injury crashes in 50km/h speed limit areas</t>
  </si>
  <si>
    <t>50km/h speed limit serious injury crashes</t>
  </si>
  <si>
    <t>Total cost per crash by vehicle type ($000 2021)</t>
  </si>
  <si>
    <t>Table A30: Cost per crash by movement and vehicle involvement for minor injury crashes in 50km/h speed limit areas</t>
  </si>
  <si>
    <t xml:space="preserve">50km/h speed limit </t>
  </si>
  <si>
    <t>minor injury crashes</t>
  </si>
  <si>
    <t>Table A31: Cost per crash by movement and vehicle involvement for non-injury crashes in 50km/h speed limit areas</t>
  </si>
  <si>
    <t>50km/h speed limit non-injury crashes</t>
  </si>
  <si>
    <t>Table A32: Cost per crash by movement and vehicle involvement for fatal injury crashes in 100km/h speed limit areas</t>
  </si>
  <si>
    <t>100km/h speed limit fatal injury crashes</t>
  </si>
  <si>
    <t>Table A33: Cost per crash by movement and vehicle involvement for serious injury crashes in 100km/h speed limit areas</t>
  </si>
  <si>
    <t xml:space="preserve">100km/h speed limit </t>
  </si>
  <si>
    <t>serious injury crashes</t>
  </si>
  <si>
    <t>Table A34: Cost per crash by movement and vehicle involvement for minor injury crashes in 100km/h speed limit areas</t>
  </si>
  <si>
    <t>Table A35: Cost per crash by movement and vehicle involvement for non-injury crashes in 100km/h speed limit areas</t>
  </si>
  <si>
    <t>non-injury crashes</t>
  </si>
  <si>
    <t>Under-reporting factors (Tables A26 and A27)</t>
  </si>
  <si>
    <t>tables A89- A91</t>
  </si>
  <si>
    <t>Worksheet 5 - Vehicle operating cost savings and impact on GHG emissions</t>
  </si>
  <si>
    <t>AGPWF(e)</t>
  </si>
  <si>
    <t xml:space="preserve">One </t>
  </si>
  <si>
    <t>Two</t>
  </si>
  <si>
    <t>Three</t>
  </si>
  <si>
    <t xml:space="preserve">SP3-1: 'Evaluation Summary </t>
  </si>
  <si>
    <t xml:space="preserve"> SP3-2: 'Cost of do-minimum</t>
  </si>
  <si>
    <t xml:space="preserve">SP3-3 (1): 'Cost of the option 1 </t>
  </si>
  <si>
    <t xml:space="preserve">SP3-3 (2): 'Cost of the option 2 </t>
  </si>
  <si>
    <t xml:space="preserve">SP3-3 (3): 'Cost of the option 3 </t>
  </si>
  <si>
    <t xml:space="preserve"> SP3-4: 'Travel time cost savings</t>
  </si>
  <si>
    <t xml:space="preserve">SP3-5: 'Vehicle operating cost savings </t>
  </si>
  <si>
    <t xml:space="preserve"> SP3-6: 'Crash cost savings</t>
  </si>
  <si>
    <t xml:space="preserve">SP3-7: 'BCR and incremental analysis </t>
  </si>
  <si>
    <t>Table A21: Crash trend adjustments factors</t>
  </si>
  <si>
    <t>50 and 60km/h</t>
  </si>
  <si>
    <t>70km/h and above</t>
  </si>
  <si>
    <t>Total Monetised Benefits</t>
  </si>
  <si>
    <t>Spreadsheet release date 14-Apr-2023</t>
  </si>
  <si>
    <t>Full name, contact details, name of organisation, office location, etc</t>
  </si>
  <si>
    <t>The financial year in which the activity is submitted for a commitment to funding.</t>
  </si>
  <si>
    <t>The financial year which represents the present year for the calculation of PVs.</t>
  </si>
  <si>
    <t>For the do minimum</t>
  </si>
  <si>
    <t>For the preferred option</t>
  </si>
  <si>
    <r>
      <t xml:space="preserve">Type in the value of </t>
    </r>
    <r>
      <rPr>
        <b/>
        <sz val="8"/>
        <rFont val="Verdana"/>
        <family val="2"/>
      </rPr>
      <t>A</t>
    </r>
    <r>
      <rPr>
        <sz val="8"/>
        <rFont val="Verdana"/>
        <family val="2"/>
      </rPr>
      <t xml:space="preserve"> from the worksheet 2.</t>
    </r>
  </si>
  <si>
    <t>Type in the value of A from the worksheet 2.</t>
  </si>
  <si>
    <r>
      <rPr>
        <sz val="8"/>
        <rFont val="Verdana"/>
        <family val="2"/>
      </rPr>
      <t xml:space="preserve">Visit </t>
    </r>
    <r>
      <rPr>
        <u/>
        <sz val="8"/>
        <color indexed="12"/>
        <rFont val="Verdana"/>
        <family val="2"/>
      </rPr>
      <t>MBCM web page</t>
    </r>
    <r>
      <rPr>
        <sz val="8"/>
        <rFont val="Verdana"/>
        <family val="2"/>
      </rPr>
      <t xml:space="preserve"> for the latest update factors</t>
    </r>
  </si>
  <si>
    <r>
      <t>MBCM</t>
    </r>
    <r>
      <rPr>
        <sz val="8"/>
        <rFont val="Verdana"/>
        <family val="2"/>
      </rPr>
      <t xml:space="preserve"> - Table 16</t>
    </r>
  </si>
  <si>
    <t>Travel time cost (TTC)  refer table 16</t>
  </si>
  <si>
    <t>Roughness cost</t>
  </si>
  <si>
    <r>
      <t>MBCM</t>
    </r>
    <r>
      <rPr>
        <sz val="8"/>
        <rFont val="Verdana"/>
        <family val="2"/>
      </rPr>
      <t xml:space="preserve"> - Appendix 4 Vehicle operating cost tables</t>
    </r>
  </si>
  <si>
    <t xml:space="preserve">Base cost </t>
  </si>
  <si>
    <t>Percentage crash reduction in percentage</t>
  </si>
  <si>
    <t>Urban Arterial</t>
  </si>
  <si>
    <t>Urban Other</t>
  </si>
  <si>
    <t>Rural Strategic</t>
  </si>
  <si>
    <t>Rural Other</t>
  </si>
  <si>
    <r>
      <t xml:space="preserve">As per the inputs in the </t>
    </r>
    <r>
      <rPr>
        <b/>
        <sz val="8"/>
        <rFont val="Verdana"/>
        <family val="2"/>
      </rPr>
      <t>section 6</t>
    </r>
    <r>
      <rPr>
        <sz val="8"/>
        <rFont val="Verdana"/>
        <family val="2"/>
      </rPr>
      <t xml:space="preserve"> of the worksheet 1.</t>
    </r>
  </si>
  <si>
    <t>Sum of the absolute value of rises and falls expressed as m/km</t>
  </si>
  <si>
    <t>Annual costs forecast for inspections and maintenance after completion of the project</t>
  </si>
  <si>
    <t>Periodic costs forecast to maintain the planned condition (business as usual).</t>
  </si>
  <si>
    <t>Additional annual costs forecast to maintain the planned condition (business as usual).</t>
  </si>
  <si>
    <t>Periodic costs required to maintain the existing condition (business as usual).</t>
  </si>
  <si>
    <t>Annual costs required to maintain the existing condition (business as usual).</t>
  </si>
  <si>
    <r>
      <t xml:space="preserve">Percentage of crashes 'remaining' [1 - </t>
    </r>
    <r>
      <rPr>
        <b/>
        <sz val="8"/>
        <rFont val="Verdana"/>
        <family val="2"/>
      </rPr>
      <t>(18)</t>
    </r>
    <r>
      <rPr>
        <sz val="8"/>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</si>
</sst>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
    <numFmt numFmtId="169" formatCode="0.000"/>
    <numFmt numFmtId="170" formatCode="#,##0_ ;\-#,##0\ "/>
    <numFmt numFmtId="171" formatCode="&quot;$&quot;#,##0"/>
    <numFmt numFmtId="172" formatCode="_-* #,##0_-;\-* #,##0_-;_-* &quot;-&quot;??_-;_-@_-"/>
    <numFmt numFmtId="173" formatCode="0.0000"/>
    <numFmt numFmtId="174" formatCode="_-* #,##0.0_-;\-* #,##0.0_-;_-* &quot;-&quot;??_-;_-@_-"/>
    <numFmt numFmtId="175" formatCode="mm/yyyy"/>
    <numFmt numFmtId="176" formatCode="#,##0.0"/>
  </numFmts>
  <fonts count="108">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perscript"/>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8"/>
      <color indexed="9"/>
      <name val="Verdana"/>
      <family val="2"/>
    </font>
    <font>
      <sz val="8"/>
      <color indexed="81"/>
      <name val="Tahoma"/>
      <family val="2"/>
    </font>
    <font>
      <b/>
      <sz val="8"/>
      <color indexed="8"/>
      <name val="Verdana"/>
      <family val="2"/>
    </font>
    <font>
      <sz val="8"/>
      <color indexed="8"/>
      <name val="Verdana"/>
      <family val="2"/>
    </font>
    <font>
      <vertAlign val="subscript"/>
      <sz val="8"/>
      <color indexed="8"/>
      <name val="Verdana"/>
      <family val="2"/>
    </font>
    <font>
      <sz val="10"/>
      <name val="Arial"/>
      <family val="2"/>
    </font>
    <font>
      <b/>
      <sz val="9"/>
      <name val="Verdana"/>
      <family val="2"/>
    </font>
    <font>
      <sz val="16"/>
      <name val="Verdana"/>
      <family val="2"/>
    </font>
    <font>
      <sz val="12"/>
      <name val="Palatino"/>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b/>
      <sz val="11"/>
      <color theme="1"/>
      <name val="Arial"/>
      <family val="2"/>
    </font>
    <font>
      <sz val="11"/>
      <color theme="1"/>
      <name val="Arial"/>
      <family val="2"/>
    </font>
    <font>
      <sz val="11"/>
      <color rgb="FFFFFFFF"/>
      <name val="Arial"/>
      <family val="2"/>
    </font>
    <font>
      <sz val="12"/>
      <color rgb="FFFF0000"/>
      <name val="Calibri"/>
      <family val="2"/>
      <scheme val="minor"/>
    </font>
    <font>
      <b/>
      <sz val="15"/>
      <color theme="3"/>
      <name val="Calibri"/>
      <family val="2"/>
      <scheme val="minor"/>
    </font>
    <font>
      <vertAlign val="subscript"/>
      <sz val="9"/>
      <name val="Verdana"/>
      <family val="2"/>
    </font>
    <font>
      <b/>
      <sz val="11"/>
      <name val="Verdana"/>
      <family val="2"/>
    </font>
    <font>
      <vertAlign val="subscript"/>
      <sz val="8"/>
      <color indexed="81"/>
      <name val="Verdana"/>
      <family val="2"/>
    </font>
    <font>
      <sz val="8"/>
      <color indexed="12"/>
      <name val="Verdana"/>
      <family val="2"/>
    </font>
    <font>
      <b/>
      <vertAlign val="subscript"/>
      <sz val="8"/>
      <color indexed="9"/>
      <name val="Verdana"/>
      <family val="2"/>
    </font>
    <font>
      <b/>
      <sz val="8"/>
      <color theme="0"/>
      <name val="Verdana"/>
      <family val="2"/>
    </font>
    <font>
      <b/>
      <vertAlign val="superscript"/>
      <sz val="8"/>
      <name val="Verdana"/>
      <family val="2"/>
    </font>
    <font>
      <b/>
      <sz val="10"/>
      <name val="Arial"/>
      <family val="2"/>
    </font>
  </fonts>
  <fills count="23">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indexed="53"/>
        <bgColor indexed="64"/>
      </patternFill>
    </fill>
    <fill>
      <patternFill patternType="solid">
        <fgColor rgb="FFFF00FF"/>
        <bgColor indexed="64"/>
      </patternFill>
    </fill>
    <fill>
      <patternFill patternType="solid">
        <fgColor rgb="FFFFFFCC"/>
        <bgColor indexed="64"/>
      </patternFill>
    </fill>
    <fill>
      <patternFill patternType="solid">
        <fgColor rgb="FF2575AE"/>
        <bgColor indexed="64"/>
      </patternFill>
    </fill>
    <fill>
      <patternFill patternType="solid">
        <fgColor theme="0" tint="-0.249977111117893"/>
        <bgColor indexed="64"/>
      </patternFill>
    </fill>
  </fills>
  <borders count="121">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tint="-4.9989318521683403E-2"/>
      </left>
      <right style="thick">
        <color theme="0" tint="-4.9989318521683403E-2"/>
      </right>
      <top style="thick">
        <color theme="0" tint="-4.9989318521683403E-2"/>
      </top>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theme="0" tint="-4.9989318521683403E-2"/>
      </top>
      <bottom style="medium">
        <color theme="0" tint="-4.9989318521683403E-2"/>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1" tint="0.249977111117893"/>
      </right>
      <top style="medium">
        <color theme="1"/>
      </top>
      <bottom style="thin">
        <color theme="1" tint="0.249977111117893"/>
      </bottom>
      <diagonal/>
    </border>
    <border>
      <left style="thin">
        <color theme="1" tint="0.249977111117893"/>
      </left>
      <right/>
      <top style="medium">
        <color theme="1"/>
      </top>
      <bottom style="thin">
        <color theme="1" tint="0.249977111117893"/>
      </bottom>
      <diagonal/>
    </border>
    <border>
      <left/>
      <right/>
      <top style="medium">
        <color theme="1"/>
      </top>
      <bottom style="thin">
        <color theme="1" tint="0.249977111117893"/>
      </bottom>
      <diagonal/>
    </border>
    <border>
      <left/>
      <right/>
      <top/>
      <bottom style="medium">
        <color rgb="FFFFFFFF"/>
      </bottom>
      <diagonal/>
    </border>
    <border>
      <left/>
      <right/>
      <top/>
      <bottom style="medium">
        <color rgb="FF2575AE"/>
      </bottom>
      <diagonal/>
    </border>
    <border>
      <left/>
      <right/>
      <top/>
      <bottom style="thick">
        <color theme="0"/>
      </bottom>
      <diagonal/>
    </border>
    <border>
      <left/>
      <right/>
      <top/>
      <bottom style="thick">
        <color theme="4"/>
      </bottom>
      <diagonal/>
    </border>
    <border>
      <left/>
      <right/>
      <top style="thick">
        <color theme="0"/>
      </top>
      <bottom/>
      <diagonal/>
    </border>
    <border>
      <left style="thick">
        <color theme="0" tint="-4.9989318521683403E-2"/>
      </left>
      <right style="thick">
        <color theme="0" tint="-4.9989318521683403E-2"/>
      </right>
      <top/>
      <bottom style="thick">
        <color theme="0" tint="-4.9989318521683403E-2"/>
      </bottom>
      <diagonal/>
    </border>
    <border>
      <left style="thick">
        <color theme="0" tint="-4.9989318521683403E-2"/>
      </left>
      <right style="thick">
        <color theme="0" tint="-4.9989318521683403E-2"/>
      </right>
      <top style="thick">
        <color theme="0" tint="-4.9989318521683403E-2"/>
      </top>
      <bottom style="thin">
        <color indexed="64"/>
      </bottom>
      <diagonal/>
    </border>
    <border>
      <left style="medium">
        <color indexed="64"/>
      </left>
      <right style="thick">
        <color theme="0" tint="-4.9989318521683403E-2"/>
      </right>
      <top style="medium">
        <color indexed="64"/>
      </top>
      <bottom style="thick">
        <color theme="0" tint="-4.9989318521683403E-2"/>
      </bottom>
      <diagonal/>
    </border>
    <border>
      <left style="thick">
        <color theme="0" tint="-4.9989318521683403E-2"/>
      </left>
      <right style="medium">
        <color indexed="64"/>
      </right>
      <top style="medium">
        <color indexed="64"/>
      </top>
      <bottom style="thick">
        <color theme="0" tint="-4.9989318521683403E-2"/>
      </bottom>
      <diagonal/>
    </border>
    <border>
      <left style="medium">
        <color indexed="64"/>
      </left>
      <right style="thick">
        <color theme="0" tint="-4.9989318521683403E-2"/>
      </right>
      <top style="thick">
        <color theme="0" tint="-4.9989318521683403E-2"/>
      </top>
      <bottom style="medium">
        <color indexed="64"/>
      </bottom>
      <diagonal/>
    </border>
    <border>
      <left style="thick">
        <color theme="0" tint="-4.9989318521683403E-2"/>
      </left>
      <right style="medium">
        <color indexed="64"/>
      </right>
      <top style="thick">
        <color theme="0" tint="-4.9989318521683403E-2"/>
      </top>
      <bottom style="medium">
        <color indexed="64"/>
      </bottom>
      <diagonal/>
    </border>
    <border>
      <left style="thick">
        <color theme="0" tint="-4.9989318521683403E-2"/>
      </left>
      <right/>
      <top/>
      <bottom/>
      <diagonal/>
    </border>
    <border>
      <left style="thick">
        <color theme="0" tint="-4.9989318521683403E-2"/>
      </left>
      <right style="thick">
        <color theme="0" tint="-4.9989318521683403E-2"/>
      </right>
      <top/>
      <bottom/>
      <diagonal/>
    </border>
    <border>
      <left/>
      <right/>
      <top style="thick">
        <color theme="0" tint="-4.9989318521683403E-2"/>
      </top>
      <bottom style="thick">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style="thick">
        <color theme="0" tint="-4.9989318521683403E-2"/>
      </left>
      <right style="thick">
        <color theme="0" tint="-4.9989318521683403E-2"/>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bottom/>
      <diagonal/>
    </border>
    <border>
      <left/>
      <right style="double">
        <color indexed="64"/>
      </right>
      <top/>
      <bottom style="medium">
        <color indexed="64"/>
      </bottom>
      <diagonal/>
    </border>
    <border>
      <left/>
      <right/>
      <top style="medium">
        <color rgb="FF2575AE"/>
      </top>
      <bottom style="medium">
        <color rgb="FFFFFFFF"/>
      </bottom>
      <diagonal/>
    </border>
    <border>
      <left/>
      <right/>
      <top style="medium">
        <color rgb="FF2575AE"/>
      </top>
      <bottom/>
      <diagonal/>
    </border>
    <border>
      <left style="medium">
        <color rgb="FFFFFFFF"/>
      </left>
      <right/>
      <top style="medium">
        <color rgb="FF2575AE"/>
      </top>
      <bottom/>
      <diagonal/>
    </border>
    <border>
      <left style="medium">
        <color rgb="FFFFFFFF"/>
      </left>
      <right/>
      <top/>
      <bottom style="medium">
        <color rgb="FFFFFFFF"/>
      </bottom>
      <diagonal/>
    </border>
    <border>
      <left style="medium">
        <color rgb="FFFFFFFF"/>
      </left>
      <right/>
      <top/>
      <bottom style="medium">
        <color rgb="FF2575AE"/>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medium">
        <color theme="1"/>
      </top>
      <bottom style="thin">
        <color theme="1" tint="0.249977111117893"/>
      </bottom>
      <diagonal/>
    </border>
    <border>
      <left style="thin">
        <color theme="1" tint="0.249977111117893"/>
      </left>
      <right style="medium">
        <color indexed="64"/>
      </right>
      <top style="medium">
        <color theme="1"/>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style="medium">
        <color indexed="64"/>
      </left>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thin">
        <color theme="1" tint="0.249977111117893"/>
      </left>
      <right style="medium">
        <color indexed="64"/>
      </right>
      <top style="thin">
        <color theme="1" tint="0.249977111117893"/>
      </top>
      <bottom/>
      <diagonal/>
    </border>
    <border>
      <left style="thin">
        <color theme="1" tint="0.249977111117893"/>
      </left>
      <right style="medium">
        <color indexed="64"/>
      </right>
      <top/>
      <bottom style="thin">
        <color theme="1" tint="0.249977111117893"/>
      </bottom>
      <diagonal/>
    </border>
  </borders>
  <cellStyleXfs count="100">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43" fontId="38" fillId="0" borderId="0" applyFont="0" applyFill="0" applyBorder="0" applyAlignment="0" applyProtection="0"/>
    <xf numFmtId="9"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1" borderId="45">
      <alignment vertical="center"/>
    </xf>
    <xf numFmtId="0" fontId="86" fillId="0" borderId="0"/>
    <xf numFmtId="0" fontId="2" fillId="0" borderId="0"/>
    <xf numFmtId="0" fontId="46" fillId="0" borderId="0"/>
    <xf numFmtId="0" fontId="94" fillId="0" borderId="0" applyNumberFormat="0" applyFill="0" applyBorder="0" applyAlignment="0" applyProtection="0"/>
    <xf numFmtId="44" fontId="38" fillId="0" borderId="0" applyFont="0" applyFill="0" applyBorder="0" applyAlignment="0" applyProtection="0"/>
    <xf numFmtId="0" fontId="99" fillId="0" borderId="67" applyNumberFormat="0" applyFill="0" applyAlignment="0" applyProtection="0"/>
    <xf numFmtId="0" fontId="1" fillId="0" borderId="0"/>
    <xf numFmtId="0" fontId="22" fillId="0" borderId="0" applyNumberFormat="0" applyFill="0" applyBorder="0" applyAlignment="0" applyProtection="0"/>
  </cellStyleXfs>
  <cellXfs count="614">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0" borderId="0" xfId="0" quotePrefix="1" applyAlignment="1">
      <alignment horizontal="left"/>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0" fontId="46" fillId="0" borderId="0" xfId="84"/>
    <xf numFmtId="0" fontId="46" fillId="6" borderId="0" xfId="84" applyFill="1" applyProtection="1">
      <protection locked="0"/>
    </xf>
    <xf numFmtId="3" fontId="48" fillId="5" borderId="0" xfId="87" applyNumberFormat="1" applyFont="1" applyFill="1" applyAlignment="1">
      <alignment horizontal="left" vertical="top"/>
    </xf>
    <xf numFmtId="0" fontId="48" fillId="5" borderId="0" xfId="87" applyFont="1" applyFill="1">
      <alignment vertical="top"/>
    </xf>
    <xf numFmtId="0" fontId="49" fillId="7" borderId="26" xfId="84" applyFont="1" applyFill="1" applyBorder="1"/>
    <xf numFmtId="0" fontId="50" fillId="6" borderId="0" xfId="84" applyFont="1" applyFill="1" applyAlignment="1" applyProtection="1">
      <alignment horizontal="left" vertical="center"/>
      <protection locked="0"/>
    </xf>
    <xf numFmtId="0" fontId="46" fillId="5" borderId="0" xfId="84" applyFill="1" applyAlignment="1">
      <alignment wrapText="1"/>
    </xf>
    <xf numFmtId="2" fontId="48" fillId="5" borderId="0" xfId="87" applyNumberFormat="1" applyFont="1" applyFill="1" applyAlignment="1">
      <alignment horizontal="left" vertical="top"/>
    </xf>
    <xf numFmtId="3" fontId="50" fillId="7" borderId="26" xfId="84" applyNumberFormat="1" applyFont="1" applyFill="1" applyBorder="1" applyAlignment="1">
      <alignment horizontal="right" vertical="center"/>
    </xf>
    <xf numFmtId="0" fontId="51" fillId="6" borderId="0" xfId="84" applyFont="1" applyFill="1" applyAlignment="1" applyProtection="1">
      <alignment horizontal="left" vertical="center"/>
      <protection locked="0"/>
    </xf>
    <xf numFmtId="0" fontId="46" fillId="6" borderId="0" xfId="84" applyFill="1"/>
    <xf numFmtId="0" fontId="50" fillId="6" borderId="0" xfId="84" applyFont="1" applyFill="1" applyAlignment="1">
      <alignment horizontal="left" vertical="center"/>
    </xf>
    <xf numFmtId="168" fontId="48" fillId="5" borderId="0" xfId="87" applyNumberFormat="1" applyFont="1" applyFill="1" applyAlignment="1">
      <alignment horizontal="left" vertical="top"/>
    </xf>
    <xf numFmtId="168" fontId="50" fillId="7" borderId="26" xfId="84" applyNumberFormat="1" applyFont="1" applyFill="1" applyBorder="1" applyAlignment="1">
      <alignment horizontal="right" vertical="center"/>
    </xf>
    <xf numFmtId="0" fontId="50" fillId="7" borderId="26" xfId="84" applyFont="1" applyFill="1" applyBorder="1" applyAlignment="1">
      <alignment horizontal="right" vertical="center"/>
    </xf>
    <xf numFmtId="49" fontId="50" fillId="7" borderId="26" xfId="84" applyNumberFormat="1" applyFont="1" applyFill="1" applyBorder="1" applyAlignment="1">
      <alignment horizontal="right" vertical="center"/>
    </xf>
    <xf numFmtId="0" fontId="48" fillId="5" borderId="0" xfId="87" applyFont="1" applyFill="1" applyAlignment="1">
      <alignment horizontal="left" vertical="top"/>
    </xf>
    <xf numFmtId="49" fontId="48" fillId="5" borderId="0" xfId="87" applyNumberFormat="1" applyFont="1" applyFill="1" applyAlignment="1">
      <alignment horizontal="left" vertical="top"/>
    </xf>
    <xf numFmtId="1" fontId="48" fillId="5" borderId="0" xfId="87" applyNumberFormat="1" applyFont="1" applyFill="1" applyAlignment="1">
      <alignment horizontal="left" vertical="top"/>
    </xf>
    <xf numFmtId="1" fontId="50" fillId="7" borderId="26" xfId="84" applyNumberFormat="1" applyFont="1" applyFill="1" applyBorder="1" applyAlignment="1">
      <alignment horizontal="right" vertical="center"/>
    </xf>
    <xf numFmtId="0" fontId="50" fillId="7" borderId="26" xfId="84" applyFont="1" applyFill="1" applyBorder="1" applyAlignment="1">
      <alignment horizontal="left" vertical="center"/>
    </xf>
    <xf numFmtId="4" fontId="46" fillId="5" borderId="0" xfId="84" applyNumberFormat="1" applyFill="1" applyAlignment="1">
      <alignment horizontal="left"/>
    </xf>
    <xf numFmtId="0" fontId="46" fillId="5" borderId="0" xfId="84" applyFill="1"/>
    <xf numFmtId="170" fontId="48" fillId="5" borderId="0" xfId="87" applyNumberFormat="1" applyFont="1" applyFill="1" applyAlignment="1">
      <alignment horizontal="left" vertical="top"/>
    </xf>
    <xf numFmtId="0" fontId="56" fillId="6" borderId="0" xfId="84" applyFont="1" applyFill="1"/>
    <xf numFmtId="0" fontId="57" fillId="5" borderId="0" xfId="87" applyFont="1" applyFill="1" applyAlignment="1">
      <alignment horizontal="left" vertical="top"/>
    </xf>
    <xf numFmtId="0" fontId="57" fillId="5" borderId="0" xfId="87" applyFont="1" applyFill="1">
      <alignment vertical="top"/>
    </xf>
    <xf numFmtId="0" fontId="58" fillId="7" borderId="0" xfId="84" applyFont="1" applyFill="1"/>
    <xf numFmtId="0" fontId="58" fillId="0" borderId="0" xfId="84" applyFont="1"/>
    <xf numFmtId="0" fontId="58" fillId="8" borderId="0" xfId="84" applyFont="1" applyFill="1"/>
    <xf numFmtId="0" fontId="58" fillId="7" borderId="0" xfId="84" applyFont="1" applyFill="1" applyAlignment="1">
      <alignment vertical="center"/>
    </xf>
    <xf numFmtId="0" fontId="60" fillId="15" borderId="32" xfId="84" applyFont="1" applyFill="1" applyBorder="1"/>
    <xf numFmtId="0" fontId="58" fillId="12" borderId="0" xfId="84" applyFont="1" applyFill="1"/>
    <xf numFmtId="0" fontId="58" fillId="12" borderId="0" xfId="84" applyFont="1" applyFill="1" applyAlignment="1">
      <alignment horizontal="center"/>
    </xf>
    <xf numFmtId="0" fontId="63" fillId="12" borderId="0" xfId="84" applyFont="1" applyFill="1"/>
    <xf numFmtId="0" fontId="63" fillId="12" borderId="0" xfId="84" applyFont="1" applyFill="1" applyAlignment="1">
      <alignment horizontal="center"/>
    </xf>
    <xf numFmtId="0" fontId="63" fillId="12" borderId="0" xfId="84" applyFont="1" applyFill="1" applyAlignment="1">
      <alignment vertical="center"/>
    </xf>
    <xf numFmtId="0" fontId="72" fillId="12" borderId="0" xfId="84" applyFont="1" applyFill="1" applyAlignment="1">
      <alignment vertical="center"/>
    </xf>
    <xf numFmtId="0" fontId="63" fillId="6" borderId="0" xfId="84" applyFont="1" applyFill="1" applyAlignment="1">
      <alignment vertical="center"/>
    </xf>
    <xf numFmtId="0" fontId="73" fillId="12" borderId="0" xfId="84" applyFont="1" applyFill="1" applyAlignment="1">
      <alignment horizontal="center" vertical="center"/>
    </xf>
    <xf numFmtId="0" fontId="73" fillId="12" borderId="0" xfId="84" applyFont="1" applyFill="1" applyAlignment="1">
      <alignment vertical="center"/>
    </xf>
    <xf numFmtId="0" fontId="63" fillId="7" borderId="0" xfId="84" applyFont="1" applyFill="1" applyAlignment="1">
      <alignment vertical="center"/>
    </xf>
    <xf numFmtId="0" fontId="71" fillId="7" borderId="0" xfId="84" applyFont="1" applyFill="1" applyAlignment="1">
      <alignment horizontal="left" vertical="center"/>
    </xf>
    <xf numFmtId="0" fontId="73" fillId="12" borderId="0" xfId="84" applyFont="1" applyFill="1" applyAlignment="1">
      <alignment horizontal="left" vertical="center"/>
    </xf>
    <xf numFmtId="0" fontId="58" fillId="12" borderId="0" xfId="84" applyFont="1" applyFill="1" applyAlignment="1">
      <alignment vertical="center"/>
    </xf>
    <xf numFmtId="0" fontId="71" fillId="12" borderId="0" xfId="84" applyFont="1" applyFill="1" applyAlignment="1">
      <alignment horizontal="left" vertical="center"/>
    </xf>
    <xf numFmtId="0" fontId="63" fillId="12" borderId="0" xfId="84" applyFont="1" applyFill="1" applyAlignment="1">
      <alignment horizontal="right" vertical="center"/>
    </xf>
    <xf numFmtId="0" fontId="63" fillId="12" borderId="0" xfId="84" applyFont="1" applyFill="1" applyAlignment="1">
      <alignment horizontal="left" vertical="center"/>
    </xf>
    <xf numFmtId="49" fontId="63" fillId="12" borderId="0" xfId="84" applyNumberFormat="1" applyFont="1" applyFill="1" applyAlignment="1">
      <alignment horizontal="left" vertical="center"/>
    </xf>
    <xf numFmtId="0" fontId="60" fillId="12" borderId="0" xfId="84" applyFont="1" applyFill="1" applyAlignment="1">
      <alignment vertical="center"/>
    </xf>
    <xf numFmtId="0" fontId="73" fillId="0" borderId="0" xfId="84" applyFont="1" applyAlignment="1">
      <alignment vertical="center"/>
    </xf>
    <xf numFmtId="0" fontId="48" fillId="0" borderId="0" xfId="87" applyFont="1">
      <alignment vertical="top"/>
    </xf>
    <xf numFmtId="1" fontId="15" fillId="0" borderId="5" xfId="0" applyNumberFormat="1" applyFont="1" applyBorder="1" applyAlignment="1">
      <alignment wrapText="1"/>
    </xf>
    <xf numFmtId="172" fontId="15" fillId="0" borderId="5" xfId="82" applyNumberFormat="1" applyFont="1" applyBorder="1" applyAlignment="1">
      <alignment wrapText="1"/>
    </xf>
    <xf numFmtId="0" fontId="91"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173" fontId="0" fillId="0" borderId="0" xfId="0" applyNumberFormat="1"/>
    <xf numFmtId="43" fontId="14" fillId="0" borderId="0" xfId="82" applyFont="1"/>
    <xf numFmtId="3" fontId="14" fillId="0" borderId="0" xfId="0" applyNumberFormat="1" applyFont="1"/>
    <xf numFmtId="0" fontId="92" fillId="0" borderId="0" xfId="0" applyFont="1" applyAlignment="1">
      <alignment wrapText="1"/>
    </xf>
    <xf numFmtId="2" fontId="13" fillId="0" borderId="0" xfId="0" applyNumberFormat="1" applyFont="1"/>
    <xf numFmtId="0" fontId="93" fillId="0" borderId="0" xfId="0" applyFont="1" applyAlignment="1">
      <alignment wrapText="1"/>
    </xf>
    <xf numFmtId="2" fontId="14" fillId="0" borderId="0" xfId="0" applyNumberFormat="1" applyFont="1"/>
    <xf numFmtId="49" fontId="63" fillId="12" borderId="0" xfId="84" applyNumberFormat="1" applyFont="1" applyFill="1" applyAlignment="1">
      <alignment horizontal="right" vertical="center"/>
    </xf>
    <xf numFmtId="49" fontId="63" fillId="12" borderId="0" xfId="84" applyNumberFormat="1" applyFont="1" applyFill="1" applyAlignment="1">
      <alignment vertical="center"/>
    </xf>
    <xf numFmtId="0" fontId="63" fillId="0" borderId="53" xfId="84" applyFont="1" applyBorder="1" applyAlignment="1">
      <alignment horizontal="center" vertical="top" wrapText="1"/>
    </xf>
    <xf numFmtId="0" fontId="63" fillId="0" borderId="46" xfId="84" applyFont="1" applyBorder="1" applyAlignment="1">
      <alignment horizontal="center" vertical="top" wrapText="1"/>
    </xf>
    <xf numFmtId="0" fontId="73" fillId="16" borderId="54" xfId="84" applyFont="1" applyFill="1" applyBorder="1" applyAlignment="1">
      <alignment horizontal="center" wrapText="1"/>
    </xf>
    <xf numFmtId="0" fontId="73" fillId="16" borderId="55" xfId="84" applyFont="1" applyFill="1" applyBorder="1" applyAlignment="1">
      <alignment horizontal="center" wrapText="1"/>
    </xf>
    <xf numFmtId="0" fontId="46" fillId="0" borderId="0" xfId="84" applyAlignment="1">
      <alignment horizontal="center"/>
    </xf>
    <xf numFmtId="9" fontId="46" fillId="0" borderId="0" xfId="84" applyNumberFormat="1"/>
    <xf numFmtId="0" fontId="72" fillId="0" borderId="53" xfId="84" applyFont="1" applyBorder="1" applyAlignment="1">
      <alignment horizontal="center" vertical="top" wrapText="1"/>
    </xf>
    <xf numFmtId="0" fontId="72" fillId="0" borderId="46" xfId="84" applyFont="1" applyBorder="1" applyAlignment="1">
      <alignment vertical="top" wrapText="1"/>
    </xf>
    <xf numFmtId="0" fontId="87" fillId="9" borderId="46" xfId="84" applyFont="1" applyFill="1" applyBorder="1" applyAlignment="1">
      <alignment wrapText="1"/>
    </xf>
    <xf numFmtId="0" fontId="87" fillId="9" borderId="56" xfId="84" applyFont="1" applyFill="1" applyBorder="1" applyAlignment="1">
      <alignment wrapText="1"/>
    </xf>
    <xf numFmtId="0" fontId="87" fillId="0" borderId="0" xfId="84" applyFont="1" applyAlignment="1">
      <alignment horizontal="left" indent="9"/>
    </xf>
    <xf numFmtId="0" fontId="88" fillId="0" borderId="0" xfId="84" applyFont="1" applyAlignment="1">
      <alignment horizontal="left" indent="6"/>
    </xf>
    <xf numFmtId="0" fontId="89" fillId="0" borderId="53" xfId="84" applyFont="1" applyBorder="1" applyAlignment="1">
      <alignment horizontal="center" vertical="top" wrapText="1"/>
    </xf>
    <xf numFmtId="0" fontId="72" fillId="0" borderId="0" xfId="84" applyFont="1"/>
    <xf numFmtId="0" fontId="46" fillId="18" borderId="0" xfId="84" applyFill="1"/>
    <xf numFmtId="3" fontId="72" fillId="0" borderId="53" xfId="84" applyNumberFormat="1" applyFont="1" applyBorder="1" applyAlignment="1">
      <alignment horizontal="right" wrapText="1"/>
    </xf>
    <xf numFmtId="0" fontId="87" fillId="0" borderId="0" xfId="84" applyFont="1" applyAlignment="1">
      <alignment wrapText="1"/>
    </xf>
    <xf numFmtId="0" fontId="87" fillId="0" borderId="0" xfId="84" applyFont="1" applyAlignment="1">
      <alignment horizontal="center" wrapText="1"/>
    </xf>
    <xf numFmtId="0" fontId="87" fillId="9" borderId="21" xfId="84" applyFont="1" applyFill="1" applyBorder="1" applyAlignment="1">
      <alignment horizontal="center" wrapText="1"/>
    </xf>
    <xf numFmtId="0" fontId="72" fillId="0" borderId="53" xfId="84" applyFont="1" applyBorder="1" applyAlignment="1">
      <alignment horizontal="center" wrapText="1"/>
    </xf>
    <xf numFmtId="0" fontId="87" fillId="9" borderId="55" xfId="84" applyFont="1" applyFill="1" applyBorder="1" applyAlignment="1">
      <alignment horizontal="center" vertical="top" wrapText="1"/>
    </xf>
    <xf numFmtId="0" fontId="72" fillId="0" borderId="53" xfId="84" applyFont="1" applyBorder="1" applyAlignment="1">
      <alignment horizontal="center"/>
    </xf>
    <xf numFmtId="0" fontId="87" fillId="9" borderId="31" xfId="84" applyFont="1" applyFill="1" applyBorder="1" applyAlignment="1">
      <alignment horizontal="center"/>
    </xf>
    <xf numFmtId="0" fontId="72" fillId="9" borderId="31" xfId="84" applyFont="1" applyFill="1" applyBorder="1" applyAlignment="1">
      <alignment horizontal="center"/>
    </xf>
    <xf numFmtId="0" fontId="72" fillId="9" borderId="55" xfId="84" applyFont="1" applyFill="1" applyBorder="1" applyAlignment="1">
      <alignment horizontal="center"/>
    </xf>
    <xf numFmtId="0" fontId="46" fillId="19" borderId="0" xfId="84" applyFill="1"/>
    <xf numFmtId="10" fontId="46" fillId="0" borderId="0" xfId="84" applyNumberFormat="1"/>
    <xf numFmtId="0" fontId="87" fillId="9" borderId="0" xfId="84" applyFont="1" applyFill="1" applyAlignment="1">
      <alignment wrapText="1"/>
    </xf>
    <xf numFmtId="2" fontId="72" fillId="0" borderId="53" xfId="84" applyNumberFormat="1" applyFont="1" applyBorder="1" applyAlignment="1">
      <alignment horizontal="center" vertical="top" wrapText="1"/>
    </xf>
    <xf numFmtId="9" fontId="87" fillId="9" borderId="53" xfId="84" applyNumberFormat="1" applyFont="1" applyFill="1" applyBorder="1" applyAlignment="1">
      <alignment horizontal="center" vertical="top" wrapText="1"/>
    </xf>
    <xf numFmtId="10" fontId="87" fillId="9" borderId="53" xfId="84" applyNumberFormat="1" applyFont="1" applyFill="1" applyBorder="1" applyAlignment="1">
      <alignment horizontal="center" vertical="top" wrapText="1"/>
    </xf>
    <xf numFmtId="0" fontId="63" fillId="13" borderId="29" xfId="84" applyFont="1" applyFill="1" applyBorder="1" applyAlignment="1" applyProtection="1">
      <alignment vertical="center" wrapText="1" shrinkToFit="1"/>
      <protection locked="0"/>
    </xf>
    <xf numFmtId="164" fontId="15" fillId="0" borderId="61" xfId="0" applyNumberFormat="1" applyFont="1" applyBorder="1" applyAlignment="1">
      <alignment horizontal="left" vertical="center" wrapText="1"/>
    </xf>
    <xf numFmtId="0" fontId="12" fillId="0" borderId="62" xfId="0" applyFont="1" applyBorder="1" applyAlignment="1">
      <alignment horizontal="left" vertical="center" wrapText="1"/>
    </xf>
    <xf numFmtId="0" fontId="12" fillId="0" borderId="62" xfId="0" applyFont="1" applyBorder="1" applyAlignment="1">
      <alignment horizontal="left" vertical="center"/>
    </xf>
    <xf numFmtId="6" fontId="91" fillId="0" borderId="5" xfId="85" applyNumberFormat="1" applyFont="1" applyBorder="1" applyAlignment="1">
      <alignment horizontal="center" vertical="top" wrapText="1"/>
    </xf>
    <xf numFmtId="165" fontId="91" fillId="0" borderId="22" xfId="85" applyNumberFormat="1" applyFont="1" applyBorder="1" applyAlignment="1">
      <alignment horizontal="right" vertical="top" wrapText="1"/>
    </xf>
    <xf numFmtId="0" fontId="63" fillId="0" borderId="59" xfId="84" applyFont="1" applyBorder="1" applyAlignment="1">
      <alignment vertical="center"/>
    </xf>
    <xf numFmtId="0" fontId="95" fillId="0" borderId="0" xfId="0" applyFont="1" applyAlignment="1">
      <alignment vertical="center"/>
    </xf>
    <xf numFmtId="0" fontId="96" fillId="0" borderId="65" xfId="0" applyFont="1" applyBorder="1" applyAlignment="1">
      <alignment vertical="center" wrapText="1"/>
    </xf>
    <xf numFmtId="0" fontId="63" fillId="0" borderId="60" xfId="84" applyFont="1" applyBorder="1" applyAlignment="1">
      <alignment vertical="center"/>
    </xf>
    <xf numFmtId="0" fontId="98" fillId="3" borderId="16" xfId="0" applyFont="1" applyFill="1" applyBorder="1"/>
    <xf numFmtId="9" fontId="0" fillId="0" borderId="0" xfId="0" applyNumberFormat="1"/>
    <xf numFmtId="1" fontId="0" fillId="0" borderId="0" xfId="0" applyNumberFormat="1"/>
    <xf numFmtId="0" fontId="46" fillId="0" borderId="0" xfId="94"/>
    <xf numFmtId="173" fontId="46" fillId="0" borderId="0" xfId="94" applyNumberFormat="1"/>
    <xf numFmtId="44" fontId="9" fillId="0" borderId="0" xfId="96" applyFont="1"/>
    <xf numFmtId="0" fontId="63" fillId="12" borderId="0" xfId="84" applyFont="1" applyFill="1" applyAlignment="1">
      <alignment horizontal="center" vertical="center"/>
    </xf>
    <xf numFmtId="0" fontId="97" fillId="21" borderId="0" xfId="0" applyFont="1" applyFill="1" applyAlignment="1">
      <alignment vertical="center" wrapText="1"/>
    </xf>
    <xf numFmtId="0" fontId="97" fillId="21" borderId="64" xfId="0" applyFont="1" applyFill="1" applyBorder="1" applyAlignment="1">
      <alignment vertical="center" wrapText="1"/>
    </xf>
    <xf numFmtId="0" fontId="87" fillId="9" borderId="23" xfId="84" applyFont="1" applyFill="1" applyBorder="1" applyAlignment="1">
      <alignment horizontal="center" wrapText="1"/>
    </xf>
    <xf numFmtId="0" fontId="87" fillId="9" borderId="53" xfId="84" applyFont="1" applyFill="1" applyBorder="1" applyAlignment="1">
      <alignment horizontal="center" wrapText="1"/>
    </xf>
    <xf numFmtId="0" fontId="87" fillId="9" borderId="46" xfId="84" applyFont="1" applyFill="1" applyBorder="1" applyAlignment="1">
      <alignment horizontal="center" wrapText="1"/>
    </xf>
    <xf numFmtId="0" fontId="72" fillId="0" borderId="46" xfId="84" applyFont="1" applyBorder="1" applyAlignment="1">
      <alignment wrapText="1"/>
    </xf>
    <xf numFmtId="0" fontId="87" fillId="9" borderId="31" xfId="84" applyFont="1" applyFill="1" applyBorder="1" applyAlignment="1">
      <alignment horizontal="center" vertical="top" wrapText="1"/>
    </xf>
    <xf numFmtId="0" fontId="44" fillId="6" borderId="0" xfId="84" applyFont="1" applyFill="1" applyProtection="1">
      <protection locked="0"/>
    </xf>
    <xf numFmtId="0" fontId="56" fillId="6" borderId="0" xfId="84" applyFont="1" applyFill="1" applyProtection="1">
      <protection locked="0"/>
    </xf>
    <xf numFmtId="0" fontId="46" fillId="0" borderId="0" xfId="84" applyProtection="1">
      <protection locked="0"/>
    </xf>
    <xf numFmtId="0" fontId="48" fillId="0" borderId="0" xfId="87" applyFont="1" applyProtection="1">
      <alignment vertical="top"/>
      <protection locked="0"/>
    </xf>
    <xf numFmtId="0" fontId="55" fillId="6" borderId="0" xfId="84" applyFont="1" applyFill="1" applyProtection="1">
      <protection locked="0"/>
    </xf>
    <xf numFmtId="0" fontId="54" fillId="6" borderId="0" xfId="84" applyFont="1" applyFill="1" applyProtection="1">
      <protection locked="0"/>
    </xf>
    <xf numFmtId="0" fontId="54" fillId="0" borderId="0" xfId="84" applyFont="1" applyProtection="1">
      <protection locked="0"/>
    </xf>
    <xf numFmtId="0" fontId="52" fillId="6" borderId="0" xfId="84" applyFont="1" applyFill="1" applyAlignment="1" applyProtection="1">
      <alignment vertical="center"/>
      <protection locked="0"/>
    </xf>
    <xf numFmtId="0" fontId="53" fillId="6" borderId="0" xfId="84" applyFont="1" applyFill="1" applyAlignment="1" applyProtection="1">
      <alignment vertical="center"/>
      <protection locked="0"/>
    </xf>
    <xf numFmtId="0" fontId="49" fillId="6" borderId="0" xfId="84" applyFont="1" applyFill="1" applyProtection="1">
      <protection locked="0"/>
    </xf>
    <xf numFmtId="0" fontId="50" fillId="6" borderId="0" xfId="84" applyFont="1" applyFill="1" applyAlignment="1" applyProtection="1">
      <alignment horizontal="right" vertical="center"/>
      <protection locked="0"/>
    </xf>
    <xf numFmtId="175" fontId="50" fillId="5" borderId="27" xfId="84" applyNumberFormat="1" applyFont="1" applyFill="1" applyBorder="1" applyAlignment="1">
      <alignment horizontal="right" vertical="center"/>
    </xf>
    <xf numFmtId="1" fontId="50" fillId="5" borderId="26" xfId="84" applyNumberFormat="1" applyFont="1" applyFill="1" applyBorder="1" applyAlignment="1">
      <alignment horizontal="right" vertical="center"/>
    </xf>
    <xf numFmtId="0" fontId="52" fillId="6" borderId="20" xfId="84" applyFont="1" applyFill="1" applyBorder="1" applyAlignment="1" applyProtection="1">
      <alignment vertical="center"/>
      <protection locked="0"/>
    </xf>
    <xf numFmtId="170" fontId="50" fillId="7" borderId="26" xfId="88" applyNumberFormat="1" applyFont="1" applyFill="1" applyBorder="1" applyAlignment="1" applyProtection="1">
      <alignment horizontal="right" vertical="center"/>
    </xf>
    <xf numFmtId="2" fontId="50" fillId="7" borderId="26" xfId="89" applyNumberFormat="1" applyFont="1" applyFill="1" applyBorder="1" applyAlignment="1" applyProtection="1">
      <alignment horizontal="right" vertical="center"/>
    </xf>
    <xf numFmtId="0" fontId="52" fillId="6" borderId="0" xfId="84" applyFont="1" applyFill="1" applyAlignment="1" applyProtection="1">
      <alignment horizontal="left" vertical="center"/>
      <protection locked="0"/>
    </xf>
    <xf numFmtId="2" fontId="50" fillId="5" borderId="26" xfId="84" applyNumberFormat="1" applyFont="1" applyFill="1" applyBorder="1" applyAlignment="1">
      <alignment horizontal="right" vertical="center"/>
    </xf>
    <xf numFmtId="3" fontId="50" fillId="5" borderId="26" xfId="84" applyNumberFormat="1" applyFont="1" applyFill="1" applyBorder="1" applyAlignment="1">
      <alignment horizontal="right" vertical="center"/>
    </xf>
    <xf numFmtId="4" fontId="50" fillId="5" borderId="26" xfId="84" applyNumberFormat="1" applyFont="1" applyFill="1" applyBorder="1" applyAlignment="1">
      <alignment horizontal="right" vertical="center"/>
    </xf>
    <xf numFmtId="4" fontId="50" fillId="5" borderId="26" xfId="88" applyNumberFormat="1" applyFont="1" applyFill="1" applyBorder="1" applyAlignment="1" applyProtection="1">
      <alignment horizontal="right" vertical="center"/>
      <protection locked="0"/>
    </xf>
    <xf numFmtId="4" fontId="50" fillId="5" borderId="26" xfId="88" applyNumberFormat="1" applyFont="1" applyFill="1" applyBorder="1" applyAlignment="1" applyProtection="1">
      <alignment horizontal="right" vertical="center"/>
    </xf>
    <xf numFmtId="43" fontId="50" fillId="7" borderId="26" xfId="88" applyFont="1" applyFill="1" applyBorder="1" applyAlignment="1" applyProtection="1">
      <alignment horizontal="right" vertical="center"/>
    </xf>
    <xf numFmtId="0" fontId="50" fillId="6" borderId="0" xfId="84" applyFont="1" applyFill="1" applyAlignment="1" applyProtection="1">
      <alignment horizontal="left" vertical="center" indent="15"/>
      <protection locked="0"/>
    </xf>
    <xf numFmtId="0" fontId="60" fillId="15" borderId="33" xfId="84" applyFont="1" applyFill="1" applyBorder="1"/>
    <xf numFmtId="0" fontId="71" fillId="15" borderId="32" xfId="84" applyFont="1" applyFill="1" applyBorder="1" applyAlignment="1">
      <alignment horizontal="left" vertical="center"/>
    </xf>
    <xf numFmtId="0" fontId="58" fillId="15" borderId="32" xfId="84" applyFont="1" applyFill="1" applyBorder="1"/>
    <xf numFmtId="0" fontId="60" fillId="15" borderId="31" xfId="84" applyFont="1" applyFill="1" applyBorder="1"/>
    <xf numFmtId="0" fontId="70" fillId="14" borderId="0" xfId="84" applyFont="1" applyFill="1" applyAlignment="1">
      <alignment vertical="center"/>
    </xf>
    <xf numFmtId="0" fontId="67" fillId="14" borderId="0" xfId="84" applyFont="1" applyFill="1" applyAlignment="1">
      <alignment horizontal="left" vertical="top" wrapText="1"/>
    </xf>
    <xf numFmtId="0" fontId="61" fillId="7" borderId="0" xfId="84" applyFont="1" applyFill="1" applyAlignment="1">
      <alignment horizontal="left" vertical="center" wrapText="1"/>
    </xf>
    <xf numFmtId="0" fontId="67" fillId="7" borderId="0" xfId="84" applyFont="1" applyFill="1" applyAlignment="1">
      <alignment horizontal="left" vertical="center" wrapText="1"/>
    </xf>
    <xf numFmtId="0" fontId="67" fillId="7" borderId="0" xfId="84" applyFont="1" applyFill="1" applyAlignment="1">
      <alignment horizontal="left" vertical="top" wrapText="1"/>
    </xf>
    <xf numFmtId="0" fontId="58" fillId="7" borderId="0" xfId="84" quotePrefix="1" applyFont="1" applyFill="1" applyAlignment="1">
      <alignment horizontal="left" vertical="center"/>
    </xf>
    <xf numFmtId="0" fontId="69" fillId="7" borderId="0" xfId="84" applyFont="1" applyFill="1" applyAlignment="1">
      <alignment horizontal="left" vertical="center"/>
    </xf>
    <xf numFmtId="0" fontId="69" fillId="7" borderId="0" xfId="84" applyFont="1" applyFill="1" applyAlignment="1">
      <alignment horizontal="left" vertical="top"/>
    </xf>
    <xf numFmtId="0" fontId="67" fillId="7" borderId="0" xfId="84" applyFont="1" applyFill="1" applyAlignment="1">
      <alignment horizontal="left" vertical="top"/>
    </xf>
    <xf numFmtId="0" fontId="58" fillId="7" borderId="0" xfId="84" applyFont="1" applyFill="1" applyAlignment="1">
      <alignment vertical="center" wrapText="1"/>
    </xf>
    <xf numFmtId="0" fontId="58" fillId="7" borderId="0" xfId="84" applyFont="1" applyFill="1" applyAlignment="1">
      <alignment vertical="top" wrapText="1"/>
    </xf>
    <xf numFmtId="0" fontId="63" fillId="7" borderId="0" xfId="84" applyFont="1" applyFill="1" applyAlignment="1">
      <alignment vertical="top" wrapText="1"/>
    </xf>
    <xf numFmtId="0" fontId="58" fillId="9" borderId="0" xfId="84" applyFont="1" applyFill="1"/>
    <xf numFmtId="0" fontId="65" fillId="7" borderId="0" xfId="84" applyFont="1" applyFill="1" applyAlignment="1">
      <alignment vertical="top" wrapText="1"/>
    </xf>
    <xf numFmtId="0" fontId="66" fillId="7" borderId="0" xfId="84" applyFont="1" applyFill="1" applyAlignment="1">
      <alignment vertical="top" wrapText="1"/>
    </xf>
    <xf numFmtId="0" fontId="64" fillId="7" borderId="0" xfId="84" applyFont="1" applyFill="1" applyAlignment="1">
      <alignment horizontal="left" vertical="center" wrapText="1"/>
    </xf>
    <xf numFmtId="0" fontId="58" fillId="7" borderId="0" xfId="84" quotePrefix="1" applyFont="1" applyFill="1" applyAlignment="1">
      <alignment horizontal="left"/>
    </xf>
    <xf numFmtId="0" fontId="63" fillId="7" borderId="0" xfId="84" quotePrefix="1" applyFont="1" applyFill="1" applyAlignment="1">
      <alignment horizontal="left"/>
    </xf>
    <xf numFmtId="0" fontId="58" fillId="7" borderId="0" xfId="84" quotePrefix="1" applyFont="1" applyFill="1" applyAlignment="1">
      <alignment horizontal="left" vertical="top"/>
    </xf>
    <xf numFmtId="0" fontId="63" fillId="7" borderId="0" xfId="84" quotePrefix="1" applyFont="1" applyFill="1" applyAlignment="1">
      <alignment horizontal="left" vertical="top"/>
    </xf>
    <xf numFmtId="0" fontId="58" fillId="7" borderId="0" xfId="84" quotePrefix="1" applyFont="1" applyFill="1" applyAlignment="1">
      <alignment vertical="center"/>
    </xf>
    <xf numFmtId="0" fontId="58" fillId="11" borderId="17" xfId="84" applyFont="1" applyFill="1" applyBorder="1" applyAlignment="1">
      <alignment vertical="center"/>
    </xf>
    <xf numFmtId="0" fontId="58" fillId="11" borderId="19" xfId="84" applyFont="1" applyFill="1" applyBorder="1" applyAlignment="1">
      <alignment vertical="center"/>
    </xf>
    <xf numFmtId="0" fontId="58" fillId="7" borderId="0" xfId="84" quotePrefix="1" applyFont="1" applyFill="1" applyAlignment="1">
      <alignment vertical="top"/>
    </xf>
    <xf numFmtId="0" fontId="62" fillId="10" borderId="0" xfId="84" applyFont="1" applyFill="1"/>
    <xf numFmtId="0" fontId="61" fillId="10" borderId="0" xfId="84" applyFont="1" applyFill="1"/>
    <xf numFmtId="0" fontId="58" fillId="10" borderId="0" xfId="84" applyFont="1" applyFill="1"/>
    <xf numFmtId="0" fontId="62" fillId="7" borderId="0" xfId="84" applyFont="1" applyFill="1"/>
    <xf numFmtId="0" fontId="61" fillId="7" borderId="0" xfId="84" applyFont="1" applyFill="1"/>
    <xf numFmtId="0" fontId="58" fillId="6" borderId="0" xfId="84" applyFont="1" applyFill="1"/>
    <xf numFmtId="0" fontId="59" fillId="7" borderId="0" xfId="90" applyFill="1" applyAlignment="1" applyProtection="1"/>
    <xf numFmtId="0" fontId="72" fillId="7" borderId="0" xfId="84" applyFont="1" applyFill="1" applyAlignment="1">
      <alignment vertical="center"/>
    </xf>
    <xf numFmtId="0" fontId="77" fillId="7" borderId="0" xfId="84" applyFont="1" applyFill="1" applyAlignment="1">
      <alignment horizontal="left" vertical="center"/>
    </xf>
    <xf numFmtId="0" fontId="63" fillId="7" borderId="0" xfId="84" applyFont="1" applyFill="1"/>
    <xf numFmtId="0" fontId="63" fillId="12" borderId="68" xfId="84" applyFont="1" applyFill="1" applyBorder="1" applyAlignment="1">
      <alignment vertical="center"/>
    </xf>
    <xf numFmtId="0" fontId="63" fillId="6" borderId="34" xfId="84" applyFont="1" applyFill="1" applyBorder="1" applyAlignment="1">
      <alignment horizontal="center" vertical="center"/>
    </xf>
    <xf numFmtId="0" fontId="63" fillId="6" borderId="34" xfId="84" applyFont="1" applyFill="1" applyBorder="1" applyAlignment="1">
      <alignment vertical="center"/>
    </xf>
    <xf numFmtId="0" fontId="73" fillId="6" borderId="34" xfId="84" applyFont="1" applyFill="1" applyBorder="1" applyAlignment="1">
      <alignment horizontal="center" vertical="center"/>
    </xf>
    <xf numFmtId="0" fontId="73" fillId="6" borderId="34" xfId="84" applyFont="1" applyFill="1" applyBorder="1" applyAlignment="1">
      <alignment vertical="center"/>
    </xf>
    <xf numFmtId="0" fontId="72" fillId="12" borderId="68" xfId="84" applyFont="1" applyFill="1" applyBorder="1" applyAlignment="1">
      <alignment vertical="center"/>
    </xf>
    <xf numFmtId="0" fontId="63" fillId="6" borderId="34" xfId="84" applyFont="1" applyFill="1" applyBorder="1" applyAlignment="1">
      <alignment vertical="top"/>
    </xf>
    <xf numFmtId="0" fontId="63" fillId="6" borderId="34" xfId="84" applyFont="1" applyFill="1" applyBorder="1" applyAlignment="1">
      <alignment vertical="top" wrapText="1"/>
    </xf>
    <xf numFmtId="0" fontId="63" fillId="6" borderId="34" xfId="84" applyFont="1" applyFill="1" applyBorder="1" applyAlignment="1">
      <alignment vertical="center" wrapText="1"/>
    </xf>
    <xf numFmtId="0" fontId="73" fillId="6" borderId="28" xfId="84" applyFont="1" applyFill="1" applyBorder="1" applyAlignment="1">
      <alignment horizontal="left" vertical="center"/>
    </xf>
    <xf numFmtId="0" fontId="73" fillId="6" borderId="28" xfId="84" applyFont="1" applyFill="1" applyBorder="1" applyAlignment="1">
      <alignment vertical="center"/>
    </xf>
    <xf numFmtId="0" fontId="73" fillId="12" borderId="68" xfId="84" applyFont="1" applyFill="1" applyBorder="1" applyAlignment="1">
      <alignment vertical="center"/>
    </xf>
    <xf numFmtId="49" fontId="63" fillId="6" borderId="30" xfId="84" applyNumberFormat="1" applyFont="1" applyFill="1" applyBorder="1" applyAlignment="1">
      <alignment horizontal="right" vertical="center"/>
    </xf>
    <xf numFmtId="0" fontId="63" fillId="6" borderId="29" xfId="84" applyFont="1" applyFill="1" applyBorder="1" applyAlignment="1">
      <alignment vertical="center"/>
    </xf>
    <xf numFmtId="0" fontId="63" fillId="6" borderId="34" xfId="84" applyFont="1" applyFill="1" applyBorder="1" applyAlignment="1">
      <alignment horizontal="right" vertical="center"/>
    </xf>
    <xf numFmtId="0" fontId="73" fillId="6" borderId="34" xfId="84" applyFont="1" applyFill="1" applyBorder="1" applyAlignment="1">
      <alignment horizontal="right" vertical="center"/>
    </xf>
    <xf numFmtId="0" fontId="73" fillId="6" borderId="34" xfId="84" applyFont="1" applyFill="1" applyBorder="1" applyAlignment="1">
      <alignment horizontal="left" vertical="center"/>
    </xf>
    <xf numFmtId="0" fontId="63" fillId="6" borderId="0" xfId="84" applyFont="1" applyFill="1" applyAlignment="1">
      <alignment horizontal="center" vertical="center"/>
    </xf>
    <xf numFmtId="49" fontId="63" fillId="6" borderId="34" xfId="84" applyNumberFormat="1" applyFont="1" applyFill="1" applyBorder="1" applyAlignment="1">
      <alignment horizontal="right" vertical="center"/>
    </xf>
    <xf numFmtId="0" fontId="63" fillId="6" borderId="0" xfId="84" applyFont="1" applyFill="1" applyAlignment="1">
      <alignment horizontal="right" vertical="center"/>
    </xf>
    <xf numFmtId="3" fontId="63" fillId="6" borderId="0" xfId="84" applyNumberFormat="1" applyFont="1" applyFill="1" applyAlignment="1">
      <alignment horizontal="right" vertical="center"/>
    </xf>
    <xf numFmtId="0" fontId="73" fillId="6" borderId="30" xfId="84" applyFont="1" applyFill="1" applyBorder="1" applyAlignment="1">
      <alignment horizontal="left" vertical="center"/>
    </xf>
    <xf numFmtId="168" fontId="73" fillId="6" borderId="29" xfId="84" applyNumberFormat="1" applyFont="1" applyFill="1" applyBorder="1" applyAlignment="1">
      <alignment vertical="center"/>
    </xf>
    <xf numFmtId="0" fontId="72" fillId="8" borderId="66" xfId="84" applyFont="1" applyFill="1" applyBorder="1" applyAlignment="1">
      <alignment horizontal="center" vertical="center"/>
    </xf>
    <xf numFmtId="0" fontId="72" fillId="12" borderId="0" xfId="84" applyFont="1" applyFill="1"/>
    <xf numFmtId="0" fontId="72" fillId="0" borderId="0" xfId="84" applyFont="1" applyAlignment="1">
      <alignment vertical="center"/>
    </xf>
    <xf numFmtId="0" fontId="63" fillId="7" borderId="0" xfId="84" applyFont="1" applyFill="1" applyAlignment="1">
      <alignment horizontal="center" vertical="center"/>
    </xf>
    <xf numFmtId="0" fontId="63" fillId="6" borderId="28" xfId="84" applyFont="1" applyFill="1" applyBorder="1" applyAlignment="1">
      <alignment vertical="center"/>
    </xf>
    <xf numFmtId="0" fontId="63" fillId="6" borderId="30" xfId="84" applyFont="1" applyFill="1" applyBorder="1" applyAlignment="1">
      <alignment vertical="center"/>
    </xf>
    <xf numFmtId="2" fontId="63" fillId="6" borderId="34" xfId="84" applyNumberFormat="1" applyFont="1" applyFill="1" applyBorder="1" applyAlignment="1">
      <alignment vertical="center"/>
    </xf>
    <xf numFmtId="0" fontId="73" fillId="6" borderId="28" xfId="84" applyFont="1" applyFill="1" applyBorder="1" applyAlignment="1">
      <alignment horizontal="center" vertical="center"/>
    </xf>
    <xf numFmtId="0" fontId="63" fillId="6" borderId="28" xfId="84" applyFont="1" applyFill="1" applyBorder="1" applyAlignment="1">
      <alignment horizontal="right" vertical="center"/>
    </xf>
    <xf numFmtId="0" fontId="80" fillId="22" borderId="78" xfId="84" applyFont="1" applyFill="1" applyBorder="1" applyAlignment="1">
      <alignment horizontal="center" vertical="center"/>
    </xf>
    <xf numFmtId="0" fontId="63" fillId="13" borderId="34" xfId="84" applyFont="1" applyFill="1" applyBorder="1" applyAlignment="1" applyProtection="1">
      <alignment horizontal="center" vertical="center" wrapText="1"/>
      <protection locked="0"/>
    </xf>
    <xf numFmtId="0" fontId="73" fillId="6" borderId="0" xfId="84" applyFont="1" applyFill="1" applyAlignment="1">
      <alignment horizontal="center" vertical="center"/>
    </xf>
    <xf numFmtId="0" fontId="73" fillId="6" borderId="69" xfId="84" applyFont="1" applyFill="1" applyBorder="1" applyAlignment="1">
      <alignment horizontal="center" vertical="center"/>
    </xf>
    <xf numFmtId="0" fontId="63" fillId="6" borderId="69" xfId="84" applyFont="1" applyFill="1" applyBorder="1" applyAlignment="1">
      <alignment vertical="center"/>
    </xf>
    <xf numFmtId="0" fontId="63" fillId="6" borderId="69" xfId="84" applyFont="1" applyFill="1" applyBorder="1" applyAlignment="1">
      <alignment horizontal="right" vertical="center"/>
    </xf>
    <xf numFmtId="0" fontId="63" fillId="7" borderId="0" xfId="84" applyFont="1" applyFill="1" applyAlignment="1">
      <alignment horizontal="left" indent="2"/>
    </xf>
    <xf numFmtId="0" fontId="46" fillId="7" borderId="0" xfId="84" applyFill="1"/>
    <xf numFmtId="0" fontId="63" fillId="6" borderId="34" xfId="84" applyFont="1" applyFill="1" applyBorder="1" applyAlignment="1">
      <alignment horizontal="left" vertical="center"/>
    </xf>
    <xf numFmtId="0" fontId="63" fillId="6" borderId="30" xfId="84" applyFont="1" applyFill="1" applyBorder="1" applyAlignment="1">
      <alignment horizontal="center" vertical="center"/>
    </xf>
    <xf numFmtId="0" fontId="80" fillId="22" borderId="35" xfId="84" applyFont="1" applyFill="1" applyBorder="1" applyAlignment="1">
      <alignment horizontal="center" vertical="center"/>
    </xf>
    <xf numFmtId="0" fontId="63" fillId="6" borderId="29" xfId="84" applyFont="1" applyFill="1" applyBorder="1" applyAlignment="1">
      <alignment horizontal="center" vertical="center"/>
    </xf>
    <xf numFmtId="49" fontId="63" fillId="6" borderId="34" xfId="84" applyNumberFormat="1" applyFont="1" applyFill="1" applyBorder="1" applyAlignment="1">
      <alignment vertical="center"/>
    </xf>
    <xf numFmtId="0" fontId="73" fillId="7" borderId="0" xfId="84" applyFont="1" applyFill="1" applyAlignment="1">
      <alignment horizontal="left" vertical="center"/>
    </xf>
    <xf numFmtId="0" fontId="63" fillId="6" borderId="28" xfId="84" applyFont="1" applyFill="1" applyBorder="1" applyAlignment="1">
      <alignment horizontal="center" vertical="center"/>
    </xf>
    <xf numFmtId="0" fontId="73" fillId="6" borderId="79" xfId="84" applyFont="1" applyFill="1" applyBorder="1" applyAlignment="1">
      <alignment horizontal="center" vertical="center"/>
    </xf>
    <xf numFmtId="0" fontId="63" fillId="6" borderId="0" xfId="84" applyFont="1" applyFill="1" applyAlignment="1">
      <alignment horizontal="left" vertical="center"/>
    </xf>
    <xf numFmtId="0" fontId="63" fillId="6" borderId="81" xfId="84" applyFont="1" applyFill="1" applyBorder="1" applyAlignment="1">
      <alignment horizontal="center" vertical="center"/>
    </xf>
    <xf numFmtId="0" fontId="63" fillId="6" borderId="69" xfId="84" applyFont="1" applyFill="1" applyBorder="1" applyAlignment="1">
      <alignment horizontal="left" vertical="center"/>
    </xf>
    <xf numFmtId="49" fontId="63" fillId="6" borderId="34" xfId="84" applyNumberFormat="1" applyFont="1" applyFill="1" applyBorder="1" applyAlignment="1">
      <alignment horizontal="left" vertical="center"/>
    </xf>
    <xf numFmtId="3" fontId="63" fillId="12" borderId="0" xfId="84" applyNumberFormat="1" applyFont="1" applyFill="1" applyAlignment="1" applyProtection="1">
      <alignment vertical="center"/>
      <protection hidden="1"/>
    </xf>
    <xf numFmtId="0" fontId="63" fillId="7" borderId="0" xfId="84" applyFont="1" applyFill="1" applyAlignment="1">
      <alignment horizontal="left" vertical="top" wrapText="1"/>
    </xf>
    <xf numFmtId="0" fontId="80" fillId="22" borderId="51" xfId="84" applyFont="1" applyFill="1" applyBorder="1" applyAlignment="1">
      <alignment horizontal="center" vertical="center"/>
    </xf>
    <xf numFmtId="0" fontId="80" fillId="22" borderId="50" xfId="84" applyFont="1" applyFill="1" applyBorder="1" applyAlignment="1">
      <alignment horizontal="center" vertical="center"/>
    </xf>
    <xf numFmtId="0" fontId="63" fillId="6" borderId="49" xfId="84" applyFont="1" applyFill="1" applyBorder="1" applyAlignment="1">
      <alignment horizontal="center" vertical="center"/>
    </xf>
    <xf numFmtId="0" fontId="63" fillId="6" borderId="48" xfId="84" applyFont="1" applyFill="1" applyBorder="1" applyAlignment="1">
      <alignment horizontal="center" vertical="center"/>
    </xf>
    <xf numFmtId="0" fontId="63" fillId="6" borderId="48" xfId="84" applyFont="1" applyFill="1" applyBorder="1" applyAlignment="1">
      <alignment vertical="center" wrapText="1"/>
    </xf>
    <xf numFmtId="0" fontId="80" fillId="22" borderId="48" xfId="84" applyFont="1" applyFill="1" applyBorder="1" applyAlignment="1">
      <alignment horizontal="center" vertical="center" wrapText="1"/>
    </xf>
    <xf numFmtId="0" fontId="80" fillId="22" borderId="84" xfId="84" applyFont="1" applyFill="1" applyBorder="1" applyAlignment="1">
      <alignment vertical="center"/>
    </xf>
    <xf numFmtId="0" fontId="63" fillId="6" borderId="47" xfId="84" applyFont="1" applyFill="1" applyBorder="1" applyAlignment="1">
      <alignment vertical="center" wrapText="1"/>
    </xf>
    <xf numFmtId="0" fontId="63" fillId="6" borderId="47" xfId="84" applyFont="1" applyFill="1" applyBorder="1" applyAlignment="1">
      <alignment horizontal="center" vertical="center" wrapText="1"/>
    </xf>
    <xf numFmtId="0" fontId="73" fillId="7" borderId="0" xfId="84" applyFont="1" applyFill="1" applyAlignment="1">
      <alignment horizontal="center" vertical="center"/>
    </xf>
    <xf numFmtId="49" fontId="63" fillId="6" borderId="0" xfId="84" applyNumberFormat="1" applyFont="1" applyFill="1" applyAlignment="1">
      <alignment horizontal="left" vertical="center"/>
    </xf>
    <xf numFmtId="0" fontId="73" fillId="6" borderId="0" xfId="84" applyFont="1" applyFill="1" applyAlignment="1">
      <alignment vertical="center"/>
    </xf>
    <xf numFmtId="0" fontId="63" fillId="22" borderId="85" xfId="84" applyFont="1" applyFill="1" applyBorder="1"/>
    <xf numFmtId="0" fontId="80" fillId="22" borderId="86" xfId="84" quotePrefix="1" applyFont="1" applyFill="1" applyBorder="1" applyAlignment="1">
      <alignment vertical="center"/>
    </xf>
    <xf numFmtId="0" fontId="63" fillId="22" borderId="87" xfId="84" applyFont="1" applyFill="1" applyBorder="1"/>
    <xf numFmtId="0" fontId="63" fillId="22" borderId="88" xfId="84" applyFont="1" applyFill="1" applyBorder="1"/>
    <xf numFmtId="0" fontId="63" fillId="22" borderId="89" xfId="84" applyFont="1" applyFill="1" applyBorder="1"/>
    <xf numFmtId="0" fontId="105" fillId="22" borderId="90" xfId="84" applyFont="1" applyFill="1" applyBorder="1" applyAlignment="1">
      <alignment horizontal="right" vertical="center"/>
    </xf>
    <xf numFmtId="0" fontId="84" fillId="6" borderId="0" xfId="84" applyFont="1" applyFill="1" applyAlignment="1">
      <alignment horizontal="left" vertical="center"/>
    </xf>
    <xf numFmtId="0" fontId="84" fillId="6" borderId="0" xfId="84" applyFont="1" applyFill="1" applyAlignment="1">
      <alignment vertical="center"/>
    </xf>
    <xf numFmtId="0" fontId="84" fillId="6" borderId="0" xfId="84" applyFont="1" applyFill="1" applyAlignment="1">
      <alignment horizontal="right" vertical="center"/>
    </xf>
    <xf numFmtId="0" fontId="83" fillId="6" borderId="0" xfId="84" applyFont="1" applyFill="1" applyAlignment="1">
      <alignment horizontal="left" vertical="center"/>
    </xf>
    <xf numFmtId="1" fontId="63" fillId="12" borderId="0" xfId="84" applyNumberFormat="1" applyFont="1" applyFill="1" applyAlignment="1">
      <alignment horizontal="left" vertical="center"/>
    </xf>
    <xf numFmtId="0" fontId="73" fillId="9" borderId="56" xfId="84" applyFont="1" applyFill="1" applyBorder="1" applyAlignment="1">
      <alignment wrapText="1"/>
    </xf>
    <xf numFmtId="0" fontId="73" fillId="9" borderId="46" xfId="84" applyFont="1" applyFill="1" applyBorder="1" applyAlignment="1">
      <alignment wrapText="1"/>
    </xf>
    <xf numFmtId="0" fontId="73" fillId="9" borderId="53" xfId="84" applyFont="1" applyFill="1" applyBorder="1" applyAlignment="1">
      <alignment horizontal="center" vertical="top" wrapText="1"/>
    </xf>
    <xf numFmtId="168" fontId="1" fillId="0" borderId="26" xfId="98" applyNumberFormat="1" applyBorder="1"/>
    <xf numFmtId="0" fontId="1" fillId="0" borderId="0" xfId="98" applyAlignment="1">
      <alignment horizontal="center" vertical="center" wrapText="1"/>
    </xf>
    <xf numFmtId="0" fontId="1" fillId="0" borderId="0" xfId="98" applyAlignment="1">
      <alignment horizontal="center"/>
    </xf>
    <xf numFmtId="0" fontId="1" fillId="0" borderId="0" xfId="98"/>
    <xf numFmtId="0" fontId="46" fillId="0" borderId="0" xfId="84" applyAlignment="1">
      <alignment horizontal="left"/>
    </xf>
    <xf numFmtId="0" fontId="73" fillId="9" borderId="56" xfId="84" applyFont="1" applyFill="1" applyBorder="1" applyAlignment="1">
      <alignment horizontal="center" vertical="top" wrapText="1"/>
    </xf>
    <xf numFmtId="0" fontId="73" fillId="9" borderId="23" xfId="84" applyFont="1" applyFill="1" applyBorder="1" applyAlignment="1">
      <alignment horizontal="center" vertical="top" wrapText="1"/>
    </xf>
    <xf numFmtId="0" fontId="73" fillId="9" borderId="24" xfId="84" applyFont="1" applyFill="1" applyBorder="1" applyAlignment="1">
      <alignment horizontal="center" vertical="top" wrapText="1"/>
    </xf>
    <xf numFmtId="0" fontId="63" fillId="0" borderId="0" xfId="84" applyFont="1" applyAlignment="1">
      <alignment horizontal="left" vertical="top" wrapText="1"/>
    </xf>
    <xf numFmtId="0" fontId="73" fillId="9" borderId="94" xfId="84" applyFont="1" applyFill="1" applyBorder="1" applyAlignment="1">
      <alignment horizontal="center" vertical="top" wrapText="1"/>
    </xf>
    <xf numFmtId="0" fontId="73" fillId="9" borderId="21" xfId="84" applyFont="1" applyFill="1" applyBorder="1" applyAlignment="1">
      <alignment horizontal="center" vertical="top" wrapText="1"/>
    </xf>
    <xf numFmtId="0" fontId="73" fillId="9" borderId="0" xfId="84" applyFont="1" applyFill="1" applyAlignment="1">
      <alignment horizontal="center" vertical="top" wrapText="1"/>
    </xf>
    <xf numFmtId="0" fontId="46" fillId="9" borderId="46" xfId="84" applyFill="1" applyBorder="1" applyAlignment="1">
      <alignment vertical="top" wrapText="1"/>
    </xf>
    <xf numFmtId="0" fontId="46" fillId="9" borderId="53" xfId="84" applyFill="1" applyBorder="1" applyAlignment="1">
      <alignment vertical="top" wrapText="1"/>
    </xf>
    <xf numFmtId="0" fontId="46" fillId="9" borderId="57" xfId="84" applyFill="1" applyBorder="1" applyAlignment="1">
      <alignment vertical="top" wrapText="1"/>
    </xf>
    <xf numFmtId="0" fontId="63" fillId="0" borderId="57" xfId="84" applyFont="1" applyBorder="1" applyAlignment="1">
      <alignment horizontal="center" vertical="top" wrapText="1"/>
    </xf>
    <xf numFmtId="0" fontId="73" fillId="9" borderId="55" xfId="84" applyFont="1" applyFill="1" applyBorder="1" applyAlignment="1">
      <alignment vertical="top" wrapText="1"/>
    </xf>
    <xf numFmtId="9" fontId="63" fillId="0" borderId="31" xfId="84" applyNumberFormat="1" applyFont="1" applyBorder="1" applyAlignment="1">
      <alignment horizontal="center" wrapText="1"/>
    </xf>
    <xf numFmtId="10" fontId="63" fillId="0" borderId="31" xfId="84" applyNumberFormat="1" applyFont="1" applyBorder="1" applyAlignment="1">
      <alignment horizontal="center" wrapText="1"/>
    </xf>
    <xf numFmtId="0" fontId="73" fillId="9" borderId="46" xfId="84" applyFont="1" applyFill="1" applyBorder="1" applyAlignment="1">
      <alignment vertical="top" wrapText="1"/>
    </xf>
    <xf numFmtId="2" fontId="63" fillId="0" borderId="53" xfId="84" applyNumberFormat="1" applyFont="1" applyBorder="1" applyAlignment="1">
      <alignment horizontal="center" wrapText="1"/>
    </xf>
    <xf numFmtId="0" fontId="73" fillId="9" borderId="55" xfId="84" applyFont="1" applyFill="1" applyBorder="1" applyAlignment="1">
      <alignment horizontal="center" wrapText="1"/>
    </xf>
    <xf numFmtId="0" fontId="63" fillId="0" borderId="53" xfId="84" applyFont="1" applyBorder="1" applyAlignment="1">
      <alignment horizontal="center" wrapText="1"/>
    </xf>
    <xf numFmtId="0" fontId="63" fillId="0" borderId="95" xfId="84" applyFont="1" applyBorder="1" applyAlignment="1">
      <alignment horizontal="center" vertical="top" wrapText="1"/>
    </xf>
    <xf numFmtId="0" fontId="46" fillId="17" borderId="0" xfId="84" applyFill="1"/>
    <xf numFmtId="4" fontId="50" fillId="0" borderId="0" xfId="0" applyNumberFormat="1" applyFont="1"/>
    <xf numFmtId="0" fontId="97" fillId="21" borderId="65" xfId="0" applyFont="1" applyFill="1" applyBorder="1" applyAlignment="1">
      <alignment vertical="center" wrapText="1"/>
    </xf>
    <xf numFmtId="168" fontId="96" fillId="0" borderId="65" xfId="0" applyNumberFormat="1" applyFont="1" applyBorder="1" applyAlignment="1">
      <alignment vertical="center" wrapText="1"/>
    </xf>
    <xf numFmtId="0" fontId="96" fillId="0" borderId="0" xfId="0" applyFont="1" applyAlignment="1">
      <alignment vertical="center" wrapText="1"/>
    </xf>
    <xf numFmtId="1" fontId="96" fillId="0" borderId="65" xfId="0" applyNumberFormat="1" applyFont="1" applyBorder="1" applyAlignment="1">
      <alignment vertical="center" wrapText="1"/>
    </xf>
    <xf numFmtId="0" fontId="97" fillId="21" borderId="96" xfId="0" applyFont="1" applyFill="1" applyBorder="1" applyAlignment="1">
      <alignment vertical="center" wrapText="1"/>
    </xf>
    <xf numFmtId="174" fontId="96" fillId="0" borderId="65" xfId="0" applyNumberFormat="1" applyFont="1" applyBorder="1" applyAlignment="1">
      <alignment vertical="center" wrapText="1"/>
    </xf>
    <xf numFmtId="0" fontId="97" fillId="21" borderId="100" xfId="0" applyFont="1" applyFill="1" applyBorder="1" applyAlignment="1">
      <alignment vertical="center" wrapText="1"/>
    </xf>
    <xf numFmtId="0" fontId="97" fillId="21" borderId="97" xfId="0" applyFont="1" applyFill="1" applyBorder="1" applyAlignment="1">
      <alignment vertical="center" wrapText="1"/>
    </xf>
    <xf numFmtId="0" fontId="97" fillId="21" borderId="98" xfId="0" applyFont="1" applyFill="1" applyBorder="1" applyAlignment="1">
      <alignment vertical="center" wrapText="1"/>
    </xf>
    <xf numFmtId="0" fontId="97" fillId="21" borderId="99" xfId="0" applyFont="1" applyFill="1" applyBorder="1" applyAlignment="1">
      <alignment vertical="center" wrapText="1"/>
    </xf>
    <xf numFmtId="4" fontId="99" fillId="0" borderId="67" xfId="97" applyNumberFormat="1" applyAlignment="1"/>
    <xf numFmtId="9" fontId="0" fillId="0" borderId="0" xfId="83" applyFont="1"/>
    <xf numFmtId="173" fontId="0" fillId="5" borderId="0" xfId="0" applyNumberFormat="1" applyFill="1"/>
    <xf numFmtId="0" fontId="73" fillId="12" borderId="0" xfId="0" applyFont="1" applyFill="1" applyAlignment="1">
      <alignment horizontal="left" vertical="center"/>
    </xf>
    <xf numFmtId="0" fontId="58" fillId="7" borderId="0" xfId="84" applyFont="1" applyFill="1" applyProtection="1">
      <protection locked="0"/>
    </xf>
    <xf numFmtId="0" fontId="15" fillId="0" borderId="63" xfId="85" applyFont="1" applyBorder="1" applyAlignment="1">
      <alignment horizontal="left" vertical="center"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2" fillId="0" borderId="104" xfId="0" applyFont="1" applyBorder="1" applyAlignment="1">
      <alignment vertical="center"/>
    </xf>
    <xf numFmtId="0" fontId="15" fillId="0" borderId="109" xfId="0" applyFont="1" applyBorder="1" applyAlignment="1">
      <alignment horizontal="left" vertical="top" wrapText="1"/>
    </xf>
    <xf numFmtId="0" fontId="15" fillId="0" borderId="110" xfId="0" applyFont="1" applyBorder="1" applyAlignment="1">
      <alignment horizontal="left" vertical="top" wrapText="1"/>
    </xf>
    <xf numFmtId="0" fontId="13" fillId="0" borderId="21" xfId="0" applyFont="1" applyBorder="1"/>
    <xf numFmtId="0" fontId="12" fillId="0" borderId="22" xfId="0" applyFont="1" applyBorder="1"/>
    <xf numFmtId="0" fontId="36" fillId="0" borderId="111" xfId="0" quotePrefix="1" applyFont="1" applyBorder="1" applyAlignment="1">
      <alignment horizontal="left"/>
    </xf>
    <xf numFmtId="0" fontId="9" fillId="0" borderId="21" xfId="0" applyFont="1" applyBorder="1"/>
    <xf numFmtId="165" fontId="15" fillId="0" borderId="22" xfId="85" applyNumberFormat="1" applyFont="1" applyBorder="1" applyAlignment="1">
      <alignment horizontal="right" wrapText="1"/>
    </xf>
    <xf numFmtId="0" fontId="11" fillId="0" borderId="0" xfId="0" applyFont="1"/>
    <xf numFmtId="0" fontId="11" fillId="0" borderId="21" xfId="0" applyFont="1" applyBorder="1"/>
    <xf numFmtId="0" fontId="39" fillId="0" borderId="115" xfId="0" quotePrefix="1" applyFont="1" applyBorder="1" applyAlignment="1">
      <alignment horizontal="left"/>
    </xf>
    <xf numFmtId="0" fontId="39" fillId="0" borderId="111" xfId="0" quotePrefix="1" applyFont="1" applyBorder="1" applyAlignment="1">
      <alignment horizontal="left"/>
    </xf>
    <xf numFmtId="0" fontId="42" fillId="0" borderId="111" xfId="0" quotePrefix="1" applyFont="1" applyBorder="1" applyAlignment="1">
      <alignment horizontal="left"/>
    </xf>
    <xf numFmtId="0" fontId="15" fillId="0" borderId="117" xfId="0" applyFont="1" applyBorder="1" applyAlignment="1">
      <alignment wrapText="1"/>
    </xf>
    <xf numFmtId="0" fontId="15" fillId="0" borderId="117" xfId="0" applyFont="1" applyBorder="1" applyAlignment="1">
      <alignment horizontal="center" wrapText="1"/>
    </xf>
    <xf numFmtId="9" fontId="97" fillId="21" borderId="0" xfId="0" applyNumberFormat="1" applyFont="1" applyFill="1" applyAlignment="1">
      <alignment vertical="center" wrapText="1"/>
    </xf>
    <xf numFmtId="166" fontId="15" fillId="0" borderId="120" xfId="0" applyNumberFormat="1" applyFont="1" applyBorder="1" applyAlignment="1">
      <alignment horizontal="right" vertical="top" wrapText="1"/>
    </xf>
    <xf numFmtId="166" fontId="91" fillId="0" borderId="119" xfId="0" applyNumberFormat="1" applyFont="1" applyBorder="1" applyAlignment="1">
      <alignment horizontal="right" vertical="top" wrapText="1"/>
    </xf>
    <xf numFmtId="165" fontId="91" fillId="0" borderId="119" xfId="0" applyNumberFormat="1" applyFont="1" applyBorder="1" applyAlignment="1">
      <alignment horizontal="right" vertical="top" wrapText="1"/>
    </xf>
    <xf numFmtId="165" fontId="15" fillId="0" borderId="120" xfId="0" applyNumberFormat="1" applyFont="1" applyBorder="1" applyAlignment="1">
      <alignment horizontal="right" vertical="top" wrapText="1"/>
    </xf>
    <xf numFmtId="0" fontId="0" fillId="0" borderId="0" xfId="0" quotePrefix="1" applyFill="1"/>
    <xf numFmtId="0" fontId="107" fillId="0" borderId="0" xfId="84" applyFont="1"/>
    <xf numFmtId="0" fontId="0" fillId="0" borderId="0" xfId="0" quotePrefix="1" applyFill="1" applyBorder="1"/>
    <xf numFmtId="0" fontId="60" fillId="7" borderId="0" xfId="84" applyFont="1" applyFill="1" applyBorder="1" applyAlignment="1" applyProtection="1">
      <alignment horizontal="left" vertical="center"/>
      <protection locked="0"/>
    </xf>
    <xf numFmtId="0" fontId="12" fillId="0" borderId="105" xfId="0" applyFont="1" applyBorder="1" applyAlignment="1" applyProtection="1">
      <alignment horizontal="left" vertical="top"/>
      <protection locked="0"/>
    </xf>
    <xf numFmtId="1" fontId="15" fillId="0" borderId="5" xfId="0" applyNumberFormat="1" applyFont="1" applyBorder="1" applyAlignment="1" applyProtection="1">
      <alignment wrapText="1"/>
      <protection locked="0"/>
    </xf>
    <xf numFmtId="0" fontId="15" fillId="0" borderId="5" xfId="0" applyFont="1" applyBorder="1" applyAlignment="1" applyProtection="1">
      <alignment wrapText="1"/>
      <protection locked="0"/>
    </xf>
    <xf numFmtId="0" fontId="15" fillId="0" borderId="117" xfId="0" applyFont="1" applyBorder="1" applyAlignment="1" applyProtection="1">
      <alignment wrapText="1"/>
      <protection locked="0"/>
    </xf>
    <xf numFmtId="165" fontId="15" fillId="0" borderId="118" xfId="85" applyNumberFormat="1" applyFont="1" applyBorder="1" applyAlignment="1" applyProtection="1">
      <alignment horizontal="right" wrapText="1"/>
      <protection locked="0"/>
    </xf>
    <xf numFmtId="165" fontId="15" fillId="0" borderId="22" xfId="85" applyNumberFormat="1" applyFont="1" applyBorder="1" applyAlignment="1" applyProtection="1">
      <alignment horizontal="right" wrapText="1"/>
      <protection locked="0"/>
    </xf>
    <xf numFmtId="0" fontId="17" fillId="2" borderId="101" xfId="0" applyFont="1" applyFill="1" applyBorder="1" applyAlignment="1">
      <alignment vertical="center"/>
    </xf>
    <xf numFmtId="0" fontId="18" fillId="2" borderId="102" xfId="0" applyFont="1" applyFill="1" applyBorder="1" applyAlignment="1">
      <alignment vertical="center"/>
    </xf>
    <xf numFmtId="0" fontId="18" fillId="2" borderId="103" xfId="0" applyFont="1" applyFill="1" applyBorder="1" applyAlignment="1">
      <alignment vertical="center"/>
    </xf>
    <xf numFmtId="0" fontId="12" fillId="0" borderId="106" xfId="0" applyFont="1" applyBorder="1" applyAlignment="1">
      <alignment horizontal="left" vertical="center" wrapText="1"/>
    </xf>
    <xf numFmtId="0" fontId="12" fillId="0" borderId="12" xfId="0" applyFont="1" applyBorder="1" applyAlignment="1">
      <alignment horizontal="left" vertical="center" wrapText="1"/>
    </xf>
    <xf numFmtId="0" fontId="15" fillId="0" borderId="108" xfId="0" applyFont="1" applyBorder="1" applyAlignment="1">
      <alignment horizontal="left" vertical="top" wrapText="1"/>
    </xf>
    <xf numFmtId="0" fontId="15" fillId="0" borderId="2" xfId="0" applyFont="1" applyBorder="1" applyAlignment="1">
      <alignment horizontal="left" vertical="top" wrapText="1"/>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07" xfId="0" applyFont="1" applyBorder="1" applyAlignment="1">
      <alignment horizontal="left" vertical="center"/>
    </xf>
    <xf numFmtId="0" fontId="15" fillId="0" borderId="21" xfId="0" applyFont="1" applyBorder="1" applyAlignment="1" applyProtection="1">
      <alignment horizontal="left" vertical="top" wrapText="1"/>
      <protection locked="0"/>
    </xf>
    <xf numFmtId="0" fontId="15" fillId="0" borderId="63" xfId="85" applyFont="1" applyBorder="1" applyAlignment="1" applyProtection="1">
      <alignment horizontal="left" vertical="center" wrapText="1"/>
      <protection locked="0"/>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2" fillId="0" borderId="112" xfId="0" applyFont="1" applyBorder="1" applyAlignment="1">
      <alignment horizontal="left" vertical="top" wrapText="1"/>
    </xf>
    <xf numFmtId="0" fontId="12" fillId="0" borderId="111"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06"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108"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111"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91" fillId="0" borderId="13" xfId="85" applyNumberFormat="1" applyFont="1" applyBorder="1" applyAlignment="1">
      <alignment horizontal="center" vertical="top" wrapText="1"/>
    </xf>
    <xf numFmtId="6" fontId="91" fillId="0" borderId="14" xfId="85" applyNumberFormat="1" applyFont="1" applyBorder="1" applyAlignment="1">
      <alignment horizontal="center"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106" xfId="0" applyFont="1" applyBorder="1" applyAlignment="1">
      <alignment horizontal="left" vertical="center"/>
    </xf>
    <xf numFmtId="0" fontId="20" fillId="0" borderId="9" xfId="0" applyFont="1" applyBorder="1" applyAlignment="1">
      <alignment horizontal="left" vertical="center"/>
    </xf>
    <xf numFmtId="0" fontId="28" fillId="0" borderId="115" xfId="0" applyFont="1" applyBorder="1" applyAlignment="1">
      <alignment wrapText="1"/>
    </xf>
    <xf numFmtId="0" fontId="28" fillId="0" borderId="7" xfId="0" applyFont="1" applyBorder="1" applyAlignment="1">
      <alignment wrapText="1"/>
    </xf>
    <xf numFmtId="0" fontId="12" fillId="0" borderId="20" xfId="0" applyFont="1" applyBorder="1" applyAlignment="1">
      <alignment horizontal="left"/>
    </xf>
    <xf numFmtId="0" fontId="28" fillId="0" borderId="116" xfId="0" applyFont="1" applyBorder="1" applyAlignment="1">
      <alignment wrapText="1"/>
    </xf>
    <xf numFmtId="0" fontId="28" fillId="0" borderId="117" xfId="0" applyFont="1" applyBorder="1" applyAlignment="1">
      <alignment wrapText="1"/>
    </xf>
    <xf numFmtId="0" fontId="28" fillId="0" borderId="114" xfId="0" applyFont="1" applyBorder="1"/>
    <xf numFmtId="0" fontId="28" fillId="0" borderId="5" xfId="0" applyFont="1" applyBorder="1"/>
    <xf numFmtId="0" fontId="90" fillId="0" borderId="114" xfId="0" applyFont="1" applyBorder="1"/>
    <xf numFmtId="0" fontId="90"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113" xfId="0" applyFont="1" applyBorder="1" applyAlignment="1">
      <alignment horizontal="center" vertical="center" wrapText="1"/>
    </xf>
    <xf numFmtId="0" fontId="12" fillId="0" borderId="108" xfId="0" applyFont="1" applyBorder="1"/>
    <xf numFmtId="0" fontId="12" fillId="0" borderId="2" xfId="0" applyFont="1" applyBorder="1"/>
    <xf numFmtId="0" fontId="16" fillId="0" borderId="108" xfId="0" applyFont="1" applyBorder="1" applyAlignment="1">
      <alignment horizontal="left"/>
    </xf>
    <xf numFmtId="0" fontId="16" fillId="0" borderId="2" xfId="0" applyFont="1" applyBorder="1" applyAlignment="1">
      <alignment horizontal="left"/>
    </xf>
    <xf numFmtId="0" fontId="50" fillId="7" borderId="26" xfId="84" applyFont="1" applyFill="1" applyBorder="1" applyAlignment="1">
      <alignment horizontal="left" vertical="center" wrapText="1"/>
    </xf>
    <xf numFmtId="0" fontId="50" fillId="7" borderId="17" xfId="84" applyFont="1" applyFill="1" applyBorder="1" applyAlignment="1">
      <alignment horizontal="left" vertical="center" wrapText="1"/>
    </xf>
    <xf numFmtId="0" fontId="50" fillId="7" borderId="18" xfId="84" applyFont="1" applyFill="1" applyBorder="1" applyAlignment="1">
      <alignment horizontal="left" vertical="center" wrapText="1"/>
    </xf>
    <xf numFmtId="0" fontId="50" fillId="7" borderId="19" xfId="84" applyFont="1" applyFill="1" applyBorder="1" applyAlignment="1">
      <alignment horizontal="left" vertical="center" wrapText="1"/>
    </xf>
    <xf numFmtId="0" fontId="58" fillId="7" borderId="0" xfId="84" applyFont="1" applyFill="1" applyBorder="1" applyAlignment="1">
      <alignment horizontal="left" vertical="center" wrapText="1"/>
    </xf>
    <xf numFmtId="0" fontId="58" fillId="7" borderId="0" xfId="84" applyFont="1" applyFill="1" applyAlignment="1">
      <alignment horizontal="left" vertical="center" wrapText="1"/>
    </xf>
    <xf numFmtId="0" fontId="60" fillId="7" borderId="0" xfId="84" quotePrefix="1" applyFont="1" applyFill="1" applyAlignment="1">
      <alignment horizontal="left" vertical="center"/>
    </xf>
    <xf numFmtId="0" fontId="59" fillId="7" borderId="0" xfId="90" quotePrefix="1" applyFill="1" applyAlignment="1" applyProtection="1">
      <alignment horizontal="left" vertical="center"/>
      <protection locked="0"/>
    </xf>
    <xf numFmtId="2" fontId="58" fillId="13" borderId="30" xfId="84" applyNumberFormat="1" applyFont="1" applyFill="1" applyBorder="1" applyAlignment="1" applyProtection="1">
      <alignment horizontal="center" vertical="center"/>
      <protection locked="0"/>
    </xf>
    <xf numFmtId="2" fontId="58" fillId="13" borderId="29" xfId="84" applyNumberFormat="1" applyFont="1" applyFill="1" applyBorder="1" applyAlignment="1" applyProtection="1">
      <alignment horizontal="center" vertical="center"/>
      <protection locked="0"/>
    </xf>
    <xf numFmtId="3" fontId="58" fillId="12" borderId="28" xfId="84" applyNumberFormat="1" applyFont="1" applyFill="1" applyBorder="1" applyAlignment="1">
      <alignment horizontal="center" vertical="center"/>
    </xf>
    <xf numFmtId="0" fontId="63" fillId="13" borderId="34" xfId="84" applyFont="1" applyFill="1" applyBorder="1" applyAlignment="1" applyProtection="1">
      <alignment horizontal="left" vertical="center" wrapText="1" shrinkToFit="1"/>
      <protection locked="0"/>
    </xf>
    <xf numFmtId="0" fontId="63" fillId="11" borderId="26" xfId="84" applyFont="1" applyFill="1" applyBorder="1" applyAlignment="1">
      <alignment horizontal="left" vertical="top" wrapText="1"/>
    </xf>
    <xf numFmtId="0" fontId="63" fillId="11" borderId="26" xfId="84" applyFont="1" applyFill="1" applyBorder="1" applyAlignment="1">
      <alignment horizontal="left" vertical="center"/>
    </xf>
    <xf numFmtId="0" fontId="63" fillId="6" borderId="34" xfId="84" applyFont="1" applyFill="1" applyBorder="1" applyAlignment="1">
      <alignment horizontal="left" vertical="center"/>
    </xf>
    <xf numFmtId="0" fontId="63" fillId="13" borderId="69" xfId="84" applyFont="1" applyFill="1" applyBorder="1" applyAlignment="1" applyProtection="1">
      <alignment horizontal="center" vertical="center"/>
      <protection locked="0"/>
    </xf>
    <xf numFmtId="0" fontId="63" fillId="11" borderId="17" xfId="84" applyFont="1" applyFill="1" applyBorder="1" applyAlignment="1">
      <alignment horizontal="left" vertical="center"/>
    </xf>
    <xf numFmtId="0" fontId="63" fillId="11" borderId="18" xfId="84" applyFont="1" applyFill="1" applyBorder="1" applyAlignment="1">
      <alignment horizontal="left" vertical="center"/>
    </xf>
    <xf numFmtId="0" fontId="63" fillId="11" borderId="19" xfId="84" applyFont="1" applyFill="1" applyBorder="1" applyAlignment="1">
      <alignment horizontal="left" vertical="center"/>
    </xf>
    <xf numFmtId="17" fontId="63" fillId="13" borderId="34" xfId="84" applyNumberFormat="1" applyFont="1" applyFill="1" applyBorder="1" applyAlignment="1" applyProtection="1">
      <alignment horizontal="center" vertical="center"/>
      <protection locked="0"/>
    </xf>
    <xf numFmtId="0" fontId="63" fillId="13" borderId="34" xfId="84" applyFont="1" applyFill="1" applyBorder="1" applyAlignment="1" applyProtection="1">
      <alignment horizontal="center" vertical="center"/>
      <protection locked="0"/>
    </xf>
    <xf numFmtId="3" fontId="63" fillId="13" borderId="34" xfId="84" applyNumberFormat="1" applyFont="1" applyFill="1" applyBorder="1" applyAlignment="1" applyProtection="1">
      <alignment horizontal="center" vertical="center"/>
      <protection locked="0"/>
    </xf>
    <xf numFmtId="9" fontId="63" fillId="13" borderId="34" xfId="83" applyFont="1" applyFill="1" applyBorder="1" applyAlignment="1" applyProtection="1">
      <alignment horizontal="center" vertical="center"/>
      <protection locked="0"/>
    </xf>
    <xf numFmtId="0" fontId="63" fillId="11" borderId="17" xfId="84" applyFont="1" applyFill="1" applyBorder="1" applyAlignment="1">
      <alignment horizontal="left" vertical="center" wrapText="1"/>
    </xf>
    <xf numFmtId="0" fontId="63" fillId="11" borderId="18" xfId="84" applyFont="1" applyFill="1" applyBorder="1" applyAlignment="1">
      <alignment horizontal="left" vertical="center" wrapText="1"/>
    </xf>
    <xf numFmtId="0" fontId="63" fillId="11" borderId="19" xfId="84" applyFont="1" applyFill="1" applyBorder="1" applyAlignment="1">
      <alignment horizontal="left" vertical="center" wrapText="1"/>
    </xf>
    <xf numFmtId="4" fontId="63" fillId="13" borderId="34" xfId="84" applyNumberFormat="1" applyFont="1" applyFill="1" applyBorder="1" applyAlignment="1" applyProtection="1">
      <alignment horizontal="center" vertical="center"/>
      <protection locked="0"/>
    </xf>
    <xf numFmtId="176" fontId="63" fillId="13" borderId="34" xfId="84" applyNumberFormat="1" applyFont="1" applyFill="1" applyBorder="1" applyAlignment="1" applyProtection="1">
      <alignment horizontal="center" vertical="center"/>
      <protection locked="0"/>
    </xf>
    <xf numFmtId="3" fontId="63" fillId="20" borderId="34" xfId="84" applyNumberFormat="1" applyFont="1" applyFill="1" applyBorder="1" applyAlignment="1" applyProtection="1">
      <alignment horizontal="center" vertical="center"/>
      <protection locked="0"/>
    </xf>
    <xf numFmtId="3" fontId="63" fillId="12" borderId="34" xfId="84" applyNumberFormat="1" applyFont="1" applyFill="1" applyBorder="1" applyAlignment="1">
      <alignment horizontal="center" vertical="center" shrinkToFit="1"/>
    </xf>
    <xf numFmtId="2" fontId="63" fillId="13" borderId="34" xfId="84" applyNumberFormat="1" applyFont="1" applyFill="1" applyBorder="1" applyAlignment="1" applyProtection="1">
      <alignment horizontal="center" vertical="center"/>
      <protection locked="0"/>
    </xf>
    <xf numFmtId="3" fontId="63" fillId="12" borderId="34" xfId="84" applyNumberFormat="1" applyFont="1" applyFill="1" applyBorder="1" applyAlignment="1">
      <alignment horizontal="center" vertical="center"/>
    </xf>
    <xf numFmtId="0" fontId="76" fillId="11" borderId="26" xfId="90" applyFont="1" applyFill="1" applyBorder="1" applyAlignment="1" applyProtection="1">
      <alignment horizontal="left" vertical="center"/>
    </xf>
    <xf numFmtId="3" fontId="63" fillId="12" borderId="28" xfId="84" applyNumberFormat="1" applyFont="1" applyFill="1" applyBorder="1" applyAlignment="1">
      <alignment horizontal="center" vertical="center"/>
    </xf>
    <xf numFmtId="0" fontId="73" fillId="6" borderId="34" xfId="84" applyFont="1" applyFill="1" applyBorder="1" applyAlignment="1">
      <alignment horizontal="center" vertical="center"/>
    </xf>
    <xf numFmtId="0" fontId="63" fillId="6" borderId="34" xfId="84" applyFont="1" applyFill="1" applyBorder="1" applyAlignment="1">
      <alignment horizontal="center" vertical="center"/>
    </xf>
    <xf numFmtId="0" fontId="63" fillId="6" borderId="70" xfId="84" applyFont="1" applyFill="1" applyBorder="1" applyAlignment="1">
      <alignment horizontal="center" vertical="center"/>
    </xf>
    <xf numFmtId="0" fontId="73" fillId="6" borderId="70" xfId="84" applyFont="1" applyFill="1" applyBorder="1" applyAlignment="1">
      <alignment horizontal="center" vertical="center"/>
    </xf>
    <xf numFmtId="168" fontId="101" fillId="8" borderId="0" xfId="84" applyNumberFormat="1" applyFont="1" applyFill="1" applyAlignment="1">
      <alignment horizontal="center" vertical="center"/>
    </xf>
    <xf numFmtId="0" fontId="63" fillId="6" borderId="69" xfId="84" applyFont="1" applyFill="1" applyBorder="1" applyAlignment="1">
      <alignment horizontal="center" vertical="center"/>
    </xf>
    <xf numFmtId="0" fontId="73" fillId="6" borderId="69" xfId="84" applyFont="1" applyFill="1" applyBorder="1" applyAlignment="1">
      <alignment horizontal="center" vertical="center"/>
    </xf>
    <xf numFmtId="9" fontId="63" fillId="6" borderId="30" xfId="84" applyNumberFormat="1" applyFont="1" applyFill="1" applyBorder="1" applyAlignment="1">
      <alignment horizontal="center" vertical="center"/>
    </xf>
    <xf numFmtId="9" fontId="63" fillId="6" borderId="77" xfId="84" applyNumberFormat="1" applyFont="1" applyFill="1" applyBorder="1" applyAlignment="1">
      <alignment horizontal="center" vertical="center"/>
    </xf>
    <xf numFmtId="9" fontId="63" fillId="6" borderId="29" xfId="84" applyNumberFormat="1" applyFont="1" applyFill="1" applyBorder="1" applyAlignment="1">
      <alignment horizontal="center" vertical="center"/>
    </xf>
    <xf numFmtId="0" fontId="72" fillId="8" borderId="28" xfId="84" applyFont="1" applyFill="1" applyBorder="1" applyAlignment="1">
      <alignment horizontal="center" vertical="center"/>
    </xf>
    <xf numFmtId="0" fontId="72" fillId="8" borderId="76" xfId="84" applyFont="1" applyFill="1" applyBorder="1" applyAlignment="1">
      <alignment horizontal="center" vertical="center"/>
    </xf>
    <xf numFmtId="0" fontId="72" fillId="8" borderId="69" xfId="84" applyFont="1" applyFill="1" applyBorder="1" applyAlignment="1">
      <alignment horizontal="center" vertical="center"/>
    </xf>
    <xf numFmtId="0" fontId="63" fillId="6" borderId="34" xfId="84" quotePrefix="1" applyFont="1" applyFill="1" applyBorder="1" applyAlignment="1">
      <alignment horizontal="center" vertical="center"/>
    </xf>
    <xf numFmtId="168" fontId="58" fillId="12" borderId="69" xfId="84" applyNumberFormat="1" applyFont="1" applyFill="1" applyBorder="1" applyAlignment="1">
      <alignment horizontal="center" vertical="center"/>
    </xf>
    <xf numFmtId="168" fontId="58" fillId="12" borderId="34" xfId="84" applyNumberFormat="1" applyFont="1" applyFill="1" applyBorder="1" applyAlignment="1">
      <alignment horizontal="center" vertical="center"/>
    </xf>
    <xf numFmtId="0" fontId="63" fillId="6" borderId="30" xfId="84" applyFont="1" applyFill="1" applyBorder="1" applyAlignment="1">
      <alignment horizontal="left" vertical="center"/>
    </xf>
    <xf numFmtId="168" fontId="101" fillId="8" borderId="75" xfId="84" applyNumberFormat="1" applyFont="1" applyFill="1" applyBorder="1" applyAlignment="1">
      <alignment horizontal="center" vertical="center"/>
    </xf>
    <xf numFmtId="0" fontId="73" fillId="6" borderId="30" xfId="84" applyFont="1" applyFill="1" applyBorder="1" applyAlignment="1">
      <alignment horizontal="center" vertical="center"/>
    </xf>
    <xf numFmtId="168" fontId="71" fillId="12" borderId="71" xfId="84" applyNumberFormat="1" applyFont="1" applyFill="1" applyBorder="1" applyAlignment="1">
      <alignment horizontal="center" vertical="center"/>
    </xf>
    <xf numFmtId="168" fontId="71" fillId="12" borderId="72" xfId="84" applyNumberFormat="1" applyFont="1" applyFill="1" applyBorder="1" applyAlignment="1">
      <alignment horizontal="center" vertical="center"/>
    </xf>
    <xf numFmtId="168" fontId="71" fillId="12" borderId="73" xfId="84" applyNumberFormat="1" applyFont="1" applyFill="1" applyBorder="1" applyAlignment="1">
      <alignment horizontal="center" vertical="center"/>
    </xf>
    <xf numFmtId="168" fontId="71" fillId="12" borderId="74" xfId="84" applyNumberFormat="1" applyFont="1" applyFill="1" applyBorder="1" applyAlignment="1">
      <alignment horizontal="center" vertical="center"/>
    </xf>
    <xf numFmtId="0" fontId="63" fillId="11" borderId="43" xfId="84" applyFont="1" applyFill="1" applyBorder="1" applyAlignment="1">
      <alignment horizontal="left" vertical="top" wrapText="1"/>
    </xf>
    <xf numFmtId="0" fontId="63" fillId="11" borderId="42" xfId="84" applyFont="1" applyFill="1" applyBorder="1" applyAlignment="1">
      <alignment horizontal="left" vertical="top" wrapText="1"/>
    </xf>
    <xf numFmtId="0" fontId="63" fillId="11" borderId="41" xfId="84" applyFont="1" applyFill="1" applyBorder="1" applyAlignment="1">
      <alignment horizontal="left" vertical="top" wrapText="1"/>
    </xf>
    <xf numFmtId="0" fontId="63" fillId="11" borderId="40" xfId="84" applyFont="1" applyFill="1" applyBorder="1" applyAlignment="1">
      <alignment horizontal="left" vertical="top" wrapText="1"/>
    </xf>
    <xf numFmtId="0" fontId="63" fillId="11" borderId="0" xfId="84" applyFont="1" applyFill="1" applyAlignment="1">
      <alignment horizontal="left" vertical="top" wrapText="1"/>
    </xf>
    <xf numFmtId="0" fontId="63" fillId="11" borderId="39" xfId="84" applyFont="1" applyFill="1" applyBorder="1" applyAlignment="1">
      <alignment horizontal="left" vertical="top" wrapText="1"/>
    </xf>
    <xf numFmtId="0" fontId="63" fillId="11" borderId="38" xfId="84" applyFont="1" applyFill="1" applyBorder="1" applyAlignment="1">
      <alignment horizontal="left" vertical="top" wrapText="1"/>
    </xf>
    <xf numFmtId="0" fontId="63" fillId="11" borderId="20" xfId="84" applyFont="1" applyFill="1" applyBorder="1" applyAlignment="1">
      <alignment horizontal="left" vertical="top" wrapText="1"/>
    </xf>
    <xf numFmtId="0" fontId="63" fillId="11" borderId="37" xfId="84" applyFont="1" applyFill="1" applyBorder="1" applyAlignment="1">
      <alignment horizontal="left" vertical="top" wrapText="1"/>
    </xf>
    <xf numFmtId="49" fontId="63" fillId="6" borderId="30" xfId="84" applyNumberFormat="1" applyFont="1" applyFill="1" applyBorder="1" applyAlignment="1">
      <alignment horizontal="center" vertical="center"/>
    </xf>
    <xf numFmtId="0" fontId="63" fillId="6" borderId="77" xfId="84" applyFont="1" applyFill="1" applyBorder="1" applyAlignment="1">
      <alignment horizontal="center" vertical="center"/>
    </xf>
    <xf numFmtId="0" fontId="63" fillId="6" borderId="29" xfId="84" applyFont="1" applyFill="1" applyBorder="1" applyAlignment="1">
      <alignment horizontal="center" vertical="center"/>
    </xf>
    <xf numFmtId="49" fontId="63" fillId="7" borderId="28" xfId="84" applyNumberFormat="1" applyFont="1" applyFill="1" applyBorder="1" applyAlignment="1">
      <alignment horizontal="center" vertical="center"/>
    </xf>
    <xf numFmtId="0" fontId="63" fillId="7" borderId="28" xfId="84" applyFont="1" applyFill="1" applyBorder="1" applyAlignment="1">
      <alignment horizontal="center" vertical="center"/>
    </xf>
    <xf numFmtId="49" fontId="63" fillId="6" borderId="77" xfId="84" applyNumberFormat="1" applyFont="1" applyFill="1" applyBorder="1" applyAlignment="1">
      <alignment horizontal="center" vertical="center"/>
    </xf>
    <xf numFmtId="3" fontId="63" fillId="7" borderId="34" xfId="84" applyNumberFormat="1" applyFont="1" applyFill="1" applyBorder="1" applyAlignment="1">
      <alignment horizontal="center" vertical="center"/>
    </xf>
    <xf numFmtId="0" fontId="80" fillId="22" borderId="35" xfId="84" applyFont="1" applyFill="1" applyBorder="1" applyAlignment="1">
      <alignment horizontal="center" vertical="center"/>
    </xf>
    <xf numFmtId="0" fontId="63" fillId="13" borderId="36" xfId="84" applyFont="1" applyFill="1" applyBorder="1" applyAlignment="1" applyProtection="1">
      <alignment horizontal="center" vertical="center"/>
      <protection locked="0"/>
    </xf>
    <xf numFmtId="0" fontId="63" fillId="13" borderId="35" xfId="84" applyFont="1" applyFill="1" applyBorder="1" applyAlignment="1" applyProtection="1">
      <alignment horizontal="center" vertical="center"/>
      <protection locked="0"/>
    </xf>
    <xf numFmtId="3" fontId="63" fillId="13" borderId="35" xfId="84" applyNumberFormat="1" applyFont="1" applyFill="1" applyBorder="1" applyAlignment="1" applyProtection="1">
      <alignment horizontal="center" vertical="center"/>
      <protection locked="0"/>
    </xf>
    <xf numFmtId="2" fontId="63" fillId="12" borderId="35" xfId="84" applyNumberFormat="1" applyFont="1" applyFill="1" applyBorder="1" applyAlignment="1">
      <alignment horizontal="center" vertical="center"/>
    </xf>
    <xf numFmtId="3" fontId="63" fillId="12" borderId="35" xfId="84" applyNumberFormat="1" applyFont="1" applyFill="1" applyBorder="1" applyAlignment="1">
      <alignment horizontal="center" vertical="center"/>
    </xf>
    <xf numFmtId="3" fontId="63" fillId="12" borderId="79" xfId="84" applyNumberFormat="1" applyFont="1" applyFill="1" applyBorder="1" applyAlignment="1">
      <alignment horizontal="center" vertical="center"/>
    </xf>
    <xf numFmtId="3" fontId="63" fillId="12" borderId="80" xfId="84" applyNumberFormat="1" applyFont="1" applyFill="1" applyBorder="1" applyAlignment="1">
      <alignment horizontal="center" vertical="center"/>
    </xf>
    <xf numFmtId="3" fontId="63" fillId="12" borderId="81" xfId="84" applyNumberFormat="1" applyFont="1" applyFill="1" applyBorder="1" applyAlignment="1">
      <alignment horizontal="center" vertical="center"/>
    </xf>
    <xf numFmtId="0" fontId="63" fillId="6" borderId="69" xfId="84" applyFont="1" applyFill="1" applyBorder="1" applyAlignment="1">
      <alignment horizontal="left" vertical="center"/>
    </xf>
    <xf numFmtId="0" fontId="76" fillId="11" borderId="26" xfId="90" applyFont="1" applyFill="1" applyBorder="1" applyAlignment="1" applyProtection="1">
      <alignment horizontal="left" vertical="top" wrapText="1"/>
    </xf>
    <xf numFmtId="0" fontId="63" fillId="13" borderId="35" xfId="84" applyFont="1" applyFill="1" applyBorder="1" applyAlignment="1" applyProtection="1">
      <alignment horizontal="center" vertical="center" wrapText="1"/>
      <protection locked="0"/>
    </xf>
    <xf numFmtId="3" fontId="63" fillId="13" borderId="35" xfId="84" applyNumberFormat="1" applyFont="1" applyFill="1" applyBorder="1" applyAlignment="1" applyProtection="1">
      <alignment horizontal="center" vertical="center" wrapText="1"/>
      <protection locked="0"/>
    </xf>
    <xf numFmtId="3" fontId="63" fillId="12" borderId="69" xfId="84" applyNumberFormat="1" applyFont="1" applyFill="1" applyBorder="1" applyAlignment="1">
      <alignment horizontal="center" vertical="center" wrapText="1"/>
    </xf>
    <xf numFmtId="167" fontId="63" fillId="7" borderId="34" xfId="89" applyNumberFormat="1" applyFont="1" applyFill="1" applyBorder="1" applyAlignment="1" applyProtection="1">
      <alignment horizontal="center" vertical="center"/>
    </xf>
    <xf numFmtId="4" fontId="63" fillId="13" borderId="28" xfId="84" applyNumberFormat="1" applyFont="1" applyFill="1" applyBorder="1" applyAlignment="1" applyProtection="1">
      <alignment horizontal="center" vertical="center"/>
      <protection locked="0"/>
    </xf>
    <xf numFmtId="0" fontId="63" fillId="6" borderId="77" xfId="84" applyFont="1" applyFill="1" applyBorder="1" applyAlignment="1">
      <alignment horizontal="left" vertical="center"/>
    </xf>
    <xf numFmtId="0" fontId="63" fillId="6" borderId="29" xfId="84" applyFont="1" applyFill="1" applyBorder="1" applyAlignment="1">
      <alignment horizontal="left" vertical="center"/>
    </xf>
    <xf numFmtId="0" fontId="76" fillId="11" borderId="45" xfId="90" applyFont="1" applyFill="1" applyBorder="1" applyAlignment="1" applyProtection="1">
      <alignment vertical="center"/>
    </xf>
    <xf numFmtId="0" fontId="59" fillId="11" borderId="45" xfId="90" applyFill="1" applyBorder="1" applyAlignment="1" applyProtection="1">
      <alignment vertical="center"/>
    </xf>
    <xf numFmtId="0" fontId="81" fillId="22" borderId="35" xfId="84" applyFont="1" applyFill="1" applyBorder="1" applyAlignment="1">
      <alignment horizontal="center" vertical="center" wrapText="1"/>
    </xf>
    <xf numFmtId="0" fontId="80" fillId="22" borderId="35" xfId="84" applyFont="1" applyFill="1" applyBorder="1" applyAlignment="1">
      <alignment horizontal="center" vertical="center" wrapText="1"/>
    </xf>
    <xf numFmtId="0" fontId="63" fillId="6" borderId="35" xfId="84" applyFont="1" applyFill="1" applyBorder="1" applyAlignment="1">
      <alignment horizontal="left" vertical="center" wrapText="1"/>
    </xf>
    <xf numFmtId="0" fontId="63" fillId="6" borderId="35" xfId="84" applyFont="1" applyFill="1" applyBorder="1" applyAlignment="1">
      <alignment horizontal="center" vertical="center" wrapText="1"/>
    </xf>
    <xf numFmtId="1" fontId="63" fillId="13" borderId="35" xfId="84" applyNumberFormat="1" applyFont="1" applyFill="1" applyBorder="1" applyAlignment="1" applyProtection="1">
      <alignment horizontal="center" vertical="center" wrapText="1"/>
      <protection locked="0"/>
    </xf>
    <xf numFmtId="2" fontId="63" fillId="13" borderId="35" xfId="84" applyNumberFormat="1" applyFont="1" applyFill="1" applyBorder="1" applyAlignment="1" applyProtection="1">
      <alignment horizontal="center" vertical="center" wrapText="1"/>
      <protection locked="0"/>
    </xf>
    <xf numFmtId="2" fontId="63" fillId="13" borderId="82" xfId="84" applyNumberFormat="1" applyFont="1" applyFill="1" applyBorder="1" applyAlignment="1" applyProtection="1">
      <alignment horizontal="center" vertical="center" wrapText="1"/>
      <protection locked="0"/>
    </xf>
    <xf numFmtId="2" fontId="63" fillId="13" borderId="44" xfId="84" applyNumberFormat="1" applyFont="1" applyFill="1" applyBorder="1" applyAlignment="1" applyProtection="1">
      <alignment horizontal="center" vertical="center" wrapText="1"/>
      <protection locked="0"/>
    </xf>
    <xf numFmtId="2" fontId="63" fillId="13" borderId="36" xfId="84" applyNumberFormat="1" applyFont="1" applyFill="1" applyBorder="1" applyAlignment="1" applyProtection="1">
      <alignment horizontal="center" vertical="center" wrapText="1"/>
      <protection locked="0"/>
    </xf>
    <xf numFmtId="0" fontId="63" fillId="6" borderId="0" xfId="84" applyFont="1" applyFill="1" applyAlignment="1">
      <alignment horizontal="left" vertical="center"/>
    </xf>
    <xf numFmtId="0" fontId="63" fillId="6" borderId="34" xfId="84" quotePrefix="1" applyFont="1" applyFill="1" applyBorder="1" applyAlignment="1">
      <alignment horizontal="right" vertical="center"/>
    </xf>
    <xf numFmtId="0" fontId="63" fillId="6" borderId="34" xfId="84" applyFont="1" applyFill="1" applyBorder="1" applyAlignment="1">
      <alignment horizontal="right" vertical="center"/>
    </xf>
    <xf numFmtId="167" fontId="63" fillId="7" borderId="34" xfId="84" applyNumberFormat="1" applyFont="1" applyFill="1" applyBorder="1" applyAlignment="1">
      <alignment horizontal="center" vertical="center"/>
    </xf>
    <xf numFmtId="3" fontId="63" fillId="7" borderId="28" xfId="84" applyNumberFormat="1" applyFont="1" applyFill="1" applyBorder="1" applyAlignment="1">
      <alignment horizontal="center" vertical="center"/>
    </xf>
    <xf numFmtId="0" fontId="63" fillId="22" borderId="35" xfId="84" applyFont="1" applyFill="1" applyBorder="1" applyAlignment="1">
      <alignment horizontal="center" vertical="center" wrapText="1"/>
    </xf>
    <xf numFmtId="0" fontId="76" fillId="11" borderId="45" xfId="90" applyFont="1" applyFill="1" applyBorder="1" applyAlignment="1" applyProtection="1">
      <alignment vertical="center"/>
      <protection locked="0"/>
    </xf>
    <xf numFmtId="167" fontId="63" fillId="13" borderId="35" xfId="84" applyNumberFormat="1" applyFont="1" applyFill="1" applyBorder="1" applyAlignment="1" applyProtection="1">
      <alignment horizontal="center" vertical="center" wrapText="1"/>
      <protection locked="0"/>
    </xf>
    <xf numFmtId="2" fontId="63" fillId="12" borderId="35" xfId="84" applyNumberFormat="1" applyFont="1" applyFill="1" applyBorder="1" applyAlignment="1">
      <alignment horizontal="center" vertical="center" wrapText="1"/>
    </xf>
    <xf numFmtId="0" fontId="63" fillId="7" borderId="0" xfId="84" applyFont="1" applyFill="1" applyAlignment="1">
      <alignment horizontal="center" vertical="center"/>
    </xf>
    <xf numFmtId="2" fontId="63" fillId="12" borderId="0" xfId="84" applyNumberFormat="1" applyFont="1" applyFill="1" applyAlignment="1">
      <alignment horizontal="center" vertical="center"/>
    </xf>
    <xf numFmtId="0" fontId="63" fillId="6" borderId="83" xfId="84" applyFont="1" applyFill="1" applyBorder="1" applyAlignment="1">
      <alignment horizontal="center" vertical="center"/>
    </xf>
    <xf numFmtId="0" fontId="63" fillId="6" borderId="69" xfId="84" quotePrefix="1" applyFont="1" applyFill="1" applyBorder="1" applyAlignment="1">
      <alignment horizontal="right" vertical="center"/>
    </xf>
    <xf numFmtId="3" fontId="63" fillId="12" borderId="69" xfId="84" applyNumberFormat="1" applyFont="1" applyFill="1" applyBorder="1" applyAlignment="1">
      <alignment horizontal="center" vertical="center"/>
    </xf>
    <xf numFmtId="0" fontId="63" fillId="6" borderId="84" xfId="84" applyFont="1" applyFill="1" applyBorder="1" applyAlignment="1">
      <alignment horizontal="left" vertical="center"/>
    </xf>
    <xf numFmtId="0" fontId="63" fillId="13" borderId="84" xfId="84" applyFont="1" applyFill="1" applyBorder="1" applyAlignment="1" applyProtection="1">
      <alignment horizontal="center" vertical="center"/>
      <protection locked="0"/>
    </xf>
    <xf numFmtId="0" fontId="80" fillId="22" borderId="84" xfId="84" applyFont="1" applyFill="1" applyBorder="1" applyAlignment="1">
      <alignment horizontal="left" vertical="center"/>
    </xf>
    <xf numFmtId="0" fontId="46" fillId="22" borderId="84" xfId="84" applyFill="1" applyBorder="1"/>
    <xf numFmtId="0" fontId="80" fillId="22" borderId="84" xfId="84" applyFont="1" applyFill="1" applyBorder="1" applyAlignment="1">
      <alignment horizontal="center" vertical="center"/>
    </xf>
    <xf numFmtId="0" fontId="63" fillId="7" borderId="0" xfId="84" applyFont="1" applyFill="1" applyAlignment="1">
      <alignment horizontal="left" vertical="center" wrapText="1"/>
    </xf>
    <xf numFmtId="0" fontId="80" fillId="22" borderId="84" xfId="84" applyFont="1" applyFill="1" applyBorder="1" applyAlignment="1">
      <alignment horizontal="center" vertical="center" wrapText="1"/>
    </xf>
    <xf numFmtId="1" fontId="63" fillId="13" borderId="34" xfId="84" applyNumberFormat="1" applyFont="1" applyFill="1" applyBorder="1" applyAlignment="1" applyProtection="1">
      <alignment horizontal="center" vertical="center"/>
      <protection locked="0"/>
    </xf>
    <xf numFmtId="0" fontId="63" fillId="6" borderId="49" xfId="84" applyFont="1" applyFill="1" applyBorder="1" applyAlignment="1">
      <alignment horizontal="center" vertical="center"/>
    </xf>
    <xf numFmtId="0" fontId="63" fillId="6" borderId="48" xfId="84" applyFont="1" applyFill="1" applyBorder="1" applyAlignment="1">
      <alignment horizontal="center" vertical="center"/>
    </xf>
    <xf numFmtId="0" fontId="63" fillId="6" borderId="84" xfId="84" applyFont="1" applyFill="1" applyBorder="1" applyAlignment="1">
      <alignment horizontal="left" vertical="center" wrapText="1"/>
    </xf>
    <xf numFmtId="0" fontId="63" fillId="12" borderId="84" xfId="84" applyFont="1" applyFill="1" applyBorder="1" applyAlignment="1">
      <alignment horizontal="center" vertical="center"/>
    </xf>
    <xf numFmtId="0" fontId="80" fillId="22" borderId="52" xfId="84" applyFont="1" applyFill="1" applyBorder="1" applyAlignment="1">
      <alignment horizontal="center" vertical="center"/>
    </xf>
    <xf numFmtId="0" fontId="80" fillId="22" borderId="51" xfId="84" applyFont="1" applyFill="1" applyBorder="1" applyAlignment="1">
      <alignment horizontal="center" vertical="center"/>
    </xf>
    <xf numFmtId="168" fontId="63" fillId="6" borderId="84" xfId="84" applyNumberFormat="1" applyFont="1" applyFill="1" applyBorder="1" applyAlignment="1">
      <alignment horizontal="center" vertical="center"/>
    </xf>
    <xf numFmtId="0" fontId="63" fillId="6" borderId="49" xfId="84" applyFont="1" applyFill="1" applyBorder="1" applyAlignment="1">
      <alignment vertical="center" wrapText="1"/>
    </xf>
    <xf numFmtId="0" fontId="63" fillId="6" borderId="48" xfId="84" applyFont="1" applyFill="1" applyBorder="1" applyAlignment="1">
      <alignment vertical="center" wrapText="1"/>
    </xf>
    <xf numFmtId="2" fontId="63" fillId="12" borderId="84" xfId="84" applyNumberFormat="1" applyFont="1" applyFill="1" applyBorder="1" applyAlignment="1">
      <alignment horizontal="center" vertical="center"/>
    </xf>
    <xf numFmtId="169" fontId="63" fillId="12" borderId="84" xfId="84" applyNumberFormat="1" applyFont="1" applyFill="1" applyBorder="1" applyAlignment="1">
      <alignment horizontal="center" vertical="center"/>
    </xf>
    <xf numFmtId="0" fontId="63" fillId="12" borderId="0" xfId="84" applyFont="1" applyFill="1" applyAlignment="1">
      <alignment horizontal="left" vertical="center" wrapText="1"/>
    </xf>
    <xf numFmtId="172" fontId="63" fillId="12" borderId="84" xfId="88" applyNumberFormat="1" applyFont="1" applyFill="1" applyBorder="1" applyAlignment="1" applyProtection="1">
      <alignment horizontal="center" vertical="center"/>
    </xf>
    <xf numFmtId="172" fontId="63" fillId="12" borderId="84" xfId="88" applyNumberFormat="1" applyFont="1" applyFill="1" applyBorder="1" applyAlignment="1" applyProtection="1">
      <alignment vertical="center"/>
    </xf>
    <xf numFmtId="0" fontId="22" fillId="11" borderId="17" xfId="99" applyFill="1" applyBorder="1" applyAlignment="1" applyProtection="1">
      <alignment horizontal="left" vertical="center"/>
    </xf>
    <xf numFmtId="0" fontId="22" fillId="11" borderId="18" xfId="99" applyFill="1" applyBorder="1" applyAlignment="1" applyProtection="1">
      <alignment horizontal="left" vertical="center"/>
    </xf>
    <xf numFmtId="0" fontId="22" fillId="11" borderId="19" xfId="99" applyFill="1" applyBorder="1" applyAlignment="1" applyProtection="1">
      <alignment horizontal="left" vertical="center"/>
    </xf>
    <xf numFmtId="9" fontId="63" fillId="12" borderId="84" xfId="84" applyNumberFormat="1" applyFont="1" applyFill="1" applyBorder="1" applyAlignment="1">
      <alignment horizontal="center" vertical="center"/>
    </xf>
    <xf numFmtId="171" fontId="63" fillId="12" borderId="84" xfId="84" applyNumberFormat="1" applyFont="1" applyFill="1" applyBorder="1" applyAlignment="1">
      <alignment horizontal="center" vertical="center"/>
    </xf>
    <xf numFmtId="9" fontId="63" fillId="13" borderId="84" xfId="83" applyFont="1" applyFill="1" applyBorder="1" applyAlignment="1" applyProtection="1">
      <alignment horizontal="center" vertical="center"/>
      <protection locked="0"/>
    </xf>
    <xf numFmtId="0" fontId="97" fillId="21" borderId="0" xfId="0" applyFont="1" applyFill="1" applyAlignment="1">
      <alignment vertical="center" wrapText="1"/>
    </xf>
    <xf numFmtId="0" fontId="97" fillId="21" borderId="64" xfId="0" applyFont="1" applyFill="1" applyBorder="1" applyAlignment="1">
      <alignment vertical="center" wrapText="1"/>
    </xf>
    <xf numFmtId="49" fontId="63" fillId="12" borderId="34" xfId="84" applyNumberFormat="1" applyFont="1" applyFill="1" applyBorder="1" applyAlignment="1">
      <alignment horizontal="center" vertical="center"/>
    </xf>
    <xf numFmtId="49" fontId="63" fillId="7" borderId="34" xfId="84" applyNumberFormat="1" applyFont="1" applyFill="1" applyBorder="1" applyAlignment="1">
      <alignment horizontal="center" vertical="center"/>
    </xf>
    <xf numFmtId="0" fontId="63" fillId="7" borderId="34" xfId="84" applyFont="1" applyFill="1" applyBorder="1" applyAlignment="1">
      <alignment horizontal="center" vertical="center"/>
    </xf>
    <xf numFmtId="3" fontId="63" fillId="12" borderId="84" xfId="84" applyNumberFormat="1" applyFont="1" applyFill="1" applyBorder="1" applyAlignment="1">
      <alignment horizontal="center" vertical="center" shrinkToFit="1"/>
    </xf>
    <xf numFmtId="0" fontId="63" fillId="11" borderId="45" xfId="91" applyAlignment="1">
      <alignment vertical="center" wrapText="1"/>
    </xf>
    <xf numFmtId="0" fontId="63" fillId="11" borderId="45" xfId="91">
      <alignment vertical="center"/>
    </xf>
    <xf numFmtId="0" fontId="84" fillId="6" borderId="84" xfId="84" applyFont="1" applyFill="1" applyBorder="1" applyAlignment="1">
      <alignment horizontal="left" vertical="center" wrapText="1"/>
    </xf>
    <xf numFmtId="3" fontId="63" fillId="13" borderId="84" xfId="84" applyNumberFormat="1" applyFont="1" applyFill="1" applyBorder="1" applyAlignment="1" applyProtection="1">
      <alignment horizontal="center" vertical="center" shrinkToFit="1"/>
      <protection locked="0"/>
    </xf>
    <xf numFmtId="0" fontId="80" fillId="22" borderId="91" xfId="84" applyFont="1" applyFill="1" applyBorder="1" applyAlignment="1">
      <alignment horizontal="right" vertical="center" wrapText="1"/>
    </xf>
    <xf numFmtId="0" fontId="80" fillId="22" borderId="92" xfId="84" applyFont="1" applyFill="1" applyBorder="1" applyAlignment="1">
      <alignment horizontal="right" vertical="center" wrapText="1"/>
    </xf>
    <xf numFmtId="0" fontId="80" fillId="22" borderId="93" xfId="84" applyFont="1" applyFill="1" applyBorder="1" applyAlignment="1">
      <alignment horizontal="right" vertical="center" wrapText="1"/>
    </xf>
    <xf numFmtId="2" fontId="80" fillId="22" borderId="84" xfId="84" applyNumberFormat="1" applyFont="1" applyFill="1" applyBorder="1" applyAlignment="1">
      <alignment horizontal="center" vertical="center" wrapText="1"/>
    </xf>
    <xf numFmtId="0" fontId="83" fillId="6" borderId="84" xfId="84" applyFont="1" applyFill="1" applyBorder="1" applyAlignment="1">
      <alignment horizontal="left" vertical="center" wrapText="1"/>
    </xf>
    <xf numFmtId="2" fontId="63" fillId="12" borderId="84" xfId="84" applyNumberFormat="1" applyFont="1" applyFill="1" applyBorder="1" applyAlignment="1">
      <alignment horizontal="center" vertical="center" shrinkToFit="1"/>
    </xf>
    <xf numFmtId="2" fontId="84" fillId="13" borderId="0" xfId="84" applyNumberFormat="1" applyFont="1" applyFill="1" applyAlignment="1" applyProtection="1">
      <alignment horizontal="center" vertical="center"/>
      <protection locked="0"/>
    </xf>
    <xf numFmtId="0" fontId="80" fillId="22" borderId="84" xfId="84" applyFont="1" applyFill="1" applyBorder="1" applyAlignment="1">
      <alignment horizontal="right" vertical="center"/>
    </xf>
    <xf numFmtId="0" fontId="63" fillId="11" borderId="42" xfId="84" applyFont="1" applyFill="1" applyBorder="1" applyAlignment="1">
      <alignment horizontal="left" vertical="center" wrapText="1"/>
    </xf>
    <xf numFmtId="0" fontId="63" fillId="11" borderId="0" xfId="84" applyFont="1" applyFill="1" applyAlignment="1">
      <alignment horizontal="left" vertical="center" wrapText="1"/>
    </xf>
    <xf numFmtId="0" fontId="84" fillId="6" borderId="84" xfId="84" applyFont="1" applyFill="1" applyBorder="1" applyAlignment="1">
      <alignment horizontal="center" vertical="center" wrapText="1"/>
    </xf>
    <xf numFmtId="0" fontId="83" fillId="6" borderId="84" xfId="84" applyFont="1" applyFill="1" applyBorder="1" applyAlignment="1">
      <alignment horizontal="center" vertical="center" wrapText="1"/>
    </xf>
    <xf numFmtId="0" fontId="84" fillId="6" borderId="84" xfId="84" quotePrefix="1" applyFont="1" applyFill="1" applyBorder="1" applyAlignment="1">
      <alignment horizontal="center" vertical="center" wrapText="1"/>
    </xf>
    <xf numFmtId="0" fontId="63" fillId="13" borderId="84" xfId="84" applyFont="1" applyFill="1" applyBorder="1" applyAlignment="1" applyProtection="1">
      <alignment horizontal="center" vertical="center" shrinkToFit="1"/>
      <protection locked="0"/>
    </xf>
    <xf numFmtId="3" fontId="63" fillId="12" borderId="84" xfId="84" applyNumberFormat="1" applyFont="1" applyFill="1" applyBorder="1" applyAlignment="1">
      <alignment horizontal="center" vertical="center"/>
    </xf>
    <xf numFmtId="1" fontId="63" fillId="12" borderId="0" xfId="84" applyNumberFormat="1" applyFont="1" applyFill="1" applyAlignment="1">
      <alignment horizontal="center" vertical="center"/>
    </xf>
    <xf numFmtId="0" fontId="87" fillId="9" borderId="56" xfId="84" applyFont="1" applyFill="1" applyBorder="1" applyAlignment="1">
      <alignment horizontal="center" wrapText="1"/>
    </xf>
    <xf numFmtId="0" fontId="87" fillId="9" borderId="46" xfId="84" applyFont="1" applyFill="1" applyBorder="1" applyAlignment="1">
      <alignment horizontal="center" wrapText="1"/>
    </xf>
    <xf numFmtId="0" fontId="72" fillId="0" borderId="56" xfId="84" applyFont="1" applyBorder="1" applyAlignment="1">
      <alignment wrapText="1"/>
    </xf>
    <xf numFmtId="0" fontId="72" fillId="0" borderId="46" xfId="84" applyFont="1" applyBorder="1" applyAlignment="1">
      <alignment wrapText="1"/>
    </xf>
    <xf numFmtId="0" fontId="72" fillId="0" borderId="56" xfId="84" applyFont="1" applyBorder="1" applyAlignment="1">
      <alignment horizontal="center"/>
    </xf>
    <xf numFmtId="0" fontId="72" fillId="0" borderId="46" xfId="84" applyFont="1" applyBorder="1" applyAlignment="1">
      <alignment horizontal="center"/>
    </xf>
    <xf numFmtId="0" fontId="73" fillId="9" borderId="33" xfId="84" applyFont="1" applyFill="1" applyBorder="1" applyAlignment="1">
      <alignment horizontal="center" vertical="top" wrapText="1"/>
    </xf>
    <xf numFmtId="0" fontId="73" fillId="9" borderId="32" xfId="84" applyFont="1" applyFill="1" applyBorder="1" applyAlignment="1">
      <alignment horizontal="center" vertical="top" wrapText="1"/>
    </xf>
    <xf numFmtId="0" fontId="73" fillId="9" borderId="31" xfId="84" applyFont="1" applyFill="1" applyBorder="1" applyAlignment="1">
      <alignment horizontal="center" vertical="top" wrapText="1"/>
    </xf>
    <xf numFmtId="0" fontId="87" fillId="9" borderId="33" xfId="84" applyFont="1" applyFill="1" applyBorder="1" applyAlignment="1">
      <alignment horizontal="center" vertical="top" wrapText="1"/>
    </xf>
    <xf numFmtId="0" fontId="87" fillId="9" borderId="32" xfId="84" applyFont="1" applyFill="1" applyBorder="1" applyAlignment="1">
      <alignment horizontal="center" vertical="top" wrapText="1"/>
    </xf>
    <xf numFmtId="0" fontId="87" fillId="9" borderId="31" xfId="84" applyFont="1" applyFill="1" applyBorder="1" applyAlignment="1">
      <alignment horizontal="center" vertical="top" wrapText="1"/>
    </xf>
    <xf numFmtId="0" fontId="87" fillId="9" borderId="33" xfId="84" applyFont="1" applyFill="1" applyBorder="1" applyAlignment="1">
      <alignment horizontal="center" wrapText="1"/>
    </xf>
    <xf numFmtId="0" fontId="87" fillId="9" borderId="32" xfId="84" applyFont="1" applyFill="1" applyBorder="1" applyAlignment="1">
      <alignment horizontal="center" wrapText="1"/>
    </xf>
    <xf numFmtId="0" fontId="87" fillId="9" borderId="31" xfId="84" applyFont="1" applyFill="1" applyBorder="1" applyAlignment="1">
      <alignment horizontal="center" wrapText="1"/>
    </xf>
    <xf numFmtId="0" fontId="87" fillId="9" borderId="25" xfId="84" applyFont="1" applyFill="1" applyBorder="1" applyAlignment="1">
      <alignment horizontal="center" wrapText="1"/>
    </xf>
    <xf numFmtId="0" fontId="87" fillId="9" borderId="23" xfId="84" applyFont="1" applyFill="1" applyBorder="1" applyAlignment="1">
      <alignment horizontal="center" wrapText="1"/>
    </xf>
    <xf numFmtId="0" fontId="87" fillId="9" borderId="24" xfId="84" applyFont="1" applyFill="1" applyBorder="1" applyAlignment="1">
      <alignment horizontal="center" wrapText="1"/>
    </xf>
    <xf numFmtId="0" fontId="87" fillId="9" borderId="58" xfId="84" applyFont="1" applyFill="1" applyBorder="1" applyAlignment="1">
      <alignment horizontal="center" wrapText="1"/>
    </xf>
    <xf numFmtId="0" fontId="87" fillId="9" borderId="57" xfId="84" applyFont="1" applyFill="1" applyBorder="1" applyAlignment="1">
      <alignment horizontal="center" wrapText="1"/>
    </xf>
    <xf numFmtId="0" fontId="87" fillId="9" borderId="53" xfId="84" applyFont="1" applyFill="1" applyBorder="1" applyAlignment="1">
      <alignment horizontal="center" wrapText="1"/>
    </xf>
    <xf numFmtId="0" fontId="46" fillId="5" borderId="0" xfId="94" applyFill="1"/>
  </cellXfs>
  <cellStyles count="100">
    <cellStyle name="Comma" xfId="82" builtinId="3"/>
    <cellStyle name="Comma 2" xfId="88" xr:uid="{A12BBEAD-BCF8-49CE-B705-0DF73C2E90BA}"/>
    <cellStyle name="Currency" xfId="96" builtinId="4"/>
    <cellStyle name="Currency 2" xfId="86"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1" xr:uid="{DC938552-4938-476D-9EEF-8BB3938764CC}"/>
    <cellStyle name="Heading 1" xfId="97" builtinId="16"/>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9" builtinId="8"/>
    <cellStyle name="Hyperlink 2" xfId="90" xr:uid="{D80E7DEB-BF43-4C40-B277-BD69021E181E}"/>
    <cellStyle name="Hyperlink 3" xfId="95" xr:uid="{AE1CE98B-9FF5-4206-8045-ED5AEF4BF1F6}"/>
    <cellStyle name="Normal" xfId="0" builtinId="0"/>
    <cellStyle name="Normal 2" xfId="81" xr:uid="{9536E22F-F561-47B5-B69F-4DEF154759D8}"/>
    <cellStyle name="Normal 2 2" xfId="84" xr:uid="{5749FFBF-9983-4708-946C-EFFF6D9E8AC1}"/>
    <cellStyle name="Normal 2 3" xfId="87" xr:uid="{235FE15D-5045-40A8-89CD-F9E09DB4D66E}"/>
    <cellStyle name="Normal 3" xfId="92" xr:uid="{1D643F36-E354-418C-98F2-521475E2B5E9}"/>
    <cellStyle name="Normal 3 2" xfId="93" xr:uid="{DDAC7F30-9272-45E8-9346-AFDE749BD2D6}"/>
    <cellStyle name="Normal 3 3" xfId="94" xr:uid="{C29FE08E-AA36-4563-BD16-CDD3C0284C31}"/>
    <cellStyle name="Normal 3 4" xfId="98" xr:uid="{7CCD4969-16D9-4283-AB2E-6EE0057CD867}"/>
    <cellStyle name="Normal 4" xfId="85" xr:uid="{2B503718-233B-4094-8BC1-130161330E56}"/>
    <cellStyle name="Percent" xfId="83" builtinId="5"/>
    <cellStyle name="Percent 2" xfId="89"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825500</xdr:colOff>
          <xdr:row>2</xdr:row>
          <xdr:rowOff>285750</xdr:rowOff>
        </xdr:from>
        <xdr:to>
          <xdr:col>8</xdr:col>
          <xdr:colOff>1209675</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0</xdr:colOff>
      <xdr:row>2</xdr:row>
      <xdr:rowOff>0</xdr:rowOff>
    </xdr:to>
    <xdr:cxnSp macro="">
      <xdr:nvCxnSpPr>
        <xdr:cNvPr id="2" name="AutoShape 30">
          <a:extLst>
            <a:ext uri="{FF2B5EF4-FFF2-40B4-BE49-F238E27FC236}">
              <a16:creationId xmlns:a16="http://schemas.microsoft.com/office/drawing/2014/main" id="{00000000-0008-0000-0400-000002000000}"/>
            </a:ext>
          </a:extLst>
        </xdr:cNvPr>
        <xdr:cNvCxnSpPr>
          <a:cxnSpLocks noChangeShapeType="1"/>
        </xdr:cNvCxnSpPr>
      </xdr:nvCxnSpPr>
      <xdr:spPr bwMode="auto">
        <a:xfrm>
          <a:off x="0" y="219075"/>
          <a:ext cx="0" cy="161925"/>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76200</xdr:rowOff>
    </xdr:to>
    <xdr:cxnSp macro="">
      <xdr:nvCxnSpPr>
        <xdr:cNvPr id="2" name="AutoShape 20">
          <a:extLst>
            <a:ext uri="{FF2B5EF4-FFF2-40B4-BE49-F238E27FC236}">
              <a16:creationId xmlns:a16="http://schemas.microsoft.com/office/drawing/2014/main" id="{00000000-0008-0000-0600-000002000000}"/>
            </a:ext>
          </a:extLst>
        </xdr:cNvPr>
        <xdr:cNvCxnSpPr>
          <a:cxnSpLocks noChangeShapeType="1"/>
        </xdr:cNvCxnSpPr>
      </xdr:nvCxnSpPr>
      <xdr:spPr bwMode="auto">
        <a:xfrm>
          <a:off x="0" y="190500"/>
          <a:ext cx="0" cy="7620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76200</xdr:rowOff>
    </xdr:to>
    <xdr:cxnSp macro="">
      <xdr:nvCxnSpPr>
        <xdr:cNvPr id="2" name="AutoShape 20">
          <a:extLst>
            <a:ext uri="{FF2B5EF4-FFF2-40B4-BE49-F238E27FC236}">
              <a16:creationId xmlns:a16="http://schemas.microsoft.com/office/drawing/2014/main" id="{00000000-0008-0000-0700-000002000000}"/>
            </a:ext>
          </a:extLst>
        </xdr:cNvPr>
        <xdr:cNvCxnSpPr>
          <a:cxnSpLocks noChangeShapeType="1"/>
        </xdr:cNvCxnSpPr>
      </xdr:nvCxnSpPr>
      <xdr:spPr bwMode="auto">
        <a:xfrm>
          <a:off x="0" y="190500"/>
          <a:ext cx="0" cy="7620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76200</xdr:rowOff>
    </xdr:to>
    <xdr:cxnSp macro="">
      <xdr:nvCxnSpPr>
        <xdr:cNvPr id="2" name="AutoShape 20">
          <a:extLst>
            <a:ext uri="{FF2B5EF4-FFF2-40B4-BE49-F238E27FC236}">
              <a16:creationId xmlns:a16="http://schemas.microsoft.com/office/drawing/2014/main" id="{00000000-0008-0000-0800-000002000000}"/>
            </a:ext>
          </a:extLst>
        </xdr:cNvPr>
        <xdr:cNvCxnSpPr>
          <a:cxnSpLocks noChangeShapeType="1"/>
        </xdr:cNvCxnSpPr>
      </xdr:nvCxnSpPr>
      <xdr:spPr bwMode="auto">
        <a:xfrm>
          <a:off x="0" y="190500"/>
          <a:ext cx="0" cy="7620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36</xdr:row>
      <xdr:rowOff>295275</xdr:rowOff>
    </xdr:from>
    <xdr:to>
      <xdr:col>14</xdr:col>
      <xdr:colOff>182809</xdr:colOff>
      <xdr:row>51</xdr:row>
      <xdr:rowOff>106609</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496050"/>
          <a:ext cx="5934075"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55</xdr:row>
      <xdr:rowOff>38100</xdr:rowOff>
    </xdr:from>
    <xdr:to>
      <xdr:col>15</xdr:col>
      <xdr:colOff>106609</xdr:colOff>
      <xdr:row>72</xdr:row>
      <xdr:rowOff>76200</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9305925"/>
          <a:ext cx="6181725"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www.nzta.govt.nz/assets/resources/economic-evaluation-manual/economic-evaluation-manual/docs/eem-manual-2016.pdf" TargetMode="External"/><Relationship Id="rId7" Type="http://schemas.openxmlformats.org/officeDocument/2006/relationships/vmlDrawing" Target="../drawings/vmlDrawing8.vml"/><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6" Type="http://schemas.openxmlformats.org/officeDocument/2006/relationships/drawing" Target="../drawings/drawing6.xml"/><Relationship Id="rId5" Type="http://schemas.openxmlformats.org/officeDocument/2006/relationships/printerSettings" Target="../printerSettings/printerSettings10.bin"/><Relationship Id="rId4" Type="http://schemas.openxmlformats.org/officeDocument/2006/relationships/hyperlink" Target="https://www.nzta.govt.nz/resources/monetised-benefits-and-costs-manual"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nzta.govt.nz/assets/resources/monetised-benefits-and-costs-manual/crash-risk-factors-guidelines-compendium.pdf"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nzta.govt.nz/resources/monetised-benefits-and-costs-manua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nzta.govt.nz/resources/monetised-benefits-and-costs-manua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nzta.govt.nz/resources/monetised-benefits-and-costs-manual"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5"/>
  <sheetViews>
    <sheetView showGridLines="0" tabSelected="1" topLeftCell="A10" zoomScale="80" zoomScaleNormal="80" workbookViewId="0">
      <selection activeCell="I29" sqref="I29"/>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6640625" bestFit="1" customWidth="1"/>
  </cols>
  <sheetData>
    <row r="1" spans="2:20" ht="33" customHeight="1" thickBot="1"/>
    <row r="2" spans="2:20" ht="66" customHeight="1" thickBot="1">
      <c r="B2" s="362" t="s">
        <v>0</v>
      </c>
      <c r="C2" s="363"/>
      <c r="D2" s="363"/>
      <c r="E2" s="363"/>
      <c r="F2" s="363"/>
      <c r="G2" s="363"/>
      <c r="H2" s="363"/>
      <c r="I2" s="364"/>
      <c r="J2" t="s">
        <v>1</v>
      </c>
      <c r="K2"/>
      <c r="L2"/>
      <c r="M2"/>
    </row>
    <row r="3" spans="2:20" ht="57" customHeight="1" thickTop="1" thickBot="1">
      <c r="B3" s="332" t="s">
        <v>2</v>
      </c>
      <c r="C3" s="123">
        <f ca="1">NOW()</f>
        <v>45030.558086805555</v>
      </c>
      <c r="D3" s="124" t="s">
        <v>3</v>
      </c>
      <c r="E3" s="329" t="str">
        <f>_xlfn.CONCAT(_xlfn.VALUETOTEXT('SP3-1'!I22)," - ",_xlfn.VALUETOTEXT('SP3-1'!I22+'SP3-1'!I24))</f>
        <v xml:space="preserve"> - 0</v>
      </c>
      <c r="F3" s="125" t="s">
        <v>4</v>
      </c>
      <c r="G3" s="375"/>
      <c r="H3" s="375"/>
      <c r="I3" s="356" t="s">
        <v>5</v>
      </c>
      <c r="J3" s="122" t="s">
        <v>6</v>
      </c>
      <c r="K3"/>
      <c r="L3" s="14"/>
      <c r="M3" s="14"/>
      <c r="N3" s="14"/>
      <c r="O3" s="14"/>
      <c r="P3" s="14"/>
      <c r="Q3" s="14"/>
      <c r="R3" s="14"/>
      <c r="S3" s="14"/>
      <c r="T3" s="14"/>
    </row>
    <row r="4" spans="2:20" s="3" customFormat="1" ht="28" customHeight="1" thickTop="1">
      <c r="B4" s="365" t="s">
        <v>7</v>
      </c>
      <c r="C4" s="366"/>
      <c r="D4" s="371" t="s">
        <v>8</v>
      </c>
      <c r="E4" s="372"/>
      <c r="F4" s="371" t="s">
        <v>9</v>
      </c>
      <c r="G4" s="372"/>
      <c r="H4" s="371" t="s">
        <v>10</v>
      </c>
      <c r="I4" s="373"/>
      <c r="J4" s="14"/>
      <c r="K4" s="14"/>
      <c r="L4" s="14"/>
      <c r="M4" s="14"/>
      <c r="N4" s="14"/>
      <c r="O4" s="14"/>
      <c r="P4" s="14"/>
      <c r="Q4" s="14"/>
      <c r="R4" s="14"/>
      <c r="S4" s="14"/>
      <c r="T4" s="14"/>
    </row>
    <row r="5" spans="2:20" s="12" customFormat="1" ht="28" customHeight="1">
      <c r="B5" s="367" t="s">
        <v>11</v>
      </c>
      <c r="C5" s="368"/>
      <c r="D5" s="369" t="s">
        <v>11</v>
      </c>
      <c r="E5" s="370"/>
      <c r="F5" s="369" t="s">
        <v>11</v>
      </c>
      <c r="G5" s="370"/>
      <c r="H5" s="369" t="s">
        <v>11</v>
      </c>
      <c r="I5" s="374"/>
    </row>
    <row r="6" spans="2:20" s="12" customFormat="1" ht="28" customHeight="1">
      <c r="B6" s="333"/>
      <c r="C6" s="331"/>
      <c r="D6" s="331"/>
      <c r="E6" s="331"/>
      <c r="F6" s="331"/>
      <c r="G6" s="331"/>
      <c r="H6" s="331"/>
      <c r="I6" s="334"/>
    </row>
    <row r="7" spans="2:20" s="8" customFormat="1" ht="51" customHeight="1">
      <c r="B7" s="379" t="s">
        <v>12</v>
      </c>
      <c r="C7" s="380"/>
      <c r="D7" s="381"/>
      <c r="E7" s="376" t="s">
        <v>13</v>
      </c>
      <c r="F7" s="394"/>
      <c r="G7" s="376" t="s">
        <v>14</v>
      </c>
      <c r="H7" s="377"/>
      <c r="I7" s="378"/>
      <c r="J7" s="6"/>
      <c r="K7" s="6"/>
    </row>
    <row r="8" spans="2:20" s="7" customFormat="1" ht="35.15" customHeight="1">
      <c r="B8" s="384" t="s">
        <v>15</v>
      </c>
      <c r="C8" s="385"/>
      <c r="D8" s="386"/>
      <c r="E8" s="395" t="s">
        <v>16</v>
      </c>
      <c r="F8" s="397">
        <f>'SP3-3 (1)'!K9</f>
        <v>0</v>
      </c>
      <c r="G8" s="382" t="s">
        <v>894</v>
      </c>
      <c r="H8" s="382"/>
      <c r="I8" s="350">
        <f>'SP3-1'!J41</f>
        <v>0</v>
      </c>
      <c r="J8" s="4"/>
      <c r="K8" s="4"/>
    </row>
    <row r="9" spans="2:20" s="4" customFormat="1" ht="35.15" customHeight="1">
      <c r="B9" s="387"/>
      <c r="C9" s="388"/>
      <c r="D9" s="389"/>
      <c r="E9" s="396"/>
      <c r="F9" s="398"/>
      <c r="G9" s="383"/>
      <c r="H9" s="383"/>
      <c r="I9" s="351"/>
    </row>
    <row r="10" spans="2:20" s="4" customFormat="1" ht="35.15" customHeight="1">
      <c r="B10" s="387"/>
      <c r="C10" s="388"/>
      <c r="D10" s="389"/>
      <c r="E10" s="395" t="s">
        <v>18</v>
      </c>
      <c r="F10" s="397">
        <f>'SP3-3 (1)'!Q10+'SP3-3 (1)'!K12*('SP3-1'!I24-1)+SUM('SP3-3 (1)'!K16:M24)+'SP3-3 (1)'!K27*'SP3-1'!I24</f>
        <v>0</v>
      </c>
      <c r="G10" s="393" t="s">
        <v>19</v>
      </c>
      <c r="H10" s="393"/>
      <c r="I10" s="127">
        <f>'SP3-1'!J42</f>
        <v>0</v>
      </c>
    </row>
    <row r="11" spans="2:20" s="4" customFormat="1" ht="35.15" customHeight="1">
      <c r="B11" s="387"/>
      <c r="C11" s="388"/>
      <c r="D11" s="389"/>
      <c r="E11" s="396"/>
      <c r="F11" s="398"/>
      <c r="G11" s="382" t="s">
        <v>20</v>
      </c>
      <c r="H11" s="382"/>
      <c r="I11" s="349">
        <f>'SP3-1'!M41</f>
        <v>0</v>
      </c>
    </row>
    <row r="12" spans="2:20" s="4" customFormat="1" ht="57" customHeight="1">
      <c r="B12" s="390"/>
      <c r="C12" s="391"/>
      <c r="D12" s="392"/>
      <c r="E12" s="330" t="s">
        <v>21</v>
      </c>
      <c r="F12" s="126">
        <f>F8+F10</f>
        <v>0</v>
      </c>
      <c r="G12" s="383"/>
      <c r="H12" s="383"/>
      <c r="I12" s="348"/>
    </row>
    <row r="13" spans="2:20" s="4" customFormat="1" ht="25" customHeight="1">
      <c r="B13" s="402"/>
      <c r="C13" s="403"/>
      <c r="I13" s="335"/>
    </row>
    <row r="14" spans="2:20" s="3" customFormat="1" ht="43" customHeight="1">
      <c r="B14" s="420" t="s">
        <v>22</v>
      </c>
      <c r="C14" s="421"/>
      <c r="D14" s="413" t="s">
        <v>23</v>
      </c>
      <c r="E14" s="414"/>
      <c r="F14" s="414"/>
      <c r="G14" s="415"/>
      <c r="H14" s="416" t="s">
        <v>24</v>
      </c>
      <c r="I14" s="417"/>
      <c r="J14" s="2"/>
      <c r="K14" s="2"/>
      <c r="L14" s="2"/>
      <c r="M14" s="2"/>
    </row>
    <row r="15" spans="2:20" s="6" customFormat="1" ht="28" customHeight="1">
      <c r="B15" s="418" t="s">
        <v>25</v>
      </c>
      <c r="C15" s="419"/>
      <c r="D15" s="5" t="s">
        <v>26</v>
      </c>
      <c r="E15" s="5" t="s">
        <v>27</v>
      </c>
      <c r="F15" s="5" t="s">
        <v>28</v>
      </c>
      <c r="G15" s="5" t="s">
        <v>29</v>
      </c>
      <c r="H15" s="5" t="s">
        <v>28</v>
      </c>
      <c r="I15" s="336" t="s">
        <v>29</v>
      </c>
      <c r="J15" s="4"/>
      <c r="L15" s="81"/>
      <c r="M15" s="81"/>
      <c r="N15" s="81"/>
      <c r="O15" s="4"/>
      <c r="P15" s="4"/>
      <c r="Q15" s="4"/>
      <c r="R15" s="4"/>
      <c r="S15" s="4"/>
    </row>
    <row r="16" spans="2:20" ht="28" customHeight="1">
      <c r="B16" s="337" t="s">
        <v>30</v>
      </c>
      <c r="C16" s="22"/>
      <c r="I16" s="338"/>
      <c r="J16" s="4"/>
      <c r="K16"/>
      <c r="L16" s="4"/>
      <c r="M16" s="4"/>
      <c r="N16" s="4"/>
      <c r="O16" s="4"/>
      <c r="P16" s="4"/>
      <c r="Q16" s="4"/>
      <c r="R16" s="4"/>
      <c r="S16" s="4"/>
    </row>
    <row r="17" spans="2:18" s="4" customFormat="1" ht="28" customHeight="1">
      <c r="B17" s="411" t="s">
        <v>31</v>
      </c>
      <c r="C17" s="412"/>
      <c r="D17" s="79" t="s">
        <v>32</v>
      </c>
      <c r="E17" s="17" t="s">
        <v>17</v>
      </c>
      <c r="F17" s="77"/>
      <c r="G17" s="357" t="s">
        <v>11</v>
      </c>
      <c r="H17" s="357" t="s">
        <v>11</v>
      </c>
      <c r="I17" s="339">
        <f>'SP3-6'!J40*Tables!O15</f>
        <v>0</v>
      </c>
      <c r="L17" s="85"/>
      <c r="M17" s="86"/>
      <c r="N17" s="84"/>
    </row>
    <row r="18" spans="2:18" ht="28" customHeight="1">
      <c r="B18" s="337" t="s">
        <v>35</v>
      </c>
      <c r="C18" s="23"/>
      <c r="D18" s="340"/>
      <c r="E18" s="340"/>
      <c r="F18" s="340"/>
      <c r="G18" s="340"/>
      <c r="H18" s="340"/>
      <c r="I18" s="341"/>
      <c r="K18"/>
      <c r="M18" s="4"/>
      <c r="N18" s="4"/>
    </row>
    <row r="19" spans="2:18" s="4" customFormat="1" ht="28" customHeight="1">
      <c r="B19" s="409"/>
      <c r="C19" s="410"/>
      <c r="D19" s="13"/>
      <c r="E19" s="17" t="s">
        <v>17</v>
      </c>
      <c r="F19" s="358" t="s">
        <v>11</v>
      </c>
      <c r="G19" s="358" t="s">
        <v>11</v>
      </c>
      <c r="H19" s="357" t="s">
        <v>11</v>
      </c>
      <c r="I19" s="361" t="s">
        <v>11</v>
      </c>
      <c r="L19" s="85"/>
      <c r="M19" s="86"/>
      <c r="N19" s="80"/>
    </row>
    <row r="20" spans="2:18" ht="28" customHeight="1">
      <c r="B20" s="342" t="s">
        <v>36</v>
      </c>
      <c r="C20" s="24"/>
      <c r="D20" s="340"/>
      <c r="E20" s="340"/>
      <c r="F20" s="340"/>
      <c r="G20" s="340"/>
      <c r="H20" s="340"/>
      <c r="I20" s="341"/>
      <c r="K20"/>
      <c r="M20" s="4"/>
      <c r="N20" s="4"/>
    </row>
    <row r="21" spans="2:18" ht="28" customHeight="1">
      <c r="B21" s="409" t="s">
        <v>37</v>
      </c>
      <c r="C21" s="410"/>
      <c r="D21" s="13" t="s">
        <v>38</v>
      </c>
      <c r="E21" s="17" t="s">
        <v>17</v>
      </c>
      <c r="F21" s="17" t="s">
        <v>17</v>
      </c>
      <c r="G21" s="17" t="s">
        <v>17</v>
      </c>
      <c r="H21" s="77">
        <v>0</v>
      </c>
      <c r="I21" s="339">
        <f>'SP3-4'!N23*Tables!O15</f>
        <v>0</v>
      </c>
      <c r="J21" s="137"/>
      <c r="K21"/>
      <c r="L21" s="85"/>
      <c r="M21" s="86"/>
      <c r="N21" s="84"/>
    </row>
    <row r="22" spans="2:18" s="4" customFormat="1" ht="28" customHeight="1">
      <c r="B22" s="409"/>
      <c r="C22" s="410"/>
      <c r="D22" s="13" t="s">
        <v>753</v>
      </c>
      <c r="E22" s="17" t="s">
        <v>17</v>
      </c>
      <c r="F22" s="358" t="s">
        <v>11</v>
      </c>
      <c r="G22" s="358" t="s">
        <v>11</v>
      </c>
      <c r="H22" s="357" t="s">
        <v>11</v>
      </c>
      <c r="I22" s="339">
        <f>'SP3-5'!$N$27*Tables!O15</f>
        <v>0</v>
      </c>
      <c r="L22" s="85"/>
      <c r="M22" s="86"/>
      <c r="N22" s="80"/>
      <c r="O22"/>
      <c r="P22"/>
      <c r="Q22"/>
      <c r="R22"/>
    </row>
    <row r="23" spans="2:18" ht="28" customHeight="1">
      <c r="B23" s="343" t="s">
        <v>39</v>
      </c>
      <c r="C23" s="22"/>
      <c r="D23" s="340"/>
      <c r="E23" s="340"/>
      <c r="F23" s="340"/>
      <c r="G23" s="340"/>
      <c r="H23" s="340"/>
      <c r="I23" s="341"/>
      <c r="K23"/>
      <c r="M23" s="4"/>
      <c r="N23" s="4"/>
    </row>
    <row r="24" spans="2:18" s="4" customFormat="1" ht="28" customHeight="1">
      <c r="B24" s="411" t="s">
        <v>40</v>
      </c>
      <c r="C24" s="412"/>
      <c r="D24" s="79" t="s">
        <v>41</v>
      </c>
      <c r="E24" s="17" t="s">
        <v>17</v>
      </c>
      <c r="F24" s="78">
        <v>0</v>
      </c>
      <c r="G24" s="78">
        <f>G25*0.000161</f>
        <v>0</v>
      </c>
      <c r="H24" s="77">
        <v>0</v>
      </c>
      <c r="I24" s="339">
        <f>G24*255</f>
        <v>0</v>
      </c>
      <c r="L24" s="85"/>
      <c r="M24" s="86"/>
      <c r="N24" s="84"/>
      <c r="O24"/>
      <c r="P24"/>
      <c r="Q24"/>
      <c r="R24"/>
    </row>
    <row r="25" spans="2:18" s="4" customFormat="1" ht="28" customHeight="1">
      <c r="B25" s="404" t="s">
        <v>40</v>
      </c>
      <c r="C25" s="405"/>
      <c r="D25" s="13" t="s">
        <v>42</v>
      </c>
      <c r="E25" s="17"/>
      <c r="F25" s="78"/>
      <c r="G25" s="13"/>
      <c r="H25" s="77"/>
      <c r="I25" s="339"/>
      <c r="L25" s="85"/>
      <c r="M25" s="83"/>
      <c r="N25" s="84"/>
      <c r="O25"/>
      <c r="P25"/>
      <c r="Q25"/>
      <c r="R25"/>
    </row>
    <row r="26" spans="2:18" s="4" customFormat="1" ht="28" customHeight="1">
      <c r="B26" s="404" t="s">
        <v>43</v>
      </c>
      <c r="C26" s="405"/>
      <c r="D26" s="13" t="s">
        <v>44</v>
      </c>
      <c r="E26" s="17" t="s">
        <v>17</v>
      </c>
      <c r="F26" s="358" t="s">
        <v>11</v>
      </c>
      <c r="G26" s="13"/>
      <c r="H26" s="77">
        <v>0</v>
      </c>
      <c r="I26" s="339">
        <v>0</v>
      </c>
      <c r="L26" s="85"/>
      <c r="M26" s="86"/>
      <c r="N26" s="80"/>
      <c r="O26"/>
      <c r="P26"/>
      <c r="Q26"/>
      <c r="R26"/>
    </row>
    <row r="27" spans="2:18" ht="28" customHeight="1">
      <c r="B27" s="344" t="s">
        <v>45</v>
      </c>
      <c r="C27" s="22"/>
      <c r="D27" s="340"/>
      <c r="E27" s="340"/>
      <c r="F27" s="340"/>
      <c r="G27" s="340"/>
      <c r="H27" s="340"/>
      <c r="I27" s="341"/>
      <c r="K27"/>
      <c r="M27" s="4"/>
      <c r="N27" s="4"/>
    </row>
    <row r="28" spans="2:18" s="4" customFormat="1" ht="28" customHeight="1">
      <c r="B28" s="411" t="s">
        <v>46</v>
      </c>
      <c r="C28" s="412"/>
      <c r="D28" s="79" t="s">
        <v>47</v>
      </c>
      <c r="E28" s="17" t="s">
        <v>17</v>
      </c>
      <c r="F28" s="358" t="s">
        <v>11</v>
      </c>
      <c r="G28" s="358" t="s">
        <v>11</v>
      </c>
      <c r="H28" s="13" t="s">
        <v>17</v>
      </c>
      <c r="I28" s="339" t="s">
        <v>17</v>
      </c>
      <c r="L28" s="87"/>
      <c r="M28" s="88"/>
      <c r="N28" s="84"/>
    </row>
    <row r="29" spans="2:18" s="4" customFormat="1" ht="28" customHeight="1" thickBot="1">
      <c r="B29" s="407" t="s">
        <v>48</v>
      </c>
      <c r="C29" s="408"/>
      <c r="D29" s="345" t="s">
        <v>38</v>
      </c>
      <c r="E29" s="346" t="s">
        <v>17</v>
      </c>
      <c r="F29" s="359" t="s">
        <v>11</v>
      </c>
      <c r="G29" s="359" t="s">
        <v>11</v>
      </c>
      <c r="H29" s="359" t="s">
        <v>11</v>
      </c>
      <c r="I29" s="360" t="s">
        <v>11</v>
      </c>
      <c r="L29" s="85"/>
      <c r="M29" s="86"/>
      <c r="N29" s="80"/>
    </row>
    <row r="30" spans="2:18" s="6" customFormat="1">
      <c r="L30" s="4"/>
      <c r="M30" s="4"/>
      <c r="N30" s="4"/>
    </row>
    <row r="31" spans="2:18" s="6" customFormat="1">
      <c r="B31" s="406" t="s">
        <v>49</v>
      </c>
      <c r="C31" s="406"/>
      <c r="D31" s="16"/>
      <c r="E31" s="16"/>
      <c r="F31" s="16"/>
      <c r="G31" s="16"/>
      <c r="H31" s="16"/>
      <c r="I31" s="16"/>
      <c r="L31" s="4"/>
      <c r="M31" s="4"/>
      <c r="N31" s="4"/>
    </row>
    <row r="32" spans="2:18" s="9" customFormat="1" ht="40" customHeight="1">
      <c r="B32" s="399"/>
      <c r="C32" s="400"/>
      <c r="D32" s="400"/>
      <c r="E32" s="400"/>
      <c r="F32" s="400"/>
      <c r="G32" s="400"/>
      <c r="H32" s="400"/>
      <c r="I32" s="401"/>
      <c r="L32" s="4"/>
      <c r="M32" s="4"/>
      <c r="N32" s="4"/>
    </row>
    <row r="33" spans="12:14">
      <c r="L33" s="4"/>
      <c r="M33" s="4"/>
      <c r="N33" s="4"/>
    </row>
    <row r="34" spans="12:14">
      <c r="L34" s="4"/>
      <c r="M34" s="4"/>
      <c r="N34" s="4"/>
    </row>
    <row r="35" spans="12:14">
      <c r="L35" s="4"/>
      <c r="M35" s="4"/>
      <c r="N35" s="4"/>
    </row>
  </sheetData>
  <sheetProtection algorithmName="SHA-512" hashValue="hDffI7cOwb1t0wPPukGiwjViDnkNo7+qNloTwo4dGSt09qwZiwGnTcOMT3V1xrylTsVa3xHeBAez7Gor3eKCcg==" saltValue="kvPjW3TirEFgo+pZTVb5Ug==" spinCount="100000" sheet="1" objects="1" scenarios="1"/>
  <protectedRanges>
    <protectedRange sqref="J3" name="Range2_1"/>
  </protectedRanges>
  <mergeCells count="39">
    <mergeCell ref="B32:I32"/>
    <mergeCell ref="B13:C13"/>
    <mergeCell ref="B26:C26"/>
    <mergeCell ref="B31:C31"/>
    <mergeCell ref="B29:C29"/>
    <mergeCell ref="B19:C19"/>
    <mergeCell ref="B22:C22"/>
    <mergeCell ref="B28:C28"/>
    <mergeCell ref="B24:C24"/>
    <mergeCell ref="D14:G14"/>
    <mergeCell ref="H14:I14"/>
    <mergeCell ref="B17:C17"/>
    <mergeCell ref="B15:C15"/>
    <mergeCell ref="B21:C21"/>
    <mergeCell ref="B14:C14"/>
    <mergeCell ref="B25:C25"/>
    <mergeCell ref="G7:I7"/>
    <mergeCell ref="B7:D7"/>
    <mergeCell ref="G8:H8"/>
    <mergeCell ref="G9:H9"/>
    <mergeCell ref="B8:D12"/>
    <mergeCell ref="G12:H12"/>
    <mergeCell ref="G10:H10"/>
    <mergeCell ref="G11:H11"/>
    <mergeCell ref="E7:F7"/>
    <mergeCell ref="E8:E9"/>
    <mergeCell ref="F8:F9"/>
    <mergeCell ref="E10:E11"/>
    <mergeCell ref="F10:F11"/>
    <mergeCell ref="B2:I2"/>
    <mergeCell ref="B4:C4"/>
    <mergeCell ref="B5:C5"/>
    <mergeCell ref="D5:E5"/>
    <mergeCell ref="D4:E4"/>
    <mergeCell ref="F4:G4"/>
    <mergeCell ref="F5:G5"/>
    <mergeCell ref="H4:I4"/>
    <mergeCell ref="H5:I5"/>
    <mergeCell ref="G3:H3"/>
  </mergeCells>
  <phoneticPr fontId="3" type="noConversion"/>
  <dataValidations count="1">
    <dataValidation type="list" allowBlank="1" showInputMessage="1" showErrorMessage="1" sqref="L17 L21:L22 L24:L26 L28:L29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825500</xdr:colOff>
                    <xdr:row>2</xdr:row>
                    <xdr:rowOff>285750</xdr:rowOff>
                  </from>
                  <to>
                    <xdr:col>8</xdr:col>
                    <xdr:colOff>1206500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3868E784-81E8-495B-8333-1271A052BFB6}">
          <x14:formula1>
            <xm:f>'Benefits Framework'!$C$9:$C$73</xm:f>
          </x14:formula1>
          <xm:sqref>D25:D26 D29 D21:D22 D19</xm:sqref>
        </x14:dataValidation>
        <x14:dataValidation type="list" allowBlank="1" showInputMessage="1" xr:uid="{7F353724-2C21-408C-AED7-7AA7327EE5A5}">
          <x14:formula1>
            <xm:f>'Benefits Framework'!$I$2:$I$10</xm:f>
          </x14:formula1>
          <xm:sqref>B29:C29</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Tables!$A$1:$C$1</xm:f>
          </x14:formula1>
          <xm:sqref>J3</xm:sqref>
        </x14:dataValidation>
        <x14:dataValidation type="list" allowBlank="1" showInputMessage="1" xr:uid="{A81E6DF3-4BD7-4B05-8864-D584D0629F63}">
          <x14:formula1>
            <xm:f>'Benefits Framework'!$G$2:$G$6</xm:f>
          </x14:formula1>
          <xm:sqref>B25:C26</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5B12-0C94-4720-8F7A-7A8857617CC3}">
  <sheetPr codeName="Sheet10">
    <pageSetUpPr fitToPage="1"/>
  </sheetPr>
  <dimension ref="A1:X65"/>
  <sheetViews>
    <sheetView zoomScaleNormal="100" workbookViewId="0">
      <selection activeCell="N23" sqref="N23:Q23"/>
    </sheetView>
  </sheetViews>
  <sheetFormatPr defaultRowHeight="13.5"/>
  <cols>
    <col min="1" max="1" width="2.5" style="57" customWidth="1"/>
    <col min="2" max="2" width="6" style="57" customWidth="1"/>
    <col min="3" max="3" width="5.6640625" style="57" customWidth="1"/>
    <col min="4" max="4" width="4.83203125" style="57" customWidth="1"/>
    <col min="5" max="5" width="6.1640625" style="57" customWidth="1"/>
    <col min="6" max="10" width="4.5" style="57" customWidth="1"/>
    <col min="11" max="11" width="3.5" style="57" customWidth="1"/>
    <col min="12" max="17" width="4.5" style="57" customWidth="1"/>
    <col min="18" max="18" width="3.1640625" style="58" customWidth="1"/>
    <col min="19" max="19" width="9.25" style="57" customWidth="1"/>
    <col min="20" max="20" width="26.75" style="57" customWidth="1"/>
    <col min="21" max="23" width="9.25" style="57" customWidth="1"/>
    <col min="24" max="24" width="13.6640625" style="57" customWidth="1"/>
    <col min="25" max="256" width="9" style="57"/>
    <col min="257" max="257" width="2.5" style="57" customWidth="1"/>
    <col min="258" max="258" width="6" style="57" customWidth="1"/>
    <col min="259" max="259" width="5.6640625" style="57" customWidth="1"/>
    <col min="260" max="260" width="4.83203125" style="57" customWidth="1"/>
    <col min="261" max="261" width="6.1640625" style="57" customWidth="1"/>
    <col min="262" max="266" width="4.5" style="57" customWidth="1"/>
    <col min="267" max="267" width="3.5" style="57" customWidth="1"/>
    <col min="268" max="273" width="4.5" style="57" customWidth="1"/>
    <col min="274" max="274" width="3.1640625" style="57" customWidth="1"/>
    <col min="275" max="275" width="9.25" style="57" customWidth="1"/>
    <col min="276" max="276" width="26.75" style="57" customWidth="1"/>
    <col min="277" max="279" width="9.25" style="57" customWidth="1"/>
    <col min="280" max="280" width="13.6640625" style="57" customWidth="1"/>
    <col min="281" max="512" width="9" style="57"/>
    <col min="513" max="513" width="2.5" style="57" customWidth="1"/>
    <col min="514" max="514" width="6" style="57" customWidth="1"/>
    <col min="515" max="515" width="5.6640625" style="57" customWidth="1"/>
    <col min="516" max="516" width="4.83203125" style="57" customWidth="1"/>
    <col min="517" max="517" width="6.1640625" style="57" customWidth="1"/>
    <col min="518" max="522" width="4.5" style="57" customWidth="1"/>
    <col min="523" max="523" width="3.5" style="57" customWidth="1"/>
    <col min="524" max="529" width="4.5" style="57" customWidth="1"/>
    <col min="530" max="530" width="3.1640625" style="57" customWidth="1"/>
    <col min="531" max="531" width="9.25" style="57" customWidth="1"/>
    <col min="532" max="532" width="26.75" style="57" customWidth="1"/>
    <col min="533" max="535" width="9.25" style="57" customWidth="1"/>
    <col min="536" max="536" width="13.6640625" style="57" customWidth="1"/>
    <col min="537" max="768" width="9" style="57"/>
    <col min="769" max="769" width="2.5" style="57" customWidth="1"/>
    <col min="770" max="770" width="6" style="57" customWidth="1"/>
    <col min="771" max="771" width="5.6640625" style="57" customWidth="1"/>
    <col min="772" max="772" width="4.83203125" style="57" customWidth="1"/>
    <col min="773" max="773" width="6.1640625" style="57" customWidth="1"/>
    <col min="774" max="778" width="4.5" style="57" customWidth="1"/>
    <col min="779" max="779" width="3.5" style="57" customWidth="1"/>
    <col min="780" max="785" width="4.5" style="57" customWidth="1"/>
    <col min="786" max="786" width="3.1640625" style="57" customWidth="1"/>
    <col min="787" max="787" width="9.25" style="57" customWidth="1"/>
    <col min="788" max="788" width="26.75" style="57" customWidth="1"/>
    <col min="789" max="791" width="9.25" style="57" customWidth="1"/>
    <col min="792" max="792" width="13.6640625" style="57" customWidth="1"/>
    <col min="793" max="1024" width="9" style="57"/>
    <col min="1025" max="1025" width="2.5" style="57" customWidth="1"/>
    <col min="1026" max="1026" width="6" style="57" customWidth="1"/>
    <col min="1027" max="1027" width="5.6640625" style="57" customWidth="1"/>
    <col min="1028" max="1028" width="4.83203125" style="57" customWidth="1"/>
    <col min="1029" max="1029" width="6.1640625" style="57" customWidth="1"/>
    <col min="1030" max="1034" width="4.5" style="57" customWidth="1"/>
    <col min="1035" max="1035" width="3.5" style="57" customWidth="1"/>
    <col min="1036" max="1041" width="4.5" style="57" customWidth="1"/>
    <col min="1042" max="1042" width="3.1640625" style="57" customWidth="1"/>
    <col min="1043" max="1043" width="9.25" style="57" customWidth="1"/>
    <col min="1044" max="1044" width="26.75" style="57" customWidth="1"/>
    <col min="1045" max="1047" width="9.25" style="57" customWidth="1"/>
    <col min="1048" max="1048" width="13.6640625" style="57" customWidth="1"/>
    <col min="1049" max="1280" width="9" style="57"/>
    <col min="1281" max="1281" width="2.5" style="57" customWidth="1"/>
    <col min="1282" max="1282" width="6" style="57" customWidth="1"/>
    <col min="1283" max="1283" width="5.6640625" style="57" customWidth="1"/>
    <col min="1284" max="1284" width="4.83203125" style="57" customWidth="1"/>
    <col min="1285" max="1285" width="6.1640625" style="57" customWidth="1"/>
    <col min="1286" max="1290" width="4.5" style="57" customWidth="1"/>
    <col min="1291" max="1291" width="3.5" style="57" customWidth="1"/>
    <col min="1292" max="1297" width="4.5" style="57" customWidth="1"/>
    <col min="1298" max="1298" width="3.1640625" style="57" customWidth="1"/>
    <col min="1299" max="1299" width="9.25" style="57" customWidth="1"/>
    <col min="1300" max="1300" width="26.75" style="57" customWidth="1"/>
    <col min="1301" max="1303" width="9.25" style="57" customWidth="1"/>
    <col min="1304" max="1304" width="13.6640625" style="57" customWidth="1"/>
    <col min="1305" max="1536" width="9" style="57"/>
    <col min="1537" max="1537" width="2.5" style="57" customWidth="1"/>
    <col min="1538" max="1538" width="6" style="57" customWidth="1"/>
    <col min="1539" max="1539" width="5.6640625" style="57" customWidth="1"/>
    <col min="1540" max="1540" width="4.83203125" style="57" customWidth="1"/>
    <col min="1541" max="1541" width="6.1640625" style="57" customWidth="1"/>
    <col min="1542" max="1546" width="4.5" style="57" customWidth="1"/>
    <col min="1547" max="1547" width="3.5" style="57" customWidth="1"/>
    <col min="1548" max="1553" width="4.5" style="57" customWidth="1"/>
    <col min="1554" max="1554" width="3.1640625" style="57" customWidth="1"/>
    <col min="1555" max="1555" width="9.25" style="57" customWidth="1"/>
    <col min="1556" max="1556" width="26.75" style="57" customWidth="1"/>
    <col min="1557" max="1559" width="9.25" style="57" customWidth="1"/>
    <col min="1560" max="1560" width="13.6640625" style="57" customWidth="1"/>
    <col min="1561" max="1792" width="9" style="57"/>
    <col min="1793" max="1793" width="2.5" style="57" customWidth="1"/>
    <col min="1794" max="1794" width="6" style="57" customWidth="1"/>
    <col min="1795" max="1795" width="5.6640625" style="57" customWidth="1"/>
    <col min="1796" max="1796" width="4.83203125" style="57" customWidth="1"/>
    <col min="1797" max="1797" width="6.1640625" style="57" customWidth="1"/>
    <col min="1798" max="1802" width="4.5" style="57" customWidth="1"/>
    <col min="1803" max="1803" width="3.5" style="57" customWidth="1"/>
    <col min="1804" max="1809" width="4.5" style="57" customWidth="1"/>
    <col min="1810" max="1810" width="3.1640625" style="57" customWidth="1"/>
    <col min="1811" max="1811" width="9.25" style="57" customWidth="1"/>
    <col min="1812" max="1812" width="26.75" style="57" customWidth="1"/>
    <col min="1813" max="1815" width="9.25" style="57" customWidth="1"/>
    <col min="1816" max="1816" width="13.6640625" style="57" customWidth="1"/>
    <col min="1817" max="2048" width="9" style="57"/>
    <col min="2049" max="2049" width="2.5" style="57" customWidth="1"/>
    <col min="2050" max="2050" width="6" style="57" customWidth="1"/>
    <col min="2051" max="2051" width="5.6640625" style="57" customWidth="1"/>
    <col min="2052" max="2052" width="4.83203125" style="57" customWidth="1"/>
    <col min="2053" max="2053" width="6.1640625" style="57" customWidth="1"/>
    <col min="2054" max="2058" width="4.5" style="57" customWidth="1"/>
    <col min="2059" max="2059" width="3.5" style="57" customWidth="1"/>
    <col min="2060" max="2065" width="4.5" style="57" customWidth="1"/>
    <col min="2066" max="2066" width="3.1640625" style="57" customWidth="1"/>
    <col min="2067" max="2067" width="9.25" style="57" customWidth="1"/>
    <col min="2068" max="2068" width="26.75" style="57" customWidth="1"/>
    <col min="2069" max="2071" width="9.25" style="57" customWidth="1"/>
    <col min="2072" max="2072" width="13.6640625" style="57" customWidth="1"/>
    <col min="2073" max="2304" width="9" style="57"/>
    <col min="2305" max="2305" width="2.5" style="57" customWidth="1"/>
    <col min="2306" max="2306" width="6" style="57" customWidth="1"/>
    <col min="2307" max="2307" width="5.6640625" style="57" customWidth="1"/>
    <col min="2308" max="2308" width="4.83203125" style="57" customWidth="1"/>
    <col min="2309" max="2309" width="6.1640625" style="57" customWidth="1"/>
    <col min="2310" max="2314" width="4.5" style="57" customWidth="1"/>
    <col min="2315" max="2315" width="3.5" style="57" customWidth="1"/>
    <col min="2316" max="2321" width="4.5" style="57" customWidth="1"/>
    <col min="2322" max="2322" width="3.1640625" style="57" customWidth="1"/>
    <col min="2323" max="2323" width="9.25" style="57" customWidth="1"/>
    <col min="2324" max="2324" width="26.75" style="57" customWidth="1"/>
    <col min="2325" max="2327" width="9.25" style="57" customWidth="1"/>
    <col min="2328" max="2328" width="13.6640625" style="57" customWidth="1"/>
    <col min="2329" max="2560" width="9" style="57"/>
    <col min="2561" max="2561" width="2.5" style="57" customWidth="1"/>
    <col min="2562" max="2562" width="6" style="57" customWidth="1"/>
    <col min="2563" max="2563" width="5.6640625" style="57" customWidth="1"/>
    <col min="2564" max="2564" width="4.83203125" style="57" customWidth="1"/>
    <col min="2565" max="2565" width="6.1640625" style="57" customWidth="1"/>
    <col min="2566" max="2570" width="4.5" style="57" customWidth="1"/>
    <col min="2571" max="2571" width="3.5" style="57" customWidth="1"/>
    <col min="2572" max="2577" width="4.5" style="57" customWidth="1"/>
    <col min="2578" max="2578" width="3.1640625" style="57" customWidth="1"/>
    <col min="2579" max="2579" width="9.25" style="57" customWidth="1"/>
    <col min="2580" max="2580" width="26.75" style="57" customWidth="1"/>
    <col min="2581" max="2583" width="9.25" style="57" customWidth="1"/>
    <col min="2584" max="2584" width="13.6640625" style="57" customWidth="1"/>
    <col min="2585" max="2816" width="9" style="57"/>
    <col min="2817" max="2817" width="2.5" style="57" customWidth="1"/>
    <col min="2818" max="2818" width="6" style="57" customWidth="1"/>
    <col min="2819" max="2819" width="5.6640625" style="57" customWidth="1"/>
    <col min="2820" max="2820" width="4.83203125" style="57" customWidth="1"/>
    <col min="2821" max="2821" width="6.1640625" style="57" customWidth="1"/>
    <col min="2822" max="2826" width="4.5" style="57" customWidth="1"/>
    <col min="2827" max="2827" width="3.5" style="57" customWidth="1"/>
    <col min="2828" max="2833" width="4.5" style="57" customWidth="1"/>
    <col min="2834" max="2834" width="3.1640625" style="57" customWidth="1"/>
    <col min="2835" max="2835" width="9.25" style="57" customWidth="1"/>
    <col min="2836" max="2836" width="26.75" style="57" customWidth="1"/>
    <col min="2837" max="2839" width="9.25" style="57" customWidth="1"/>
    <col min="2840" max="2840" width="13.6640625" style="57" customWidth="1"/>
    <col min="2841" max="3072" width="9" style="57"/>
    <col min="3073" max="3073" width="2.5" style="57" customWidth="1"/>
    <col min="3074" max="3074" width="6" style="57" customWidth="1"/>
    <col min="3075" max="3075" width="5.6640625" style="57" customWidth="1"/>
    <col min="3076" max="3076" width="4.83203125" style="57" customWidth="1"/>
    <col min="3077" max="3077" width="6.1640625" style="57" customWidth="1"/>
    <col min="3078" max="3082" width="4.5" style="57" customWidth="1"/>
    <col min="3083" max="3083" width="3.5" style="57" customWidth="1"/>
    <col min="3084" max="3089" width="4.5" style="57" customWidth="1"/>
    <col min="3090" max="3090" width="3.1640625" style="57" customWidth="1"/>
    <col min="3091" max="3091" width="9.25" style="57" customWidth="1"/>
    <col min="3092" max="3092" width="26.75" style="57" customWidth="1"/>
    <col min="3093" max="3095" width="9.25" style="57" customWidth="1"/>
    <col min="3096" max="3096" width="13.6640625" style="57" customWidth="1"/>
    <col min="3097" max="3328" width="9" style="57"/>
    <col min="3329" max="3329" width="2.5" style="57" customWidth="1"/>
    <col min="3330" max="3330" width="6" style="57" customWidth="1"/>
    <col min="3331" max="3331" width="5.6640625" style="57" customWidth="1"/>
    <col min="3332" max="3332" width="4.83203125" style="57" customWidth="1"/>
    <col min="3333" max="3333" width="6.1640625" style="57" customWidth="1"/>
    <col min="3334" max="3338" width="4.5" style="57" customWidth="1"/>
    <col min="3339" max="3339" width="3.5" style="57" customWidth="1"/>
    <col min="3340" max="3345" width="4.5" style="57" customWidth="1"/>
    <col min="3346" max="3346" width="3.1640625" style="57" customWidth="1"/>
    <col min="3347" max="3347" width="9.25" style="57" customWidth="1"/>
    <col min="3348" max="3348" width="26.75" style="57" customWidth="1"/>
    <col min="3349" max="3351" width="9.25" style="57" customWidth="1"/>
    <col min="3352" max="3352" width="13.6640625" style="57" customWidth="1"/>
    <col min="3353" max="3584" width="9" style="57"/>
    <col min="3585" max="3585" width="2.5" style="57" customWidth="1"/>
    <col min="3586" max="3586" width="6" style="57" customWidth="1"/>
    <col min="3587" max="3587" width="5.6640625" style="57" customWidth="1"/>
    <col min="3588" max="3588" width="4.83203125" style="57" customWidth="1"/>
    <col min="3589" max="3589" width="6.1640625" style="57" customWidth="1"/>
    <col min="3590" max="3594" width="4.5" style="57" customWidth="1"/>
    <col min="3595" max="3595" width="3.5" style="57" customWidth="1"/>
    <col min="3596" max="3601" width="4.5" style="57" customWidth="1"/>
    <col min="3602" max="3602" width="3.1640625" style="57" customWidth="1"/>
    <col min="3603" max="3603" width="9.25" style="57" customWidth="1"/>
    <col min="3604" max="3604" width="26.75" style="57" customWidth="1"/>
    <col min="3605" max="3607" width="9.25" style="57" customWidth="1"/>
    <col min="3608" max="3608" width="13.6640625" style="57" customWidth="1"/>
    <col min="3609" max="3840" width="9" style="57"/>
    <col min="3841" max="3841" width="2.5" style="57" customWidth="1"/>
    <col min="3842" max="3842" width="6" style="57" customWidth="1"/>
    <col min="3843" max="3843" width="5.6640625" style="57" customWidth="1"/>
    <col min="3844" max="3844" width="4.83203125" style="57" customWidth="1"/>
    <col min="3845" max="3845" width="6.1640625" style="57" customWidth="1"/>
    <col min="3846" max="3850" width="4.5" style="57" customWidth="1"/>
    <col min="3851" max="3851" width="3.5" style="57" customWidth="1"/>
    <col min="3852" max="3857" width="4.5" style="57" customWidth="1"/>
    <col min="3858" max="3858" width="3.1640625" style="57" customWidth="1"/>
    <col min="3859" max="3859" width="9.25" style="57" customWidth="1"/>
    <col min="3860" max="3860" width="26.75" style="57" customWidth="1"/>
    <col min="3861" max="3863" width="9.25" style="57" customWidth="1"/>
    <col min="3864" max="3864" width="13.6640625" style="57" customWidth="1"/>
    <col min="3865" max="4096" width="9" style="57"/>
    <col min="4097" max="4097" width="2.5" style="57" customWidth="1"/>
    <col min="4098" max="4098" width="6" style="57" customWidth="1"/>
    <col min="4099" max="4099" width="5.6640625" style="57" customWidth="1"/>
    <col min="4100" max="4100" width="4.83203125" style="57" customWidth="1"/>
    <col min="4101" max="4101" width="6.1640625" style="57" customWidth="1"/>
    <col min="4102" max="4106" width="4.5" style="57" customWidth="1"/>
    <col min="4107" max="4107" width="3.5" style="57" customWidth="1"/>
    <col min="4108" max="4113" width="4.5" style="57" customWidth="1"/>
    <col min="4114" max="4114" width="3.1640625" style="57" customWidth="1"/>
    <col min="4115" max="4115" width="9.25" style="57" customWidth="1"/>
    <col min="4116" max="4116" width="26.75" style="57" customWidth="1"/>
    <col min="4117" max="4119" width="9.25" style="57" customWidth="1"/>
    <col min="4120" max="4120" width="13.6640625" style="57" customWidth="1"/>
    <col min="4121" max="4352" width="9" style="57"/>
    <col min="4353" max="4353" width="2.5" style="57" customWidth="1"/>
    <col min="4354" max="4354" width="6" style="57" customWidth="1"/>
    <col min="4355" max="4355" width="5.6640625" style="57" customWidth="1"/>
    <col min="4356" max="4356" width="4.83203125" style="57" customWidth="1"/>
    <col min="4357" max="4357" width="6.1640625" style="57" customWidth="1"/>
    <col min="4358" max="4362" width="4.5" style="57" customWidth="1"/>
    <col min="4363" max="4363" width="3.5" style="57" customWidth="1"/>
    <col min="4364" max="4369" width="4.5" style="57" customWidth="1"/>
    <col min="4370" max="4370" width="3.1640625" style="57" customWidth="1"/>
    <col min="4371" max="4371" width="9.25" style="57" customWidth="1"/>
    <col min="4372" max="4372" width="26.75" style="57" customWidth="1"/>
    <col min="4373" max="4375" width="9.25" style="57" customWidth="1"/>
    <col min="4376" max="4376" width="13.6640625" style="57" customWidth="1"/>
    <col min="4377" max="4608" width="9" style="57"/>
    <col min="4609" max="4609" width="2.5" style="57" customWidth="1"/>
    <col min="4610" max="4610" width="6" style="57" customWidth="1"/>
    <col min="4611" max="4611" width="5.6640625" style="57" customWidth="1"/>
    <col min="4612" max="4612" width="4.83203125" style="57" customWidth="1"/>
    <col min="4613" max="4613" width="6.1640625" style="57" customWidth="1"/>
    <col min="4614" max="4618" width="4.5" style="57" customWidth="1"/>
    <col min="4619" max="4619" width="3.5" style="57" customWidth="1"/>
    <col min="4620" max="4625" width="4.5" style="57" customWidth="1"/>
    <col min="4626" max="4626" width="3.1640625" style="57" customWidth="1"/>
    <col min="4627" max="4627" width="9.25" style="57" customWidth="1"/>
    <col min="4628" max="4628" width="26.75" style="57" customWidth="1"/>
    <col min="4629" max="4631" width="9.25" style="57" customWidth="1"/>
    <col min="4632" max="4632" width="13.6640625" style="57" customWidth="1"/>
    <col min="4633" max="4864" width="9" style="57"/>
    <col min="4865" max="4865" width="2.5" style="57" customWidth="1"/>
    <col min="4866" max="4866" width="6" style="57" customWidth="1"/>
    <col min="4867" max="4867" width="5.6640625" style="57" customWidth="1"/>
    <col min="4868" max="4868" width="4.83203125" style="57" customWidth="1"/>
    <col min="4869" max="4869" width="6.1640625" style="57" customWidth="1"/>
    <col min="4870" max="4874" width="4.5" style="57" customWidth="1"/>
    <col min="4875" max="4875" width="3.5" style="57" customWidth="1"/>
    <col min="4876" max="4881" width="4.5" style="57" customWidth="1"/>
    <col min="4882" max="4882" width="3.1640625" style="57" customWidth="1"/>
    <col min="4883" max="4883" width="9.25" style="57" customWidth="1"/>
    <col min="4884" max="4884" width="26.75" style="57" customWidth="1"/>
    <col min="4885" max="4887" width="9.25" style="57" customWidth="1"/>
    <col min="4888" max="4888" width="13.6640625" style="57" customWidth="1"/>
    <col min="4889" max="5120" width="9" style="57"/>
    <col min="5121" max="5121" width="2.5" style="57" customWidth="1"/>
    <col min="5122" max="5122" width="6" style="57" customWidth="1"/>
    <col min="5123" max="5123" width="5.6640625" style="57" customWidth="1"/>
    <col min="5124" max="5124" width="4.83203125" style="57" customWidth="1"/>
    <col min="5125" max="5125" width="6.1640625" style="57" customWidth="1"/>
    <col min="5126" max="5130" width="4.5" style="57" customWidth="1"/>
    <col min="5131" max="5131" width="3.5" style="57" customWidth="1"/>
    <col min="5132" max="5137" width="4.5" style="57" customWidth="1"/>
    <col min="5138" max="5138" width="3.1640625" style="57" customWidth="1"/>
    <col min="5139" max="5139" width="9.25" style="57" customWidth="1"/>
    <col min="5140" max="5140" width="26.75" style="57" customWidth="1"/>
    <col min="5141" max="5143" width="9.25" style="57" customWidth="1"/>
    <col min="5144" max="5144" width="13.6640625" style="57" customWidth="1"/>
    <col min="5145" max="5376" width="9" style="57"/>
    <col min="5377" max="5377" width="2.5" style="57" customWidth="1"/>
    <col min="5378" max="5378" width="6" style="57" customWidth="1"/>
    <col min="5379" max="5379" width="5.6640625" style="57" customWidth="1"/>
    <col min="5380" max="5380" width="4.83203125" style="57" customWidth="1"/>
    <col min="5381" max="5381" width="6.1640625" style="57" customWidth="1"/>
    <col min="5382" max="5386" width="4.5" style="57" customWidth="1"/>
    <col min="5387" max="5387" width="3.5" style="57" customWidth="1"/>
    <col min="5388" max="5393" width="4.5" style="57" customWidth="1"/>
    <col min="5394" max="5394" width="3.1640625" style="57" customWidth="1"/>
    <col min="5395" max="5395" width="9.25" style="57" customWidth="1"/>
    <col min="5396" max="5396" width="26.75" style="57" customWidth="1"/>
    <col min="5397" max="5399" width="9.25" style="57" customWidth="1"/>
    <col min="5400" max="5400" width="13.6640625" style="57" customWidth="1"/>
    <col min="5401" max="5632" width="9" style="57"/>
    <col min="5633" max="5633" width="2.5" style="57" customWidth="1"/>
    <col min="5634" max="5634" width="6" style="57" customWidth="1"/>
    <col min="5635" max="5635" width="5.6640625" style="57" customWidth="1"/>
    <col min="5636" max="5636" width="4.83203125" style="57" customWidth="1"/>
    <col min="5637" max="5637" width="6.1640625" style="57" customWidth="1"/>
    <col min="5638" max="5642" width="4.5" style="57" customWidth="1"/>
    <col min="5643" max="5643" width="3.5" style="57" customWidth="1"/>
    <col min="5644" max="5649" width="4.5" style="57" customWidth="1"/>
    <col min="5650" max="5650" width="3.1640625" style="57" customWidth="1"/>
    <col min="5651" max="5651" width="9.25" style="57" customWidth="1"/>
    <col min="5652" max="5652" width="26.75" style="57" customWidth="1"/>
    <col min="5653" max="5655" width="9.25" style="57" customWidth="1"/>
    <col min="5656" max="5656" width="13.6640625" style="57" customWidth="1"/>
    <col min="5657" max="5888" width="9" style="57"/>
    <col min="5889" max="5889" width="2.5" style="57" customWidth="1"/>
    <col min="5890" max="5890" width="6" style="57" customWidth="1"/>
    <col min="5891" max="5891" width="5.6640625" style="57" customWidth="1"/>
    <col min="5892" max="5892" width="4.83203125" style="57" customWidth="1"/>
    <col min="5893" max="5893" width="6.1640625" style="57" customWidth="1"/>
    <col min="5894" max="5898" width="4.5" style="57" customWidth="1"/>
    <col min="5899" max="5899" width="3.5" style="57" customWidth="1"/>
    <col min="5900" max="5905" width="4.5" style="57" customWidth="1"/>
    <col min="5906" max="5906" width="3.1640625" style="57" customWidth="1"/>
    <col min="5907" max="5907" width="9.25" style="57" customWidth="1"/>
    <col min="5908" max="5908" width="26.75" style="57" customWidth="1"/>
    <col min="5909" max="5911" width="9.25" style="57" customWidth="1"/>
    <col min="5912" max="5912" width="13.6640625" style="57" customWidth="1"/>
    <col min="5913" max="6144" width="9" style="57"/>
    <col min="6145" max="6145" width="2.5" style="57" customWidth="1"/>
    <col min="6146" max="6146" width="6" style="57" customWidth="1"/>
    <col min="6147" max="6147" width="5.6640625" style="57" customWidth="1"/>
    <col min="6148" max="6148" width="4.83203125" style="57" customWidth="1"/>
    <col min="6149" max="6149" width="6.1640625" style="57" customWidth="1"/>
    <col min="6150" max="6154" width="4.5" style="57" customWidth="1"/>
    <col min="6155" max="6155" width="3.5" style="57" customWidth="1"/>
    <col min="6156" max="6161" width="4.5" style="57" customWidth="1"/>
    <col min="6162" max="6162" width="3.1640625" style="57" customWidth="1"/>
    <col min="6163" max="6163" width="9.25" style="57" customWidth="1"/>
    <col min="6164" max="6164" width="26.75" style="57" customWidth="1"/>
    <col min="6165" max="6167" width="9.25" style="57" customWidth="1"/>
    <col min="6168" max="6168" width="13.6640625" style="57" customWidth="1"/>
    <col min="6169" max="6400" width="9" style="57"/>
    <col min="6401" max="6401" width="2.5" style="57" customWidth="1"/>
    <col min="6402" max="6402" width="6" style="57" customWidth="1"/>
    <col min="6403" max="6403" width="5.6640625" style="57" customWidth="1"/>
    <col min="6404" max="6404" width="4.83203125" style="57" customWidth="1"/>
    <col min="6405" max="6405" width="6.1640625" style="57" customWidth="1"/>
    <col min="6406" max="6410" width="4.5" style="57" customWidth="1"/>
    <col min="6411" max="6411" width="3.5" style="57" customWidth="1"/>
    <col min="6412" max="6417" width="4.5" style="57" customWidth="1"/>
    <col min="6418" max="6418" width="3.1640625" style="57" customWidth="1"/>
    <col min="6419" max="6419" width="9.25" style="57" customWidth="1"/>
    <col min="6420" max="6420" width="26.75" style="57" customWidth="1"/>
    <col min="6421" max="6423" width="9.25" style="57" customWidth="1"/>
    <col min="6424" max="6424" width="13.6640625" style="57" customWidth="1"/>
    <col min="6425" max="6656" width="9" style="57"/>
    <col min="6657" max="6657" width="2.5" style="57" customWidth="1"/>
    <col min="6658" max="6658" width="6" style="57" customWidth="1"/>
    <col min="6659" max="6659" width="5.6640625" style="57" customWidth="1"/>
    <col min="6660" max="6660" width="4.83203125" style="57" customWidth="1"/>
    <col min="6661" max="6661" width="6.1640625" style="57" customWidth="1"/>
    <col min="6662" max="6666" width="4.5" style="57" customWidth="1"/>
    <col min="6667" max="6667" width="3.5" style="57" customWidth="1"/>
    <col min="6668" max="6673" width="4.5" style="57" customWidth="1"/>
    <col min="6674" max="6674" width="3.1640625" style="57" customWidth="1"/>
    <col min="6675" max="6675" width="9.25" style="57" customWidth="1"/>
    <col min="6676" max="6676" width="26.75" style="57" customWidth="1"/>
    <col min="6677" max="6679" width="9.25" style="57" customWidth="1"/>
    <col min="6680" max="6680" width="13.6640625" style="57" customWidth="1"/>
    <col min="6681" max="6912" width="9" style="57"/>
    <col min="6913" max="6913" width="2.5" style="57" customWidth="1"/>
    <col min="6914" max="6914" width="6" style="57" customWidth="1"/>
    <col min="6915" max="6915" width="5.6640625" style="57" customWidth="1"/>
    <col min="6916" max="6916" width="4.83203125" style="57" customWidth="1"/>
    <col min="6917" max="6917" width="6.1640625" style="57" customWidth="1"/>
    <col min="6918" max="6922" width="4.5" style="57" customWidth="1"/>
    <col min="6923" max="6923" width="3.5" style="57" customWidth="1"/>
    <col min="6924" max="6929" width="4.5" style="57" customWidth="1"/>
    <col min="6930" max="6930" width="3.1640625" style="57" customWidth="1"/>
    <col min="6931" max="6931" width="9.25" style="57" customWidth="1"/>
    <col min="6932" max="6932" width="26.75" style="57" customWidth="1"/>
    <col min="6933" max="6935" width="9.25" style="57" customWidth="1"/>
    <col min="6936" max="6936" width="13.6640625" style="57" customWidth="1"/>
    <col min="6937" max="7168" width="9" style="57"/>
    <col min="7169" max="7169" width="2.5" style="57" customWidth="1"/>
    <col min="7170" max="7170" width="6" style="57" customWidth="1"/>
    <col min="7171" max="7171" width="5.6640625" style="57" customWidth="1"/>
    <col min="7172" max="7172" width="4.83203125" style="57" customWidth="1"/>
    <col min="7173" max="7173" width="6.1640625" style="57" customWidth="1"/>
    <col min="7174" max="7178" width="4.5" style="57" customWidth="1"/>
    <col min="7179" max="7179" width="3.5" style="57" customWidth="1"/>
    <col min="7180" max="7185" width="4.5" style="57" customWidth="1"/>
    <col min="7186" max="7186" width="3.1640625" style="57" customWidth="1"/>
    <col min="7187" max="7187" width="9.25" style="57" customWidth="1"/>
    <col min="7188" max="7188" width="26.75" style="57" customWidth="1"/>
    <col min="7189" max="7191" width="9.25" style="57" customWidth="1"/>
    <col min="7192" max="7192" width="13.6640625" style="57" customWidth="1"/>
    <col min="7193" max="7424" width="9" style="57"/>
    <col min="7425" max="7425" width="2.5" style="57" customWidth="1"/>
    <col min="7426" max="7426" width="6" style="57" customWidth="1"/>
    <col min="7427" max="7427" width="5.6640625" style="57" customWidth="1"/>
    <col min="7428" max="7428" width="4.83203125" style="57" customWidth="1"/>
    <col min="7429" max="7429" width="6.1640625" style="57" customWidth="1"/>
    <col min="7430" max="7434" width="4.5" style="57" customWidth="1"/>
    <col min="7435" max="7435" width="3.5" style="57" customWidth="1"/>
    <col min="7436" max="7441" width="4.5" style="57" customWidth="1"/>
    <col min="7442" max="7442" width="3.1640625" style="57" customWidth="1"/>
    <col min="7443" max="7443" width="9.25" style="57" customWidth="1"/>
    <col min="7444" max="7444" width="26.75" style="57" customWidth="1"/>
    <col min="7445" max="7447" width="9.25" style="57" customWidth="1"/>
    <col min="7448" max="7448" width="13.6640625" style="57" customWidth="1"/>
    <col min="7449" max="7680" width="9" style="57"/>
    <col min="7681" max="7681" width="2.5" style="57" customWidth="1"/>
    <col min="7682" max="7682" width="6" style="57" customWidth="1"/>
    <col min="7683" max="7683" width="5.6640625" style="57" customWidth="1"/>
    <col min="7684" max="7684" width="4.83203125" style="57" customWidth="1"/>
    <col min="7685" max="7685" width="6.1640625" style="57" customWidth="1"/>
    <col min="7686" max="7690" width="4.5" style="57" customWidth="1"/>
    <col min="7691" max="7691" width="3.5" style="57" customWidth="1"/>
    <col min="7692" max="7697" width="4.5" style="57" customWidth="1"/>
    <col min="7698" max="7698" width="3.1640625" style="57" customWidth="1"/>
    <col min="7699" max="7699" width="9.25" style="57" customWidth="1"/>
    <col min="7700" max="7700" width="26.75" style="57" customWidth="1"/>
    <col min="7701" max="7703" width="9.25" style="57" customWidth="1"/>
    <col min="7704" max="7704" width="13.6640625" style="57" customWidth="1"/>
    <col min="7705" max="7936" width="9" style="57"/>
    <col min="7937" max="7937" width="2.5" style="57" customWidth="1"/>
    <col min="7938" max="7938" width="6" style="57" customWidth="1"/>
    <col min="7939" max="7939" width="5.6640625" style="57" customWidth="1"/>
    <col min="7940" max="7940" width="4.83203125" style="57" customWidth="1"/>
    <col min="7941" max="7941" width="6.1640625" style="57" customWidth="1"/>
    <col min="7942" max="7946" width="4.5" style="57" customWidth="1"/>
    <col min="7947" max="7947" width="3.5" style="57" customWidth="1"/>
    <col min="7948" max="7953" width="4.5" style="57" customWidth="1"/>
    <col min="7954" max="7954" width="3.1640625" style="57" customWidth="1"/>
    <col min="7955" max="7955" width="9.25" style="57" customWidth="1"/>
    <col min="7956" max="7956" width="26.75" style="57" customWidth="1"/>
    <col min="7957" max="7959" width="9.25" style="57" customWidth="1"/>
    <col min="7960" max="7960" width="13.6640625" style="57" customWidth="1"/>
    <col min="7961" max="8192" width="9" style="57"/>
    <col min="8193" max="8193" width="2.5" style="57" customWidth="1"/>
    <col min="8194" max="8194" width="6" style="57" customWidth="1"/>
    <col min="8195" max="8195" width="5.6640625" style="57" customWidth="1"/>
    <col min="8196" max="8196" width="4.83203125" style="57" customWidth="1"/>
    <col min="8197" max="8197" width="6.1640625" style="57" customWidth="1"/>
    <col min="8198" max="8202" width="4.5" style="57" customWidth="1"/>
    <col min="8203" max="8203" width="3.5" style="57" customWidth="1"/>
    <col min="8204" max="8209" width="4.5" style="57" customWidth="1"/>
    <col min="8210" max="8210" width="3.1640625" style="57" customWidth="1"/>
    <col min="8211" max="8211" width="9.25" style="57" customWidth="1"/>
    <col min="8212" max="8212" width="26.75" style="57" customWidth="1"/>
    <col min="8213" max="8215" width="9.25" style="57" customWidth="1"/>
    <col min="8216" max="8216" width="13.6640625" style="57" customWidth="1"/>
    <col min="8217" max="8448" width="9" style="57"/>
    <col min="8449" max="8449" width="2.5" style="57" customWidth="1"/>
    <col min="8450" max="8450" width="6" style="57" customWidth="1"/>
    <col min="8451" max="8451" width="5.6640625" style="57" customWidth="1"/>
    <col min="8452" max="8452" width="4.83203125" style="57" customWidth="1"/>
    <col min="8453" max="8453" width="6.1640625" style="57" customWidth="1"/>
    <col min="8454" max="8458" width="4.5" style="57" customWidth="1"/>
    <col min="8459" max="8459" width="3.5" style="57" customWidth="1"/>
    <col min="8460" max="8465" width="4.5" style="57" customWidth="1"/>
    <col min="8466" max="8466" width="3.1640625" style="57" customWidth="1"/>
    <col min="8467" max="8467" width="9.25" style="57" customWidth="1"/>
    <col min="8468" max="8468" width="26.75" style="57" customWidth="1"/>
    <col min="8469" max="8471" width="9.25" style="57" customWidth="1"/>
    <col min="8472" max="8472" width="13.6640625" style="57" customWidth="1"/>
    <col min="8473" max="8704" width="9" style="57"/>
    <col min="8705" max="8705" width="2.5" style="57" customWidth="1"/>
    <col min="8706" max="8706" width="6" style="57" customWidth="1"/>
    <col min="8707" max="8707" width="5.6640625" style="57" customWidth="1"/>
    <col min="8708" max="8708" width="4.83203125" style="57" customWidth="1"/>
    <col min="8709" max="8709" width="6.1640625" style="57" customWidth="1"/>
    <col min="8710" max="8714" width="4.5" style="57" customWidth="1"/>
    <col min="8715" max="8715" width="3.5" style="57" customWidth="1"/>
    <col min="8716" max="8721" width="4.5" style="57" customWidth="1"/>
    <col min="8722" max="8722" width="3.1640625" style="57" customWidth="1"/>
    <col min="8723" max="8723" width="9.25" style="57" customWidth="1"/>
    <col min="8724" max="8724" width="26.75" style="57" customWidth="1"/>
    <col min="8725" max="8727" width="9.25" style="57" customWidth="1"/>
    <col min="8728" max="8728" width="13.6640625" style="57" customWidth="1"/>
    <col min="8729" max="8960" width="9" style="57"/>
    <col min="8961" max="8961" width="2.5" style="57" customWidth="1"/>
    <col min="8962" max="8962" width="6" style="57" customWidth="1"/>
    <col min="8963" max="8963" width="5.6640625" style="57" customWidth="1"/>
    <col min="8964" max="8964" width="4.83203125" style="57" customWidth="1"/>
    <col min="8965" max="8965" width="6.1640625" style="57" customWidth="1"/>
    <col min="8966" max="8970" width="4.5" style="57" customWidth="1"/>
    <col min="8971" max="8971" width="3.5" style="57" customWidth="1"/>
    <col min="8972" max="8977" width="4.5" style="57" customWidth="1"/>
    <col min="8978" max="8978" width="3.1640625" style="57" customWidth="1"/>
    <col min="8979" max="8979" width="9.25" style="57" customWidth="1"/>
    <col min="8980" max="8980" width="26.75" style="57" customWidth="1"/>
    <col min="8981" max="8983" width="9.25" style="57" customWidth="1"/>
    <col min="8984" max="8984" width="13.6640625" style="57" customWidth="1"/>
    <col min="8985" max="9216" width="9" style="57"/>
    <col min="9217" max="9217" width="2.5" style="57" customWidth="1"/>
    <col min="9218" max="9218" width="6" style="57" customWidth="1"/>
    <col min="9219" max="9219" width="5.6640625" style="57" customWidth="1"/>
    <col min="9220" max="9220" width="4.83203125" style="57" customWidth="1"/>
    <col min="9221" max="9221" width="6.1640625" style="57" customWidth="1"/>
    <col min="9222" max="9226" width="4.5" style="57" customWidth="1"/>
    <col min="9227" max="9227" width="3.5" style="57" customWidth="1"/>
    <col min="9228" max="9233" width="4.5" style="57" customWidth="1"/>
    <col min="9234" max="9234" width="3.1640625" style="57" customWidth="1"/>
    <col min="9235" max="9235" width="9.25" style="57" customWidth="1"/>
    <col min="9236" max="9236" width="26.75" style="57" customWidth="1"/>
    <col min="9237" max="9239" width="9.25" style="57" customWidth="1"/>
    <col min="9240" max="9240" width="13.6640625" style="57" customWidth="1"/>
    <col min="9241" max="9472" width="9" style="57"/>
    <col min="9473" max="9473" width="2.5" style="57" customWidth="1"/>
    <col min="9474" max="9474" width="6" style="57" customWidth="1"/>
    <col min="9475" max="9475" width="5.6640625" style="57" customWidth="1"/>
    <col min="9476" max="9476" width="4.83203125" style="57" customWidth="1"/>
    <col min="9477" max="9477" width="6.1640625" style="57" customWidth="1"/>
    <col min="9478" max="9482" width="4.5" style="57" customWidth="1"/>
    <col min="9483" max="9483" width="3.5" style="57" customWidth="1"/>
    <col min="9484" max="9489" width="4.5" style="57" customWidth="1"/>
    <col min="9490" max="9490" width="3.1640625" style="57" customWidth="1"/>
    <col min="9491" max="9491" width="9.25" style="57" customWidth="1"/>
    <col min="9492" max="9492" width="26.75" style="57" customWidth="1"/>
    <col min="9493" max="9495" width="9.25" style="57" customWidth="1"/>
    <col min="9496" max="9496" width="13.6640625" style="57" customWidth="1"/>
    <col min="9497" max="9728" width="9" style="57"/>
    <col min="9729" max="9729" width="2.5" style="57" customWidth="1"/>
    <col min="9730" max="9730" width="6" style="57" customWidth="1"/>
    <col min="9731" max="9731" width="5.6640625" style="57" customWidth="1"/>
    <col min="9732" max="9732" width="4.83203125" style="57" customWidth="1"/>
    <col min="9733" max="9733" width="6.1640625" style="57" customWidth="1"/>
    <col min="9734" max="9738" width="4.5" style="57" customWidth="1"/>
    <col min="9739" max="9739" width="3.5" style="57" customWidth="1"/>
    <col min="9740" max="9745" width="4.5" style="57" customWidth="1"/>
    <col min="9746" max="9746" width="3.1640625" style="57" customWidth="1"/>
    <col min="9747" max="9747" width="9.25" style="57" customWidth="1"/>
    <col min="9748" max="9748" width="26.75" style="57" customWidth="1"/>
    <col min="9749" max="9751" width="9.25" style="57" customWidth="1"/>
    <col min="9752" max="9752" width="13.6640625" style="57" customWidth="1"/>
    <col min="9753" max="9984" width="9" style="57"/>
    <col min="9985" max="9985" width="2.5" style="57" customWidth="1"/>
    <col min="9986" max="9986" width="6" style="57" customWidth="1"/>
    <col min="9987" max="9987" width="5.6640625" style="57" customWidth="1"/>
    <col min="9988" max="9988" width="4.83203125" style="57" customWidth="1"/>
    <col min="9989" max="9989" width="6.1640625" style="57" customWidth="1"/>
    <col min="9990" max="9994" width="4.5" style="57" customWidth="1"/>
    <col min="9995" max="9995" width="3.5" style="57" customWidth="1"/>
    <col min="9996" max="10001" width="4.5" style="57" customWidth="1"/>
    <col min="10002" max="10002" width="3.1640625" style="57" customWidth="1"/>
    <col min="10003" max="10003" width="9.25" style="57" customWidth="1"/>
    <col min="10004" max="10004" width="26.75" style="57" customWidth="1"/>
    <col min="10005" max="10007" width="9.25" style="57" customWidth="1"/>
    <col min="10008" max="10008" width="13.6640625" style="57" customWidth="1"/>
    <col min="10009" max="10240" width="9" style="57"/>
    <col min="10241" max="10241" width="2.5" style="57" customWidth="1"/>
    <col min="10242" max="10242" width="6" style="57" customWidth="1"/>
    <col min="10243" max="10243" width="5.6640625" style="57" customWidth="1"/>
    <col min="10244" max="10244" width="4.83203125" style="57" customWidth="1"/>
    <col min="10245" max="10245" width="6.1640625" style="57" customWidth="1"/>
    <col min="10246" max="10250" width="4.5" style="57" customWidth="1"/>
    <col min="10251" max="10251" width="3.5" style="57" customWidth="1"/>
    <col min="10252" max="10257" width="4.5" style="57" customWidth="1"/>
    <col min="10258" max="10258" width="3.1640625" style="57" customWidth="1"/>
    <col min="10259" max="10259" width="9.25" style="57" customWidth="1"/>
    <col min="10260" max="10260" width="26.75" style="57" customWidth="1"/>
    <col min="10261" max="10263" width="9.25" style="57" customWidth="1"/>
    <col min="10264" max="10264" width="13.6640625" style="57" customWidth="1"/>
    <col min="10265" max="10496" width="9" style="57"/>
    <col min="10497" max="10497" width="2.5" style="57" customWidth="1"/>
    <col min="10498" max="10498" width="6" style="57" customWidth="1"/>
    <col min="10499" max="10499" width="5.6640625" style="57" customWidth="1"/>
    <col min="10500" max="10500" width="4.83203125" style="57" customWidth="1"/>
    <col min="10501" max="10501" width="6.1640625" style="57" customWidth="1"/>
    <col min="10502" max="10506" width="4.5" style="57" customWidth="1"/>
    <col min="10507" max="10507" width="3.5" style="57" customWidth="1"/>
    <col min="10508" max="10513" width="4.5" style="57" customWidth="1"/>
    <col min="10514" max="10514" width="3.1640625" style="57" customWidth="1"/>
    <col min="10515" max="10515" width="9.25" style="57" customWidth="1"/>
    <col min="10516" max="10516" width="26.75" style="57" customWidth="1"/>
    <col min="10517" max="10519" width="9.25" style="57" customWidth="1"/>
    <col min="10520" max="10520" width="13.6640625" style="57" customWidth="1"/>
    <col min="10521" max="10752" width="9" style="57"/>
    <col min="10753" max="10753" width="2.5" style="57" customWidth="1"/>
    <col min="10754" max="10754" width="6" style="57" customWidth="1"/>
    <col min="10755" max="10755" width="5.6640625" style="57" customWidth="1"/>
    <col min="10756" max="10756" width="4.83203125" style="57" customWidth="1"/>
    <col min="10757" max="10757" width="6.1640625" style="57" customWidth="1"/>
    <col min="10758" max="10762" width="4.5" style="57" customWidth="1"/>
    <col min="10763" max="10763" width="3.5" style="57" customWidth="1"/>
    <col min="10764" max="10769" width="4.5" style="57" customWidth="1"/>
    <col min="10770" max="10770" width="3.1640625" style="57" customWidth="1"/>
    <col min="10771" max="10771" width="9.25" style="57" customWidth="1"/>
    <col min="10772" max="10772" width="26.75" style="57" customWidth="1"/>
    <col min="10773" max="10775" width="9.25" style="57" customWidth="1"/>
    <col min="10776" max="10776" width="13.6640625" style="57" customWidth="1"/>
    <col min="10777" max="11008" width="9" style="57"/>
    <col min="11009" max="11009" width="2.5" style="57" customWidth="1"/>
    <col min="11010" max="11010" width="6" style="57" customWidth="1"/>
    <col min="11011" max="11011" width="5.6640625" style="57" customWidth="1"/>
    <col min="11012" max="11012" width="4.83203125" style="57" customWidth="1"/>
    <col min="11013" max="11013" width="6.1640625" style="57" customWidth="1"/>
    <col min="11014" max="11018" width="4.5" style="57" customWidth="1"/>
    <col min="11019" max="11019" width="3.5" style="57" customWidth="1"/>
    <col min="11020" max="11025" width="4.5" style="57" customWidth="1"/>
    <col min="11026" max="11026" width="3.1640625" style="57" customWidth="1"/>
    <col min="11027" max="11027" width="9.25" style="57" customWidth="1"/>
    <col min="11028" max="11028" width="26.75" style="57" customWidth="1"/>
    <col min="11029" max="11031" width="9.25" style="57" customWidth="1"/>
    <col min="11032" max="11032" width="13.6640625" style="57" customWidth="1"/>
    <col min="11033" max="11264" width="9" style="57"/>
    <col min="11265" max="11265" width="2.5" style="57" customWidth="1"/>
    <col min="11266" max="11266" width="6" style="57" customWidth="1"/>
    <col min="11267" max="11267" width="5.6640625" style="57" customWidth="1"/>
    <col min="11268" max="11268" width="4.83203125" style="57" customWidth="1"/>
    <col min="11269" max="11269" width="6.1640625" style="57" customWidth="1"/>
    <col min="11270" max="11274" width="4.5" style="57" customWidth="1"/>
    <col min="11275" max="11275" width="3.5" style="57" customWidth="1"/>
    <col min="11276" max="11281" width="4.5" style="57" customWidth="1"/>
    <col min="11282" max="11282" width="3.1640625" style="57" customWidth="1"/>
    <col min="11283" max="11283" width="9.25" style="57" customWidth="1"/>
    <col min="11284" max="11284" width="26.75" style="57" customWidth="1"/>
    <col min="11285" max="11287" width="9.25" style="57" customWidth="1"/>
    <col min="11288" max="11288" width="13.6640625" style="57" customWidth="1"/>
    <col min="11289" max="11520" width="9" style="57"/>
    <col min="11521" max="11521" width="2.5" style="57" customWidth="1"/>
    <col min="11522" max="11522" width="6" style="57" customWidth="1"/>
    <col min="11523" max="11523" width="5.6640625" style="57" customWidth="1"/>
    <col min="11524" max="11524" width="4.83203125" style="57" customWidth="1"/>
    <col min="11525" max="11525" width="6.1640625" style="57" customWidth="1"/>
    <col min="11526" max="11530" width="4.5" style="57" customWidth="1"/>
    <col min="11531" max="11531" width="3.5" style="57" customWidth="1"/>
    <col min="11532" max="11537" width="4.5" style="57" customWidth="1"/>
    <col min="11538" max="11538" width="3.1640625" style="57" customWidth="1"/>
    <col min="11539" max="11539" width="9.25" style="57" customWidth="1"/>
    <col min="11540" max="11540" width="26.75" style="57" customWidth="1"/>
    <col min="11541" max="11543" width="9.25" style="57" customWidth="1"/>
    <col min="11544" max="11544" width="13.6640625" style="57" customWidth="1"/>
    <col min="11545" max="11776" width="9" style="57"/>
    <col min="11777" max="11777" width="2.5" style="57" customWidth="1"/>
    <col min="11778" max="11778" width="6" style="57" customWidth="1"/>
    <col min="11779" max="11779" width="5.6640625" style="57" customWidth="1"/>
    <col min="11780" max="11780" width="4.83203125" style="57" customWidth="1"/>
    <col min="11781" max="11781" width="6.1640625" style="57" customWidth="1"/>
    <col min="11782" max="11786" width="4.5" style="57" customWidth="1"/>
    <col min="11787" max="11787" width="3.5" style="57" customWidth="1"/>
    <col min="11788" max="11793" width="4.5" style="57" customWidth="1"/>
    <col min="11794" max="11794" width="3.1640625" style="57" customWidth="1"/>
    <col min="11795" max="11795" width="9.25" style="57" customWidth="1"/>
    <col min="11796" max="11796" width="26.75" style="57" customWidth="1"/>
    <col min="11797" max="11799" width="9.25" style="57" customWidth="1"/>
    <col min="11800" max="11800" width="13.6640625" style="57" customWidth="1"/>
    <col min="11801" max="12032" width="9" style="57"/>
    <col min="12033" max="12033" width="2.5" style="57" customWidth="1"/>
    <col min="12034" max="12034" width="6" style="57" customWidth="1"/>
    <col min="12035" max="12035" width="5.6640625" style="57" customWidth="1"/>
    <col min="12036" max="12036" width="4.83203125" style="57" customWidth="1"/>
    <col min="12037" max="12037" width="6.1640625" style="57" customWidth="1"/>
    <col min="12038" max="12042" width="4.5" style="57" customWidth="1"/>
    <col min="12043" max="12043" width="3.5" style="57" customWidth="1"/>
    <col min="12044" max="12049" width="4.5" style="57" customWidth="1"/>
    <col min="12050" max="12050" width="3.1640625" style="57" customWidth="1"/>
    <col min="12051" max="12051" width="9.25" style="57" customWidth="1"/>
    <col min="12052" max="12052" width="26.75" style="57" customWidth="1"/>
    <col min="12053" max="12055" width="9.25" style="57" customWidth="1"/>
    <col min="12056" max="12056" width="13.6640625" style="57" customWidth="1"/>
    <col min="12057" max="12288" width="9" style="57"/>
    <col min="12289" max="12289" width="2.5" style="57" customWidth="1"/>
    <col min="12290" max="12290" width="6" style="57" customWidth="1"/>
    <col min="12291" max="12291" width="5.6640625" style="57" customWidth="1"/>
    <col min="12292" max="12292" width="4.83203125" style="57" customWidth="1"/>
    <col min="12293" max="12293" width="6.1640625" style="57" customWidth="1"/>
    <col min="12294" max="12298" width="4.5" style="57" customWidth="1"/>
    <col min="12299" max="12299" width="3.5" style="57" customWidth="1"/>
    <col min="12300" max="12305" width="4.5" style="57" customWidth="1"/>
    <col min="12306" max="12306" width="3.1640625" style="57" customWidth="1"/>
    <col min="12307" max="12307" width="9.25" style="57" customWidth="1"/>
    <col min="12308" max="12308" width="26.75" style="57" customWidth="1"/>
    <col min="12309" max="12311" width="9.25" style="57" customWidth="1"/>
    <col min="12312" max="12312" width="13.6640625" style="57" customWidth="1"/>
    <col min="12313" max="12544" width="9" style="57"/>
    <col min="12545" max="12545" width="2.5" style="57" customWidth="1"/>
    <col min="12546" max="12546" width="6" style="57" customWidth="1"/>
    <col min="12547" max="12547" width="5.6640625" style="57" customWidth="1"/>
    <col min="12548" max="12548" width="4.83203125" style="57" customWidth="1"/>
    <col min="12549" max="12549" width="6.1640625" style="57" customWidth="1"/>
    <col min="12550" max="12554" width="4.5" style="57" customWidth="1"/>
    <col min="12555" max="12555" width="3.5" style="57" customWidth="1"/>
    <col min="12556" max="12561" width="4.5" style="57" customWidth="1"/>
    <col min="12562" max="12562" width="3.1640625" style="57" customWidth="1"/>
    <col min="12563" max="12563" width="9.25" style="57" customWidth="1"/>
    <col min="12564" max="12564" width="26.75" style="57" customWidth="1"/>
    <col min="12565" max="12567" width="9.25" style="57" customWidth="1"/>
    <col min="12568" max="12568" width="13.6640625" style="57" customWidth="1"/>
    <col min="12569" max="12800" width="9" style="57"/>
    <col min="12801" max="12801" width="2.5" style="57" customWidth="1"/>
    <col min="12802" max="12802" width="6" style="57" customWidth="1"/>
    <col min="12803" max="12803" width="5.6640625" style="57" customWidth="1"/>
    <col min="12804" max="12804" width="4.83203125" style="57" customWidth="1"/>
    <col min="12805" max="12805" width="6.1640625" style="57" customWidth="1"/>
    <col min="12806" max="12810" width="4.5" style="57" customWidth="1"/>
    <col min="12811" max="12811" width="3.5" style="57" customWidth="1"/>
    <col min="12812" max="12817" width="4.5" style="57" customWidth="1"/>
    <col min="12818" max="12818" width="3.1640625" style="57" customWidth="1"/>
    <col min="12819" max="12819" width="9.25" style="57" customWidth="1"/>
    <col min="12820" max="12820" width="26.75" style="57" customWidth="1"/>
    <col min="12821" max="12823" width="9.25" style="57" customWidth="1"/>
    <col min="12824" max="12824" width="13.6640625" style="57" customWidth="1"/>
    <col min="12825" max="13056" width="9" style="57"/>
    <col min="13057" max="13057" width="2.5" style="57" customWidth="1"/>
    <col min="13058" max="13058" width="6" style="57" customWidth="1"/>
    <col min="13059" max="13059" width="5.6640625" style="57" customWidth="1"/>
    <col min="13060" max="13060" width="4.83203125" style="57" customWidth="1"/>
    <col min="13061" max="13061" width="6.1640625" style="57" customWidth="1"/>
    <col min="13062" max="13066" width="4.5" style="57" customWidth="1"/>
    <col min="13067" max="13067" width="3.5" style="57" customWidth="1"/>
    <col min="13068" max="13073" width="4.5" style="57" customWidth="1"/>
    <col min="13074" max="13074" width="3.1640625" style="57" customWidth="1"/>
    <col min="13075" max="13075" width="9.25" style="57" customWidth="1"/>
    <col min="13076" max="13076" width="26.75" style="57" customWidth="1"/>
    <col min="13077" max="13079" width="9.25" style="57" customWidth="1"/>
    <col min="13080" max="13080" width="13.6640625" style="57" customWidth="1"/>
    <col min="13081" max="13312" width="9" style="57"/>
    <col min="13313" max="13313" width="2.5" style="57" customWidth="1"/>
    <col min="13314" max="13314" width="6" style="57" customWidth="1"/>
    <col min="13315" max="13315" width="5.6640625" style="57" customWidth="1"/>
    <col min="13316" max="13316" width="4.83203125" style="57" customWidth="1"/>
    <col min="13317" max="13317" width="6.1640625" style="57" customWidth="1"/>
    <col min="13318" max="13322" width="4.5" style="57" customWidth="1"/>
    <col min="13323" max="13323" width="3.5" style="57" customWidth="1"/>
    <col min="13324" max="13329" width="4.5" style="57" customWidth="1"/>
    <col min="13330" max="13330" width="3.1640625" style="57" customWidth="1"/>
    <col min="13331" max="13331" width="9.25" style="57" customWidth="1"/>
    <col min="13332" max="13332" width="26.75" style="57" customWidth="1"/>
    <col min="13333" max="13335" width="9.25" style="57" customWidth="1"/>
    <col min="13336" max="13336" width="13.6640625" style="57" customWidth="1"/>
    <col min="13337" max="13568" width="9" style="57"/>
    <col min="13569" max="13569" width="2.5" style="57" customWidth="1"/>
    <col min="13570" max="13570" width="6" style="57" customWidth="1"/>
    <col min="13571" max="13571" width="5.6640625" style="57" customWidth="1"/>
    <col min="13572" max="13572" width="4.83203125" style="57" customWidth="1"/>
    <col min="13573" max="13573" width="6.1640625" style="57" customWidth="1"/>
    <col min="13574" max="13578" width="4.5" style="57" customWidth="1"/>
    <col min="13579" max="13579" width="3.5" style="57" customWidth="1"/>
    <col min="13580" max="13585" width="4.5" style="57" customWidth="1"/>
    <col min="13586" max="13586" width="3.1640625" style="57" customWidth="1"/>
    <col min="13587" max="13587" width="9.25" style="57" customWidth="1"/>
    <col min="13588" max="13588" width="26.75" style="57" customWidth="1"/>
    <col min="13589" max="13591" width="9.25" style="57" customWidth="1"/>
    <col min="13592" max="13592" width="13.6640625" style="57" customWidth="1"/>
    <col min="13593" max="13824" width="9" style="57"/>
    <col min="13825" max="13825" width="2.5" style="57" customWidth="1"/>
    <col min="13826" max="13826" width="6" style="57" customWidth="1"/>
    <col min="13827" max="13827" width="5.6640625" style="57" customWidth="1"/>
    <col min="13828" max="13828" width="4.83203125" style="57" customWidth="1"/>
    <col min="13829" max="13829" width="6.1640625" style="57" customWidth="1"/>
    <col min="13830" max="13834" width="4.5" style="57" customWidth="1"/>
    <col min="13835" max="13835" width="3.5" style="57" customWidth="1"/>
    <col min="13836" max="13841" width="4.5" style="57" customWidth="1"/>
    <col min="13842" max="13842" width="3.1640625" style="57" customWidth="1"/>
    <col min="13843" max="13843" width="9.25" style="57" customWidth="1"/>
    <col min="13844" max="13844" width="26.75" style="57" customWidth="1"/>
    <col min="13845" max="13847" width="9.25" style="57" customWidth="1"/>
    <col min="13848" max="13848" width="13.6640625" style="57" customWidth="1"/>
    <col min="13849" max="14080" width="9" style="57"/>
    <col min="14081" max="14081" width="2.5" style="57" customWidth="1"/>
    <col min="14082" max="14082" width="6" style="57" customWidth="1"/>
    <col min="14083" max="14083" width="5.6640625" style="57" customWidth="1"/>
    <col min="14084" max="14084" width="4.83203125" style="57" customWidth="1"/>
    <col min="14085" max="14085" width="6.1640625" style="57" customWidth="1"/>
    <col min="14086" max="14090" width="4.5" style="57" customWidth="1"/>
    <col min="14091" max="14091" width="3.5" style="57" customWidth="1"/>
    <col min="14092" max="14097" width="4.5" style="57" customWidth="1"/>
    <col min="14098" max="14098" width="3.1640625" style="57" customWidth="1"/>
    <col min="14099" max="14099" width="9.25" style="57" customWidth="1"/>
    <col min="14100" max="14100" width="26.75" style="57" customWidth="1"/>
    <col min="14101" max="14103" width="9.25" style="57" customWidth="1"/>
    <col min="14104" max="14104" width="13.6640625" style="57" customWidth="1"/>
    <col min="14105" max="14336" width="9" style="57"/>
    <col min="14337" max="14337" width="2.5" style="57" customWidth="1"/>
    <col min="14338" max="14338" width="6" style="57" customWidth="1"/>
    <col min="14339" max="14339" width="5.6640625" style="57" customWidth="1"/>
    <col min="14340" max="14340" width="4.83203125" style="57" customWidth="1"/>
    <col min="14341" max="14341" width="6.1640625" style="57" customWidth="1"/>
    <col min="14342" max="14346" width="4.5" style="57" customWidth="1"/>
    <col min="14347" max="14347" width="3.5" style="57" customWidth="1"/>
    <col min="14348" max="14353" width="4.5" style="57" customWidth="1"/>
    <col min="14354" max="14354" width="3.1640625" style="57" customWidth="1"/>
    <col min="14355" max="14355" width="9.25" style="57" customWidth="1"/>
    <col min="14356" max="14356" width="26.75" style="57" customWidth="1"/>
    <col min="14357" max="14359" width="9.25" style="57" customWidth="1"/>
    <col min="14360" max="14360" width="13.6640625" style="57" customWidth="1"/>
    <col min="14361" max="14592" width="9" style="57"/>
    <col min="14593" max="14593" width="2.5" style="57" customWidth="1"/>
    <col min="14594" max="14594" width="6" style="57" customWidth="1"/>
    <col min="14595" max="14595" width="5.6640625" style="57" customWidth="1"/>
    <col min="14596" max="14596" width="4.83203125" style="57" customWidth="1"/>
    <col min="14597" max="14597" width="6.1640625" style="57" customWidth="1"/>
    <col min="14598" max="14602" width="4.5" style="57" customWidth="1"/>
    <col min="14603" max="14603" width="3.5" style="57" customWidth="1"/>
    <col min="14604" max="14609" width="4.5" style="57" customWidth="1"/>
    <col min="14610" max="14610" width="3.1640625" style="57" customWidth="1"/>
    <col min="14611" max="14611" width="9.25" style="57" customWidth="1"/>
    <col min="14612" max="14612" width="26.75" style="57" customWidth="1"/>
    <col min="14613" max="14615" width="9.25" style="57" customWidth="1"/>
    <col min="14616" max="14616" width="13.6640625" style="57" customWidth="1"/>
    <col min="14617" max="14848" width="9" style="57"/>
    <col min="14849" max="14849" width="2.5" style="57" customWidth="1"/>
    <col min="14850" max="14850" width="6" style="57" customWidth="1"/>
    <col min="14851" max="14851" width="5.6640625" style="57" customWidth="1"/>
    <col min="14852" max="14852" width="4.83203125" style="57" customWidth="1"/>
    <col min="14853" max="14853" width="6.1640625" style="57" customWidth="1"/>
    <col min="14854" max="14858" width="4.5" style="57" customWidth="1"/>
    <col min="14859" max="14859" width="3.5" style="57" customWidth="1"/>
    <col min="14860" max="14865" width="4.5" style="57" customWidth="1"/>
    <col min="14866" max="14866" width="3.1640625" style="57" customWidth="1"/>
    <col min="14867" max="14867" width="9.25" style="57" customWidth="1"/>
    <col min="14868" max="14868" width="26.75" style="57" customWidth="1"/>
    <col min="14869" max="14871" width="9.25" style="57" customWidth="1"/>
    <col min="14872" max="14872" width="13.6640625" style="57" customWidth="1"/>
    <col min="14873" max="15104" width="9" style="57"/>
    <col min="15105" max="15105" width="2.5" style="57" customWidth="1"/>
    <col min="15106" max="15106" width="6" style="57" customWidth="1"/>
    <col min="15107" max="15107" width="5.6640625" style="57" customWidth="1"/>
    <col min="15108" max="15108" width="4.83203125" style="57" customWidth="1"/>
    <col min="15109" max="15109" width="6.1640625" style="57" customWidth="1"/>
    <col min="15110" max="15114" width="4.5" style="57" customWidth="1"/>
    <col min="15115" max="15115" width="3.5" style="57" customWidth="1"/>
    <col min="15116" max="15121" width="4.5" style="57" customWidth="1"/>
    <col min="15122" max="15122" width="3.1640625" style="57" customWidth="1"/>
    <col min="15123" max="15123" width="9.25" style="57" customWidth="1"/>
    <col min="15124" max="15124" width="26.75" style="57" customWidth="1"/>
    <col min="15125" max="15127" width="9.25" style="57" customWidth="1"/>
    <col min="15128" max="15128" width="13.6640625" style="57" customWidth="1"/>
    <col min="15129" max="15360" width="9" style="57"/>
    <col min="15361" max="15361" width="2.5" style="57" customWidth="1"/>
    <col min="15362" max="15362" width="6" style="57" customWidth="1"/>
    <col min="15363" max="15363" width="5.6640625" style="57" customWidth="1"/>
    <col min="15364" max="15364" width="4.83203125" style="57" customWidth="1"/>
    <col min="15365" max="15365" width="6.1640625" style="57" customWidth="1"/>
    <col min="15366" max="15370" width="4.5" style="57" customWidth="1"/>
    <col min="15371" max="15371" width="3.5" style="57" customWidth="1"/>
    <col min="15372" max="15377" width="4.5" style="57" customWidth="1"/>
    <col min="15378" max="15378" width="3.1640625" style="57" customWidth="1"/>
    <col min="15379" max="15379" width="9.25" style="57" customWidth="1"/>
    <col min="15380" max="15380" width="26.75" style="57" customWidth="1"/>
    <col min="15381" max="15383" width="9.25" style="57" customWidth="1"/>
    <col min="15384" max="15384" width="13.6640625" style="57" customWidth="1"/>
    <col min="15385" max="15616" width="9" style="57"/>
    <col min="15617" max="15617" width="2.5" style="57" customWidth="1"/>
    <col min="15618" max="15618" width="6" style="57" customWidth="1"/>
    <col min="15619" max="15619" width="5.6640625" style="57" customWidth="1"/>
    <col min="15620" max="15620" width="4.83203125" style="57" customWidth="1"/>
    <col min="15621" max="15621" width="6.1640625" style="57" customWidth="1"/>
    <col min="15622" max="15626" width="4.5" style="57" customWidth="1"/>
    <col min="15627" max="15627" width="3.5" style="57" customWidth="1"/>
    <col min="15628" max="15633" width="4.5" style="57" customWidth="1"/>
    <col min="15634" max="15634" width="3.1640625" style="57" customWidth="1"/>
    <col min="15635" max="15635" width="9.25" style="57" customWidth="1"/>
    <col min="15636" max="15636" width="26.75" style="57" customWidth="1"/>
    <col min="15637" max="15639" width="9.25" style="57" customWidth="1"/>
    <col min="15640" max="15640" width="13.6640625" style="57" customWidth="1"/>
    <col min="15641" max="15872" width="9" style="57"/>
    <col min="15873" max="15873" width="2.5" style="57" customWidth="1"/>
    <col min="15874" max="15874" width="6" style="57" customWidth="1"/>
    <col min="15875" max="15875" width="5.6640625" style="57" customWidth="1"/>
    <col min="15876" max="15876" width="4.83203125" style="57" customWidth="1"/>
    <col min="15877" max="15877" width="6.1640625" style="57" customWidth="1"/>
    <col min="15878" max="15882" width="4.5" style="57" customWidth="1"/>
    <col min="15883" max="15883" width="3.5" style="57" customWidth="1"/>
    <col min="15884" max="15889" width="4.5" style="57" customWidth="1"/>
    <col min="15890" max="15890" width="3.1640625" style="57" customWidth="1"/>
    <col min="15891" max="15891" width="9.25" style="57" customWidth="1"/>
    <col min="15892" max="15892" width="26.75" style="57" customWidth="1"/>
    <col min="15893" max="15895" width="9.25" style="57" customWidth="1"/>
    <col min="15896" max="15896" width="13.6640625" style="57" customWidth="1"/>
    <col min="15897" max="16128" width="9" style="57"/>
    <col min="16129" max="16129" width="2.5" style="57" customWidth="1"/>
    <col min="16130" max="16130" width="6" style="57" customWidth="1"/>
    <col min="16131" max="16131" width="5.6640625" style="57" customWidth="1"/>
    <col min="16132" max="16132" width="4.83203125" style="57" customWidth="1"/>
    <col min="16133" max="16133" width="6.1640625" style="57" customWidth="1"/>
    <col min="16134" max="16138" width="4.5" style="57" customWidth="1"/>
    <col min="16139" max="16139" width="3.5" style="57" customWidth="1"/>
    <col min="16140" max="16145" width="4.5" style="57" customWidth="1"/>
    <col min="16146" max="16146" width="3.1640625" style="57" customWidth="1"/>
    <col min="16147" max="16147" width="9.25" style="57" customWidth="1"/>
    <col min="16148" max="16148" width="26.75" style="57" customWidth="1"/>
    <col min="16149" max="16151" width="9.25" style="57" customWidth="1"/>
    <col min="16152" max="16152" width="13.6640625" style="57" customWidth="1"/>
    <col min="16153" max="16384" width="9" style="57"/>
  </cols>
  <sheetData>
    <row r="1" spans="1:24" s="55" customFormat="1" ht="15" customHeight="1">
      <c r="B1" s="253"/>
      <c r="C1" s="66"/>
      <c r="D1" s="66"/>
      <c r="E1" s="66"/>
      <c r="F1" s="66"/>
      <c r="G1" s="66"/>
      <c r="H1" s="66"/>
      <c r="I1" s="66"/>
      <c r="J1" s="66"/>
      <c r="K1" s="66"/>
      <c r="L1" s="66"/>
      <c r="M1" s="66"/>
      <c r="N1" s="66"/>
      <c r="O1" s="66"/>
      <c r="P1" s="66"/>
      <c r="Q1" s="66"/>
      <c r="R1" s="66"/>
      <c r="T1" s="66" t="s">
        <v>372</v>
      </c>
      <c r="U1" s="66"/>
      <c r="V1" s="66"/>
      <c r="W1" s="66"/>
      <c r="X1" s="66"/>
    </row>
    <row r="2" spans="1:24" s="62" customFormat="1" ht="15" customHeight="1">
      <c r="A2" s="70" t="s">
        <v>766</v>
      </c>
      <c r="B2" s="138"/>
      <c r="C2" s="61"/>
      <c r="D2" s="61"/>
      <c r="E2" s="61"/>
      <c r="F2" s="61"/>
      <c r="G2" s="61"/>
      <c r="H2" s="61"/>
      <c r="I2" s="61"/>
      <c r="J2" s="61"/>
      <c r="K2" s="61"/>
      <c r="L2" s="61"/>
      <c r="M2" s="61"/>
      <c r="N2" s="61"/>
      <c r="O2" s="206" t="str">
        <f>'SP3-1'!L2</f>
        <v>Spreadsheet release date 14-Apr-2023</v>
      </c>
      <c r="P2" s="61"/>
      <c r="Q2" s="138"/>
      <c r="R2" s="61"/>
      <c r="T2" s="207" t="s">
        <v>373</v>
      </c>
      <c r="U2" s="247"/>
      <c r="V2" s="247"/>
      <c r="W2" s="247"/>
      <c r="X2" s="66"/>
    </row>
    <row r="3" spans="1:24" s="62" customFormat="1" ht="15" customHeight="1">
      <c r="A3" s="68" t="s">
        <v>446</v>
      </c>
      <c r="B3" s="68"/>
      <c r="C3" s="61"/>
      <c r="D3" s="61"/>
      <c r="E3" s="61"/>
      <c r="F3" s="61"/>
      <c r="G3" s="61"/>
      <c r="H3" s="61"/>
      <c r="I3" s="61"/>
      <c r="J3" s="61"/>
      <c r="K3" s="61"/>
      <c r="L3" s="61"/>
      <c r="M3" s="61"/>
      <c r="N3" s="61"/>
      <c r="O3" s="61"/>
      <c r="P3" s="61"/>
      <c r="Q3" s="138"/>
      <c r="R3" s="61"/>
      <c r="T3" s="61"/>
      <c r="U3" s="66"/>
      <c r="V3" s="66"/>
      <c r="W3" s="66"/>
      <c r="X3" s="61"/>
    </row>
    <row r="4" spans="1:24" s="55" customFormat="1" ht="15" customHeight="1">
      <c r="A4" s="67"/>
      <c r="B4" s="434" t="s">
        <v>767</v>
      </c>
      <c r="C4" s="434"/>
      <c r="D4" s="434"/>
      <c r="E4" s="434"/>
      <c r="F4" s="434"/>
      <c r="G4" s="434"/>
      <c r="H4" s="434"/>
      <c r="I4" s="434"/>
      <c r="J4" s="434"/>
      <c r="K4" s="434"/>
      <c r="L4" s="434"/>
      <c r="M4" s="434"/>
      <c r="N4" s="434"/>
      <c r="O4" s="434"/>
      <c r="P4" s="434"/>
      <c r="Q4" s="434"/>
      <c r="R4" s="66"/>
      <c r="S4" s="66"/>
      <c r="T4" s="61"/>
      <c r="U4" s="66"/>
      <c r="V4" s="66"/>
      <c r="W4" s="66"/>
      <c r="X4" s="66"/>
    </row>
    <row r="5" spans="1:24" s="62" customFormat="1" ht="11.25" customHeight="1" thickBot="1">
      <c r="A5" s="138"/>
      <c r="B5" s="138"/>
      <c r="C5" s="61"/>
      <c r="D5" s="61"/>
      <c r="E5" s="61"/>
      <c r="F5" s="61"/>
      <c r="G5" s="61"/>
      <c r="H5" s="61"/>
      <c r="I5" s="61"/>
      <c r="J5" s="61"/>
      <c r="K5" s="61"/>
      <c r="L5" s="61"/>
      <c r="M5" s="61"/>
      <c r="N5" s="61"/>
      <c r="O5" s="61"/>
      <c r="P5" s="61"/>
      <c r="Q5" s="138"/>
      <c r="R5" s="61"/>
      <c r="S5" s="61"/>
      <c r="T5" s="61"/>
      <c r="U5" s="61"/>
      <c r="V5" s="61"/>
      <c r="W5" s="61"/>
      <c r="X5" s="61"/>
    </row>
    <row r="6" spans="1:24" s="62" customFormat="1" ht="19.5" customHeight="1" thickTop="1" thickBot="1">
      <c r="A6" s="211">
        <v>1</v>
      </c>
      <c r="B6" s="436" t="s">
        <v>768</v>
      </c>
      <c r="C6" s="436"/>
      <c r="D6" s="436"/>
      <c r="E6" s="436"/>
      <c r="F6" s="210"/>
      <c r="G6" s="210"/>
      <c r="H6" s="210"/>
      <c r="I6" s="210"/>
      <c r="J6" s="210"/>
      <c r="K6" s="210"/>
      <c r="L6" s="210"/>
      <c r="M6" s="236"/>
      <c r="N6" s="510"/>
      <c r="O6" s="510"/>
      <c r="P6" s="510"/>
      <c r="Q6" s="510"/>
      <c r="R6" s="251"/>
      <c r="S6" s="61"/>
      <c r="T6" s="61"/>
      <c r="U6" s="61"/>
      <c r="V6" s="61"/>
      <c r="W6" s="61"/>
      <c r="X6" s="61"/>
    </row>
    <row r="7" spans="1:24" s="62" customFormat="1" ht="19.5" customHeight="1" thickTop="1" thickBot="1">
      <c r="A7" s="211">
        <v>2</v>
      </c>
      <c r="B7" s="472" t="s">
        <v>447</v>
      </c>
      <c r="C7" s="511"/>
      <c r="D7" s="511"/>
      <c r="E7" s="512"/>
      <c r="F7" s="210"/>
      <c r="G7" s="210"/>
      <c r="H7" s="210"/>
      <c r="I7" s="210"/>
      <c r="J7" s="210"/>
      <c r="K7" s="210"/>
      <c r="L7" s="210"/>
      <c r="M7" s="210"/>
      <c r="N7" s="244"/>
      <c r="O7" s="244"/>
      <c r="P7" s="244"/>
      <c r="Q7" s="244"/>
      <c r="R7" s="211"/>
      <c r="S7" s="61"/>
      <c r="T7" s="61"/>
      <c r="U7" s="61"/>
      <c r="V7" s="61"/>
      <c r="W7" s="61"/>
      <c r="X7" s="61"/>
    </row>
    <row r="8" spans="1:24" s="62" customFormat="1" ht="19.5" customHeight="1" thickTop="1" thickBot="1">
      <c r="A8" s="209"/>
      <c r="B8" s="210" t="s">
        <v>769</v>
      </c>
      <c r="C8" s="210"/>
      <c r="D8" s="210"/>
      <c r="E8" s="210"/>
      <c r="F8" s="222"/>
      <c r="G8" s="210"/>
      <c r="H8" s="210"/>
      <c r="I8" s="210"/>
      <c r="J8" s="210"/>
      <c r="K8" s="210"/>
      <c r="L8" s="210"/>
      <c r="M8" s="222"/>
      <c r="N8" s="494">
        <f>'SP3-1'!I29</f>
        <v>0</v>
      </c>
      <c r="O8" s="494"/>
      <c r="P8" s="494"/>
      <c r="Q8" s="494"/>
      <c r="R8" s="209"/>
      <c r="S8" s="61"/>
      <c r="T8" s="61"/>
      <c r="U8" s="61"/>
      <c r="V8" s="61"/>
      <c r="W8" s="61"/>
      <c r="X8" s="61"/>
    </row>
    <row r="9" spans="1:24" s="62" customFormat="1" ht="19.5" customHeight="1" thickTop="1" thickBot="1">
      <c r="A9" s="209"/>
      <c r="B9" s="210" t="s">
        <v>770</v>
      </c>
      <c r="C9" s="210"/>
      <c r="D9" s="210"/>
      <c r="E9" s="210"/>
      <c r="F9" s="210"/>
      <c r="G9" s="210"/>
      <c r="H9" s="210"/>
      <c r="I9" s="210"/>
      <c r="J9" s="210"/>
      <c r="K9" s="210"/>
      <c r="L9" s="210"/>
      <c r="M9" s="222"/>
      <c r="N9" s="509">
        <f>'SP3-1'!I30</f>
        <v>0</v>
      </c>
      <c r="O9" s="509"/>
      <c r="P9" s="509"/>
      <c r="Q9" s="509"/>
      <c r="R9" s="209"/>
      <c r="S9" s="61"/>
      <c r="T9" s="61"/>
      <c r="U9" s="61"/>
      <c r="V9" s="61"/>
      <c r="W9" s="61"/>
      <c r="X9" s="61"/>
    </row>
    <row r="10" spans="1:24" s="62" customFormat="1" ht="19.5" customHeight="1" thickTop="1" thickBot="1">
      <c r="A10" s="254"/>
      <c r="B10" s="235" t="s">
        <v>905</v>
      </c>
      <c r="C10" s="235"/>
      <c r="D10" s="235"/>
      <c r="E10" s="235"/>
      <c r="F10" s="235"/>
      <c r="G10" s="235"/>
      <c r="H10" s="235"/>
      <c r="I10" s="235"/>
      <c r="J10" s="235"/>
      <c r="K10" s="235"/>
      <c r="L10" s="235"/>
      <c r="M10" s="239" t="s">
        <v>771</v>
      </c>
      <c r="N10" s="510"/>
      <c r="O10" s="510"/>
      <c r="P10" s="510"/>
      <c r="Q10" s="510"/>
      <c r="R10" s="254"/>
      <c r="T10" s="513" t="s">
        <v>904</v>
      </c>
      <c r="U10" s="514"/>
      <c r="V10" s="514"/>
      <c r="W10" s="514"/>
      <c r="X10" s="514"/>
    </row>
    <row r="11" spans="1:24" s="62" customFormat="1" ht="9" customHeight="1" thickTop="1" thickBot="1">
      <c r="A11" s="225"/>
      <c r="B11" s="63"/>
      <c r="C11" s="63"/>
      <c r="D11" s="63"/>
      <c r="E11" s="63"/>
      <c r="F11" s="63"/>
      <c r="G11" s="63"/>
      <c r="H11" s="63"/>
      <c r="I11" s="63"/>
      <c r="J11" s="63"/>
      <c r="K11" s="63"/>
      <c r="L11" s="63"/>
      <c r="M11" s="227"/>
      <c r="N11" s="227"/>
      <c r="O11" s="227"/>
      <c r="P11" s="227"/>
      <c r="Q11" s="227"/>
      <c r="R11" s="225"/>
      <c r="S11" s="61"/>
      <c r="T11" s="61"/>
      <c r="U11" s="61"/>
      <c r="V11" s="61"/>
      <c r="W11" s="61"/>
      <c r="X11" s="61"/>
    </row>
    <row r="12" spans="1:24" s="62" customFormat="1" ht="19.5" customHeight="1" thickBot="1">
      <c r="A12" s="225"/>
      <c r="B12" s="515"/>
      <c r="C12" s="515"/>
      <c r="D12" s="515"/>
      <c r="E12" s="515"/>
      <c r="F12" s="516" t="s">
        <v>448</v>
      </c>
      <c r="G12" s="516"/>
      <c r="H12" s="516"/>
      <c r="I12" s="516"/>
      <c r="J12" s="516"/>
      <c r="K12" s="516"/>
      <c r="L12" s="516" t="s">
        <v>449</v>
      </c>
      <c r="M12" s="516"/>
      <c r="N12" s="516"/>
      <c r="O12" s="516"/>
      <c r="P12" s="516"/>
      <c r="Q12" s="516"/>
      <c r="R12" s="225"/>
      <c r="S12" s="61"/>
      <c r="T12" s="61"/>
      <c r="U12" s="61"/>
      <c r="V12" s="61"/>
      <c r="W12" s="61"/>
      <c r="X12" s="61"/>
    </row>
    <row r="13" spans="1:24" s="62" customFormat="1" ht="19.5" customHeight="1" thickBot="1">
      <c r="A13" s="225"/>
      <c r="B13" s="517" t="s">
        <v>450</v>
      </c>
      <c r="C13" s="517"/>
      <c r="D13" s="517"/>
      <c r="E13" s="517"/>
      <c r="F13" s="518" t="s">
        <v>451</v>
      </c>
      <c r="G13" s="518"/>
      <c r="H13" s="520"/>
      <c r="I13" s="520"/>
      <c r="J13" s="520"/>
      <c r="K13" s="520"/>
      <c r="L13" s="518" t="s">
        <v>452</v>
      </c>
      <c r="M13" s="518"/>
      <c r="N13" s="521"/>
      <c r="O13" s="522"/>
      <c r="P13" s="522"/>
      <c r="Q13" s="523"/>
      <c r="R13" s="225"/>
      <c r="S13" s="61"/>
      <c r="T13" s="435" t="s">
        <v>914</v>
      </c>
      <c r="U13" s="435"/>
      <c r="V13" s="435"/>
      <c r="W13" s="435"/>
      <c r="X13" s="435"/>
    </row>
    <row r="14" spans="1:24" s="62" customFormat="1" ht="19.5" customHeight="1" thickBot="1">
      <c r="A14" s="225"/>
      <c r="B14" s="517" t="s">
        <v>772</v>
      </c>
      <c r="C14" s="517"/>
      <c r="D14" s="517"/>
      <c r="E14" s="517"/>
      <c r="F14" s="518" t="s">
        <v>453</v>
      </c>
      <c r="G14" s="518"/>
      <c r="H14" s="519"/>
      <c r="I14" s="519"/>
      <c r="J14" s="519"/>
      <c r="K14" s="519"/>
      <c r="L14" s="518" t="s">
        <v>454</v>
      </c>
      <c r="M14" s="518"/>
      <c r="N14" s="519"/>
      <c r="O14" s="519"/>
      <c r="P14" s="519"/>
      <c r="Q14" s="519"/>
      <c r="R14" s="225"/>
      <c r="S14" s="61"/>
      <c r="T14" s="435" t="s">
        <v>914</v>
      </c>
      <c r="U14" s="435"/>
      <c r="V14" s="435"/>
      <c r="W14" s="435"/>
      <c r="X14" s="435"/>
    </row>
    <row r="15" spans="1:24" s="62" customFormat="1" ht="19.5" customHeight="1" thickBot="1">
      <c r="A15" s="255">
        <v>3</v>
      </c>
      <c r="B15" s="524" t="s">
        <v>773</v>
      </c>
      <c r="C15" s="524"/>
      <c r="D15" s="524"/>
      <c r="E15" s="524"/>
      <c r="F15" s="524"/>
      <c r="G15" s="524"/>
      <c r="H15" s="524"/>
      <c r="I15" s="256"/>
      <c r="J15" s="256"/>
      <c r="K15" s="256"/>
      <c r="L15" s="256"/>
      <c r="M15" s="256"/>
      <c r="N15" s="256"/>
      <c r="O15" s="256"/>
      <c r="P15" s="256"/>
      <c r="Q15" s="256"/>
      <c r="R15" s="257"/>
      <c r="S15" s="61"/>
      <c r="T15" s="61"/>
      <c r="U15" s="61"/>
      <c r="V15" s="61"/>
      <c r="W15" s="61"/>
      <c r="X15" s="61"/>
    </row>
    <row r="16" spans="1:24" s="62" customFormat="1" ht="19.5" customHeight="1" thickTop="1" thickBot="1">
      <c r="A16" s="209"/>
      <c r="B16" s="258"/>
      <c r="C16" s="258"/>
      <c r="D16" s="258"/>
      <c r="E16" s="258"/>
      <c r="F16" s="258"/>
      <c r="G16" s="258"/>
      <c r="H16" s="258"/>
      <c r="I16" s="258"/>
      <c r="J16" s="258"/>
      <c r="K16" s="258"/>
      <c r="L16" s="258"/>
      <c r="M16" s="258"/>
      <c r="N16" s="258"/>
      <c r="O16" s="258"/>
      <c r="P16" s="258"/>
      <c r="Q16" s="258"/>
      <c r="R16" s="209"/>
      <c r="S16" s="61"/>
      <c r="T16" s="61"/>
      <c r="U16" s="61"/>
      <c r="V16" s="61"/>
      <c r="W16" s="61"/>
      <c r="X16" s="61"/>
    </row>
    <row r="17" spans="1:24" s="62" customFormat="1" ht="19.5" customHeight="1" thickTop="1" thickBot="1">
      <c r="A17" s="209"/>
      <c r="B17" s="248"/>
      <c r="C17" s="248"/>
      <c r="D17" s="248"/>
      <c r="E17" s="248"/>
      <c r="F17" s="248"/>
      <c r="G17" s="458" t="s">
        <v>455</v>
      </c>
      <c r="H17" s="458"/>
      <c r="I17" s="458"/>
      <c r="J17" s="458"/>
      <c r="K17" s="458"/>
      <c r="L17" s="458"/>
      <c r="M17" s="525" t="s">
        <v>399</v>
      </c>
      <c r="N17" s="453">
        <f>IF(H14=0,0,(N8*365*H13*N10)/H14)</f>
        <v>0</v>
      </c>
      <c r="O17" s="453"/>
      <c r="P17" s="453"/>
      <c r="Q17" s="453"/>
      <c r="R17" s="456" t="s">
        <v>419</v>
      </c>
      <c r="S17" s="61"/>
      <c r="T17" s="61"/>
      <c r="U17" s="61"/>
      <c r="V17" s="61"/>
      <c r="W17" s="61"/>
      <c r="X17" s="61"/>
    </row>
    <row r="18" spans="1:24" s="62" customFormat="1" ht="19.5" customHeight="1" thickTop="1" thickBot="1">
      <c r="A18" s="209"/>
      <c r="B18" s="248"/>
      <c r="C18" s="248"/>
      <c r="D18" s="248"/>
      <c r="E18" s="248"/>
      <c r="F18" s="248"/>
      <c r="G18" s="461" t="s">
        <v>453</v>
      </c>
      <c r="H18" s="461"/>
      <c r="I18" s="461"/>
      <c r="J18" s="461"/>
      <c r="K18" s="461"/>
      <c r="L18" s="461"/>
      <c r="M18" s="526"/>
      <c r="N18" s="453"/>
      <c r="O18" s="453"/>
      <c r="P18" s="453"/>
      <c r="Q18" s="453"/>
      <c r="R18" s="456"/>
      <c r="S18" s="61"/>
      <c r="T18" s="61"/>
      <c r="U18" s="61"/>
      <c r="V18" s="61"/>
      <c r="W18" s="61"/>
      <c r="X18" s="61"/>
    </row>
    <row r="19" spans="1:24" s="62" customFormat="1" ht="19.5" customHeight="1" thickTop="1" thickBot="1">
      <c r="A19" s="211">
        <v>4</v>
      </c>
      <c r="B19" s="436" t="s">
        <v>774</v>
      </c>
      <c r="C19" s="436"/>
      <c r="D19" s="436"/>
      <c r="E19" s="436"/>
      <c r="F19" s="436"/>
      <c r="G19" s="436"/>
      <c r="H19" s="248"/>
      <c r="I19" s="259"/>
      <c r="J19" s="248"/>
      <c r="K19" s="248"/>
      <c r="L19" s="248"/>
      <c r="M19" s="222"/>
      <c r="N19" s="248"/>
      <c r="O19" s="248"/>
      <c r="P19" s="248"/>
      <c r="Q19" s="248"/>
      <c r="R19" s="209"/>
      <c r="S19" s="61"/>
      <c r="T19" s="61"/>
      <c r="U19" s="61"/>
      <c r="V19" s="61"/>
      <c r="W19" s="61"/>
      <c r="X19" s="61"/>
    </row>
    <row r="20" spans="1:24" s="62" customFormat="1" ht="19.5" customHeight="1" thickTop="1" thickBot="1">
      <c r="A20" s="209"/>
      <c r="B20" s="248"/>
      <c r="C20" s="248"/>
      <c r="D20" s="248"/>
      <c r="E20" s="248"/>
      <c r="F20" s="248"/>
      <c r="G20" s="248"/>
      <c r="H20" s="248"/>
      <c r="I20" s="248"/>
      <c r="J20" s="248"/>
      <c r="K20" s="248"/>
      <c r="L20" s="248"/>
      <c r="M20" s="222"/>
      <c r="N20" s="248"/>
      <c r="O20" s="248"/>
      <c r="P20" s="248"/>
      <c r="Q20" s="248"/>
      <c r="R20" s="209"/>
      <c r="S20" s="61"/>
      <c r="T20" s="61"/>
      <c r="U20" s="61"/>
      <c r="V20" s="61"/>
      <c r="W20" s="61"/>
      <c r="X20" s="61"/>
    </row>
    <row r="21" spans="1:24" s="62" customFormat="1" ht="19.5" customHeight="1" thickTop="1" thickBot="1">
      <c r="A21" s="209"/>
      <c r="B21" s="248"/>
      <c r="C21" s="248"/>
      <c r="D21" s="248"/>
      <c r="E21" s="248"/>
      <c r="F21" s="248"/>
      <c r="G21" s="458" t="s">
        <v>456</v>
      </c>
      <c r="H21" s="458"/>
      <c r="I21" s="458"/>
      <c r="J21" s="458"/>
      <c r="K21" s="458"/>
      <c r="L21" s="458"/>
      <c r="M21" s="525" t="s">
        <v>399</v>
      </c>
      <c r="N21" s="453">
        <f>IF(N14="",0,(N8*365*N13*N10)/N14)</f>
        <v>0</v>
      </c>
      <c r="O21" s="453"/>
      <c r="P21" s="453"/>
      <c r="Q21" s="453"/>
      <c r="R21" s="456" t="s">
        <v>429</v>
      </c>
      <c r="S21" s="61"/>
      <c r="T21" s="61"/>
      <c r="U21" s="61"/>
      <c r="V21" s="61"/>
      <c r="W21" s="61"/>
      <c r="X21" s="61"/>
    </row>
    <row r="22" spans="1:24" s="62" customFormat="1" ht="19.5" customHeight="1" thickTop="1" thickBot="1">
      <c r="A22" s="209"/>
      <c r="B22" s="248"/>
      <c r="C22" s="248"/>
      <c r="D22" s="248"/>
      <c r="E22" s="248"/>
      <c r="F22" s="248"/>
      <c r="G22" s="461" t="s">
        <v>454</v>
      </c>
      <c r="H22" s="461"/>
      <c r="I22" s="461"/>
      <c r="J22" s="461"/>
      <c r="K22" s="461"/>
      <c r="L22" s="461"/>
      <c r="M22" s="526"/>
      <c r="N22" s="453"/>
      <c r="O22" s="453"/>
      <c r="P22" s="453"/>
      <c r="Q22" s="453"/>
      <c r="R22" s="456"/>
      <c r="S22" s="61"/>
      <c r="T22" s="61"/>
      <c r="U22" s="61"/>
      <c r="V22" s="61"/>
      <c r="W22" s="61"/>
      <c r="X22" s="61"/>
    </row>
    <row r="23" spans="1:24" s="62" customFormat="1" ht="19.5" customHeight="1" thickTop="1" thickBot="1">
      <c r="A23" s="211">
        <v>5</v>
      </c>
      <c r="B23" s="436" t="s">
        <v>775</v>
      </c>
      <c r="C23" s="436"/>
      <c r="D23" s="436"/>
      <c r="E23" s="436"/>
      <c r="F23" s="436"/>
      <c r="G23" s="436"/>
      <c r="H23" s="248"/>
      <c r="I23" s="248"/>
      <c r="J23" s="248"/>
      <c r="K23" s="248"/>
      <c r="L23" s="248"/>
      <c r="M23" s="223" t="s">
        <v>457</v>
      </c>
      <c r="N23" s="453">
        <f>N17-N21</f>
        <v>0</v>
      </c>
      <c r="O23" s="453"/>
      <c r="P23" s="453"/>
      <c r="Q23" s="453"/>
      <c r="R23" s="211" t="s">
        <v>430</v>
      </c>
      <c r="S23" s="61"/>
      <c r="U23" s="61"/>
      <c r="V23" s="61"/>
      <c r="W23" s="61"/>
      <c r="X23" s="61"/>
    </row>
    <row r="24" spans="1:24" s="62" customFormat="1" ht="19.5" customHeight="1" thickTop="1" thickBot="1">
      <c r="A24" s="211">
        <v>6</v>
      </c>
      <c r="B24" s="436" t="s">
        <v>458</v>
      </c>
      <c r="C24" s="436"/>
      <c r="D24" s="436"/>
      <c r="E24" s="436"/>
      <c r="F24" s="248"/>
      <c r="G24" s="248"/>
      <c r="H24" s="248"/>
      <c r="I24" s="248"/>
      <c r="J24" s="248"/>
      <c r="K24" s="248"/>
      <c r="L24" s="248"/>
      <c r="M24" s="223" t="s">
        <v>459</v>
      </c>
      <c r="N24" s="453">
        <f>N23*Tables!O8</f>
        <v>0</v>
      </c>
      <c r="O24" s="453"/>
      <c r="P24" s="453"/>
      <c r="Q24" s="453"/>
      <c r="R24" s="211" t="s">
        <v>460</v>
      </c>
      <c r="S24" s="61"/>
      <c r="T24" s="435" t="s">
        <v>461</v>
      </c>
      <c r="U24" s="435"/>
      <c r="V24" s="435"/>
      <c r="W24" s="435"/>
      <c r="X24" s="435"/>
    </row>
    <row r="25" spans="1:24" s="62" customFormat="1" ht="19.5" customHeight="1" thickTop="1" thickBot="1">
      <c r="A25" s="209"/>
      <c r="B25" s="248"/>
      <c r="C25" s="210"/>
      <c r="D25" s="248"/>
      <c r="E25" s="248"/>
      <c r="F25" s="248"/>
      <c r="G25" s="248"/>
      <c r="H25" s="248"/>
      <c r="I25" s="248"/>
      <c r="J25" s="248"/>
      <c r="K25" s="248"/>
      <c r="L25" s="248"/>
      <c r="M25" s="248"/>
      <c r="N25" s="248"/>
      <c r="O25" s="248"/>
      <c r="P25" s="248"/>
      <c r="Q25" s="222"/>
      <c r="R25" s="209"/>
      <c r="S25" s="61"/>
      <c r="T25" s="61"/>
      <c r="U25" s="61"/>
      <c r="V25" s="61"/>
      <c r="W25" s="61"/>
      <c r="X25" s="61"/>
    </row>
    <row r="26" spans="1:24" s="62" customFormat="1" ht="15" customHeight="1" thickTop="1">
      <c r="A26" s="138"/>
      <c r="B26" s="72"/>
      <c r="C26" s="72"/>
      <c r="D26" s="72"/>
      <c r="E26" s="72"/>
      <c r="F26" s="72"/>
      <c r="G26" s="72"/>
      <c r="H26" s="72"/>
      <c r="I26" s="72"/>
      <c r="J26" s="72"/>
      <c r="K26" s="72"/>
      <c r="L26" s="72"/>
      <c r="M26" s="72"/>
      <c r="N26" s="72"/>
      <c r="O26" s="72"/>
      <c r="P26" s="72"/>
      <c r="Q26" s="72"/>
      <c r="R26" s="138"/>
      <c r="S26" s="61"/>
      <c r="T26" s="61"/>
      <c r="U26" s="61"/>
      <c r="V26" s="61"/>
      <c r="W26" s="61"/>
      <c r="X26" s="61"/>
    </row>
    <row r="27" spans="1:24" s="62" customFormat="1" ht="14.25" customHeight="1">
      <c r="A27" s="138"/>
      <c r="B27" s="72"/>
      <c r="C27" s="72"/>
      <c r="D27" s="72"/>
      <c r="E27" s="72"/>
      <c r="F27" s="72"/>
      <c r="G27" s="72"/>
      <c r="H27" s="72"/>
      <c r="I27" s="72"/>
      <c r="J27" s="72"/>
      <c r="K27" s="72"/>
      <c r="L27" s="72"/>
      <c r="M27" s="72"/>
      <c r="N27" s="72"/>
      <c r="O27" s="72"/>
      <c r="P27" s="72"/>
      <c r="Q27" s="72"/>
      <c r="R27" s="138"/>
      <c r="S27" s="61"/>
      <c r="T27" s="61"/>
      <c r="U27" s="61"/>
      <c r="V27" s="61"/>
      <c r="W27" s="61"/>
      <c r="X27" s="61"/>
    </row>
    <row r="28" spans="1:24" s="62" customFormat="1" ht="15" hidden="1" customHeight="1">
      <c r="A28" s="138"/>
      <c r="B28" s="61" t="s">
        <v>776</v>
      </c>
      <c r="C28" s="72"/>
      <c r="D28" s="72"/>
      <c r="E28" s="72" t="s">
        <v>777</v>
      </c>
      <c r="F28" s="72"/>
      <c r="G28" s="72"/>
      <c r="H28" s="72"/>
      <c r="I28" s="72"/>
      <c r="J28" s="72"/>
      <c r="K28" s="72"/>
      <c r="L28" s="72"/>
      <c r="M28" s="72"/>
      <c r="N28" s="73"/>
      <c r="O28" s="72"/>
      <c r="P28" s="72"/>
      <c r="Q28" s="72"/>
      <c r="R28" s="138"/>
      <c r="S28" s="61"/>
      <c r="T28" s="61"/>
      <c r="U28" s="61"/>
      <c r="V28" s="61"/>
      <c r="W28" s="61"/>
      <c r="X28" s="61"/>
    </row>
    <row r="29" spans="1:24" s="62" customFormat="1" ht="15" hidden="1" customHeight="1">
      <c r="A29" s="138"/>
      <c r="B29" s="260">
        <f>$N$23*(39+780*$N$9)</f>
        <v>0</v>
      </c>
      <c r="C29" s="72"/>
      <c r="D29" s="72"/>
      <c r="E29" s="72" t="e">
        <f>N23/N10*(39+780*N9)</f>
        <v>#DIV/0!</v>
      </c>
      <c r="F29" s="72"/>
      <c r="G29" s="72"/>
      <c r="H29" s="72"/>
      <c r="I29" s="72"/>
      <c r="J29" s="72"/>
      <c r="K29" s="72"/>
      <c r="L29" s="72"/>
      <c r="M29" s="72"/>
      <c r="N29" s="73"/>
      <c r="O29" s="72"/>
      <c r="P29" s="72"/>
      <c r="Q29" s="72"/>
      <c r="R29" s="138"/>
      <c r="S29" s="61"/>
      <c r="T29" s="61"/>
      <c r="U29" s="61"/>
      <c r="V29" s="61"/>
      <c r="W29" s="61"/>
      <c r="X29" s="61"/>
    </row>
    <row r="30" spans="1:24" s="62" customFormat="1" ht="15" customHeight="1">
      <c r="A30" s="138"/>
      <c r="B30" s="72"/>
      <c r="C30" s="72"/>
      <c r="D30" s="72"/>
      <c r="E30" s="72"/>
      <c r="F30" s="72"/>
      <c r="G30" s="72"/>
      <c r="H30" s="72"/>
      <c r="I30" s="72"/>
      <c r="J30" s="72"/>
      <c r="K30" s="72"/>
      <c r="L30" s="72"/>
      <c r="M30" s="72"/>
      <c r="N30" s="73"/>
      <c r="O30" s="72"/>
      <c r="P30" s="72"/>
      <c r="Q30" s="72"/>
      <c r="R30" s="138"/>
      <c r="S30" s="61"/>
      <c r="T30" s="61"/>
      <c r="U30" s="61"/>
      <c r="V30" s="61"/>
      <c r="W30" s="61"/>
      <c r="X30" s="61"/>
    </row>
    <row r="31" spans="1:24" s="62" customFormat="1" ht="15" customHeight="1">
      <c r="A31" s="138"/>
      <c r="B31" s="72"/>
      <c r="C31" s="72"/>
      <c r="D31" s="72"/>
      <c r="E31" s="72"/>
      <c r="F31" s="72"/>
      <c r="G31" s="72"/>
      <c r="H31" s="72"/>
      <c r="I31" s="72"/>
      <c r="J31" s="72"/>
      <c r="K31" s="72"/>
      <c r="L31" s="72"/>
      <c r="M31" s="72"/>
      <c r="N31" s="72"/>
      <c r="O31" s="72"/>
      <c r="P31" s="72"/>
      <c r="Q31" s="72"/>
      <c r="R31" s="138"/>
      <c r="S31" s="61"/>
      <c r="T31" s="61"/>
      <c r="U31" s="61"/>
      <c r="V31" s="61"/>
      <c r="W31" s="61"/>
      <c r="X31" s="61"/>
    </row>
    <row r="32" spans="1:24" s="62" customFormat="1" ht="15" customHeight="1">
      <c r="A32" s="138"/>
      <c r="B32" s="72"/>
      <c r="C32" s="72"/>
      <c r="D32" s="72"/>
      <c r="E32" s="72"/>
      <c r="F32" s="72"/>
      <c r="G32" s="72"/>
      <c r="H32" s="72"/>
      <c r="I32" s="72"/>
      <c r="J32" s="72"/>
      <c r="K32" s="72"/>
      <c r="L32" s="72"/>
      <c r="M32" s="72"/>
      <c r="N32" s="72"/>
      <c r="O32" s="72"/>
      <c r="P32" s="72"/>
      <c r="Q32" s="72"/>
      <c r="R32" s="138"/>
      <c r="S32" s="61"/>
      <c r="T32" s="61"/>
      <c r="U32" s="61"/>
      <c r="V32" s="61"/>
      <c r="W32" s="61"/>
      <c r="X32" s="61"/>
    </row>
    <row r="33" spans="1:24" s="69" customFormat="1" ht="12" customHeight="1">
      <c r="A33" s="61"/>
      <c r="B33" s="61"/>
      <c r="C33" s="61"/>
      <c r="D33" s="61"/>
      <c r="E33" s="61"/>
      <c r="F33" s="61"/>
      <c r="G33" s="61"/>
      <c r="H33" s="61"/>
      <c r="I33" s="61"/>
      <c r="J33" s="61"/>
      <c r="K33" s="61"/>
      <c r="L33" s="61"/>
      <c r="M33" s="61"/>
      <c r="N33" s="61"/>
      <c r="O33" s="61"/>
      <c r="P33" s="61"/>
      <c r="Q33" s="61"/>
      <c r="R33" s="138"/>
      <c r="S33" s="61"/>
      <c r="T33" s="61"/>
      <c r="U33" s="61"/>
      <c r="V33" s="61"/>
      <c r="W33" s="61"/>
      <c r="X33" s="61"/>
    </row>
    <row r="34" spans="1:24">
      <c r="A34" s="59"/>
      <c r="B34" s="59"/>
      <c r="C34" s="59"/>
      <c r="D34" s="59"/>
      <c r="E34" s="59"/>
      <c r="F34" s="59"/>
      <c r="G34" s="59"/>
      <c r="H34" s="59"/>
      <c r="I34" s="59"/>
      <c r="J34" s="59"/>
      <c r="K34" s="59"/>
      <c r="L34" s="59"/>
      <c r="M34" s="59"/>
      <c r="N34" s="59"/>
      <c r="O34" s="59"/>
      <c r="P34" s="59"/>
      <c r="Q34" s="59"/>
      <c r="R34" s="60"/>
      <c r="S34" s="59"/>
      <c r="T34" s="59"/>
      <c r="U34" s="59"/>
      <c r="V34" s="59"/>
      <c r="W34" s="59"/>
      <c r="X34" s="59"/>
    </row>
    <row r="35" spans="1:24">
      <c r="A35" s="59"/>
      <c r="B35" s="59"/>
      <c r="C35" s="59"/>
      <c r="D35" s="59"/>
      <c r="E35" s="59"/>
      <c r="F35" s="59"/>
      <c r="G35" s="59"/>
      <c r="H35" s="59"/>
      <c r="I35" s="59"/>
      <c r="J35" s="59"/>
      <c r="K35" s="59"/>
      <c r="L35" s="59"/>
      <c r="M35" s="59"/>
      <c r="N35" s="59"/>
      <c r="O35" s="59"/>
      <c r="P35" s="59"/>
      <c r="Q35" s="59"/>
      <c r="R35" s="60"/>
      <c r="S35" s="59"/>
      <c r="T35" s="59"/>
      <c r="U35" s="59"/>
      <c r="V35" s="59"/>
      <c r="W35" s="59"/>
      <c r="X35" s="59"/>
    </row>
    <row r="36" spans="1:24">
      <c r="A36" s="59"/>
      <c r="B36" s="59"/>
      <c r="C36" s="59"/>
      <c r="D36" s="59"/>
      <c r="E36" s="59"/>
      <c r="F36" s="59"/>
      <c r="G36" s="59"/>
      <c r="H36" s="59"/>
      <c r="I36" s="59"/>
      <c r="J36" s="59"/>
      <c r="K36" s="59"/>
      <c r="L36" s="59"/>
      <c r="M36" s="59"/>
      <c r="N36" s="59"/>
      <c r="O36" s="59"/>
      <c r="P36" s="59"/>
      <c r="Q36" s="59"/>
      <c r="R36" s="60"/>
      <c r="S36" s="59"/>
      <c r="T36" s="59"/>
      <c r="U36" s="59"/>
      <c r="V36" s="59"/>
      <c r="W36" s="59"/>
      <c r="X36" s="59"/>
    </row>
    <row r="37" spans="1:24">
      <c r="A37" s="59"/>
      <c r="B37" s="59"/>
      <c r="C37" s="59"/>
      <c r="D37" s="59"/>
      <c r="E37" s="59"/>
      <c r="F37" s="59"/>
      <c r="G37" s="59"/>
      <c r="H37" s="59"/>
      <c r="I37" s="59"/>
      <c r="J37" s="59"/>
      <c r="K37" s="59"/>
      <c r="L37" s="59"/>
      <c r="M37" s="59"/>
      <c r="N37" s="59"/>
      <c r="O37" s="59"/>
      <c r="P37" s="59"/>
      <c r="Q37" s="59"/>
      <c r="R37" s="60"/>
      <c r="S37" s="59"/>
      <c r="T37" s="59"/>
      <c r="U37" s="59"/>
      <c r="V37" s="59"/>
      <c r="W37" s="59"/>
      <c r="X37" s="59"/>
    </row>
    <row r="38" spans="1:24">
      <c r="A38" s="59"/>
      <c r="B38" s="59"/>
      <c r="C38" s="59"/>
      <c r="D38" s="59"/>
      <c r="E38" s="59"/>
      <c r="F38" s="59"/>
      <c r="G38" s="59"/>
      <c r="H38" s="59"/>
      <c r="I38" s="59"/>
      <c r="J38" s="59"/>
      <c r="K38" s="59"/>
      <c r="L38" s="59"/>
      <c r="M38" s="59"/>
      <c r="N38" s="59"/>
      <c r="O38" s="59"/>
      <c r="P38" s="59"/>
      <c r="Q38" s="59"/>
      <c r="R38" s="60"/>
      <c r="S38" s="59"/>
      <c r="T38" s="59"/>
      <c r="U38" s="59"/>
      <c r="V38" s="59"/>
      <c r="W38" s="59"/>
      <c r="X38" s="59"/>
    </row>
    <row r="39" spans="1:24">
      <c r="A39" s="59"/>
      <c r="B39" s="59"/>
      <c r="C39" s="59"/>
      <c r="D39" s="59"/>
      <c r="E39" s="59"/>
      <c r="F39" s="59"/>
      <c r="G39" s="59"/>
      <c r="H39" s="59"/>
      <c r="I39" s="59"/>
      <c r="J39" s="59"/>
      <c r="K39" s="59"/>
      <c r="L39" s="59"/>
      <c r="M39" s="59"/>
      <c r="N39" s="59"/>
      <c r="O39" s="59"/>
      <c r="P39" s="59"/>
      <c r="Q39" s="59"/>
      <c r="R39" s="60"/>
      <c r="S39" s="59"/>
      <c r="T39" s="59"/>
      <c r="U39" s="59"/>
      <c r="V39" s="59"/>
      <c r="W39" s="59"/>
      <c r="X39" s="59"/>
    </row>
    <row r="40" spans="1:24">
      <c r="A40" s="59"/>
      <c r="B40" s="59"/>
      <c r="C40" s="59"/>
      <c r="D40" s="59"/>
      <c r="E40" s="59"/>
      <c r="F40" s="59"/>
      <c r="G40" s="59"/>
      <c r="H40" s="59"/>
      <c r="I40" s="59"/>
      <c r="J40" s="59"/>
      <c r="K40" s="59"/>
      <c r="L40" s="59"/>
      <c r="M40" s="59"/>
      <c r="N40" s="59"/>
      <c r="O40" s="59"/>
      <c r="P40" s="59"/>
      <c r="Q40" s="59"/>
      <c r="R40" s="60"/>
      <c r="S40" s="59"/>
      <c r="T40" s="59"/>
      <c r="U40" s="59"/>
      <c r="V40" s="59"/>
      <c r="W40" s="59"/>
      <c r="X40" s="59"/>
    </row>
    <row r="41" spans="1:24">
      <c r="A41" s="59"/>
      <c r="B41" s="59"/>
      <c r="C41" s="59"/>
      <c r="D41" s="59"/>
      <c r="E41" s="59"/>
      <c r="F41" s="59"/>
      <c r="G41" s="59"/>
      <c r="H41" s="59"/>
      <c r="I41" s="59"/>
      <c r="J41" s="59"/>
      <c r="K41" s="59"/>
      <c r="L41" s="59"/>
      <c r="M41" s="59"/>
      <c r="N41" s="59"/>
      <c r="O41" s="59"/>
      <c r="P41" s="59"/>
      <c r="Q41" s="59"/>
      <c r="R41" s="60"/>
      <c r="S41" s="59"/>
      <c r="T41" s="59"/>
      <c r="U41" s="59"/>
      <c r="V41" s="59"/>
      <c r="W41" s="59"/>
      <c r="X41" s="59"/>
    </row>
    <row r="42" spans="1:24">
      <c r="A42" s="59"/>
      <c r="B42" s="59"/>
      <c r="C42" s="59"/>
      <c r="D42" s="59"/>
      <c r="E42" s="59"/>
      <c r="F42" s="59"/>
      <c r="G42" s="59"/>
      <c r="H42" s="59"/>
      <c r="I42" s="59"/>
      <c r="J42" s="59"/>
      <c r="K42" s="59"/>
      <c r="L42" s="59"/>
      <c r="M42" s="59"/>
      <c r="N42" s="59"/>
      <c r="O42" s="59"/>
      <c r="P42" s="59"/>
      <c r="Q42" s="59"/>
      <c r="R42" s="60"/>
      <c r="S42" s="59"/>
      <c r="T42" s="59"/>
      <c r="U42" s="59"/>
      <c r="V42" s="59"/>
      <c r="W42" s="59"/>
      <c r="X42" s="59"/>
    </row>
    <row r="43" spans="1:24">
      <c r="A43" s="59"/>
      <c r="B43" s="59"/>
      <c r="C43" s="59"/>
      <c r="D43" s="59"/>
      <c r="E43" s="59"/>
      <c r="F43" s="59"/>
      <c r="G43" s="59"/>
      <c r="H43" s="59"/>
      <c r="I43" s="59"/>
      <c r="J43" s="59"/>
      <c r="K43" s="59"/>
      <c r="L43" s="59"/>
      <c r="M43" s="59"/>
      <c r="N43" s="59"/>
      <c r="O43" s="59"/>
      <c r="P43" s="59"/>
      <c r="Q43" s="59"/>
      <c r="R43" s="60"/>
      <c r="S43" s="59"/>
      <c r="T43" s="59"/>
      <c r="U43" s="59"/>
      <c r="V43" s="59"/>
      <c r="W43" s="59"/>
      <c r="X43" s="59"/>
    </row>
    <row r="44" spans="1:24">
      <c r="A44" s="59"/>
      <c r="B44" s="59"/>
      <c r="C44" s="59"/>
      <c r="D44" s="59"/>
      <c r="E44" s="59"/>
      <c r="F44" s="59"/>
      <c r="G44" s="59"/>
      <c r="H44" s="59"/>
      <c r="I44" s="59"/>
      <c r="J44" s="59"/>
      <c r="K44" s="59"/>
      <c r="L44" s="59"/>
      <c r="M44" s="59"/>
      <c r="N44" s="59"/>
      <c r="O44" s="59"/>
      <c r="P44" s="59"/>
      <c r="Q44" s="59"/>
      <c r="R44" s="60"/>
      <c r="S44" s="59"/>
      <c r="T44" s="59"/>
      <c r="U44" s="59"/>
      <c r="V44" s="59"/>
      <c r="W44" s="59"/>
      <c r="X44" s="59"/>
    </row>
    <row r="45" spans="1:24">
      <c r="A45" s="59"/>
      <c r="B45" s="59"/>
      <c r="C45" s="59"/>
      <c r="D45" s="59"/>
      <c r="E45" s="59"/>
      <c r="F45" s="59"/>
      <c r="G45" s="59"/>
      <c r="H45" s="59"/>
      <c r="I45" s="59"/>
      <c r="J45" s="59"/>
      <c r="K45" s="59"/>
      <c r="L45" s="59"/>
      <c r="M45" s="59"/>
      <c r="N45" s="59"/>
      <c r="O45" s="59"/>
      <c r="P45" s="59"/>
      <c r="Q45" s="59"/>
      <c r="R45" s="60"/>
      <c r="S45" s="59"/>
      <c r="T45" s="59"/>
      <c r="U45" s="59"/>
      <c r="V45" s="59"/>
      <c r="W45" s="59"/>
      <c r="X45" s="59"/>
    </row>
    <row r="46" spans="1:24">
      <c r="A46" s="59"/>
      <c r="B46" s="59"/>
      <c r="C46" s="59"/>
      <c r="D46" s="59"/>
      <c r="E46" s="59"/>
      <c r="F46" s="59"/>
      <c r="G46" s="59"/>
      <c r="H46" s="59"/>
      <c r="I46" s="59"/>
      <c r="J46" s="59"/>
      <c r="K46" s="59"/>
      <c r="L46" s="59"/>
      <c r="M46" s="59"/>
      <c r="N46" s="59"/>
      <c r="O46" s="59"/>
      <c r="P46" s="59"/>
      <c r="Q46" s="59"/>
      <c r="R46" s="60"/>
      <c r="S46" s="59"/>
      <c r="T46" s="59"/>
      <c r="U46" s="59"/>
      <c r="V46" s="59"/>
      <c r="W46" s="59"/>
      <c r="X46" s="59"/>
    </row>
    <row r="47" spans="1:24">
      <c r="A47" s="59"/>
      <c r="B47" s="59"/>
      <c r="C47" s="59"/>
      <c r="D47" s="59"/>
      <c r="E47" s="59"/>
      <c r="F47" s="59"/>
      <c r="G47" s="59"/>
      <c r="H47" s="59"/>
      <c r="I47" s="59"/>
      <c r="J47" s="59"/>
      <c r="K47" s="59"/>
      <c r="L47" s="59"/>
      <c r="M47" s="59"/>
      <c r="N47" s="59"/>
      <c r="O47" s="59"/>
      <c r="P47" s="59"/>
      <c r="Q47" s="59"/>
      <c r="R47" s="60"/>
      <c r="S47" s="59"/>
      <c r="T47" s="59"/>
      <c r="U47" s="59"/>
      <c r="V47" s="59"/>
      <c r="W47" s="59"/>
      <c r="X47" s="59"/>
    </row>
    <row r="48" spans="1:24">
      <c r="A48" s="59"/>
      <c r="B48" s="59"/>
      <c r="C48" s="59"/>
      <c r="D48" s="59"/>
      <c r="E48" s="59"/>
      <c r="F48" s="59"/>
      <c r="G48" s="59"/>
      <c r="H48" s="59"/>
      <c r="I48" s="59"/>
      <c r="J48" s="59"/>
      <c r="K48" s="59"/>
      <c r="L48" s="59"/>
      <c r="M48" s="59"/>
      <c r="N48" s="59"/>
      <c r="O48" s="59"/>
      <c r="P48" s="59"/>
      <c r="Q48" s="59"/>
      <c r="R48" s="60"/>
      <c r="S48" s="59"/>
      <c r="T48" s="59"/>
      <c r="U48" s="59"/>
      <c r="V48" s="59"/>
      <c r="W48" s="59"/>
      <c r="X48" s="59"/>
    </row>
    <row r="49" spans="1:24">
      <c r="A49" s="59"/>
      <c r="B49" s="59"/>
      <c r="C49" s="59"/>
      <c r="D49" s="59"/>
      <c r="E49" s="59"/>
      <c r="F49" s="59"/>
      <c r="G49" s="59"/>
      <c r="H49" s="59"/>
      <c r="I49" s="59"/>
      <c r="J49" s="59"/>
      <c r="K49" s="59"/>
      <c r="L49" s="59"/>
      <c r="M49" s="59"/>
      <c r="N49" s="59"/>
      <c r="O49" s="59"/>
      <c r="P49" s="59"/>
      <c r="Q49" s="59"/>
      <c r="R49" s="60"/>
      <c r="S49" s="59"/>
      <c r="T49" s="59"/>
      <c r="U49" s="59"/>
      <c r="V49" s="59"/>
      <c r="W49" s="59"/>
      <c r="X49" s="59"/>
    </row>
    <row r="50" spans="1:24">
      <c r="A50" s="59"/>
      <c r="B50" s="59"/>
      <c r="C50" s="59"/>
      <c r="D50" s="59"/>
      <c r="E50" s="59"/>
      <c r="F50" s="59"/>
      <c r="G50" s="59"/>
      <c r="H50" s="59"/>
      <c r="I50" s="59"/>
      <c r="J50" s="59"/>
      <c r="K50" s="59"/>
      <c r="L50" s="59"/>
      <c r="M50" s="59"/>
      <c r="N50" s="59"/>
      <c r="O50" s="59"/>
      <c r="P50" s="59"/>
      <c r="Q50" s="59"/>
      <c r="R50" s="60"/>
      <c r="S50" s="59"/>
      <c r="T50" s="59"/>
      <c r="U50" s="59"/>
      <c r="V50" s="59"/>
      <c r="W50" s="59"/>
      <c r="X50" s="59"/>
    </row>
    <row r="51" spans="1:24">
      <c r="A51" s="59"/>
      <c r="B51" s="59"/>
      <c r="C51" s="59"/>
      <c r="D51" s="59"/>
      <c r="E51" s="59"/>
      <c r="F51" s="59"/>
      <c r="G51" s="59"/>
      <c r="H51" s="59"/>
      <c r="I51" s="59"/>
      <c r="J51" s="59"/>
      <c r="K51" s="59"/>
      <c r="L51" s="59"/>
      <c r="M51" s="59"/>
      <c r="N51" s="59"/>
      <c r="O51" s="59"/>
      <c r="P51" s="59"/>
      <c r="Q51" s="59"/>
      <c r="R51" s="60"/>
      <c r="S51" s="59"/>
      <c r="T51" s="59"/>
      <c r="U51" s="59"/>
      <c r="V51" s="59"/>
      <c r="W51" s="59"/>
      <c r="X51" s="59"/>
    </row>
    <row r="52" spans="1:24">
      <c r="A52" s="59"/>
      <c r="B52" s="59"/>
      <c r="C52" s="59"/>
      <c r="D52" s="59"/>
      <c r="E52" s="59"/>
      <c r="F52" s="59"/>
      <c r="G52" s="59"/>
      <c r="H52" s="59"/>
      <c r="I52" s="59"/>
      <c r="J52" s="59"/>
      <c r="K52" s="59"/>
      <c r="L52" s="59"/>
      <c r="M52" s="59"/>
      <c r="N52" s="59"/>
      <c r="O52" s="59"/>
      <c r="P52" s="59"/>
      <c r="Q52" s="59"/>
      <c r="R52" s="60"/>
      <c r="S52" s="59"/>
      <c r="T52" s="59"/>
      <c r="U52" s="59"/>
      <c r="V52" s="59"/>
      <c r="W52" s="59"/>
      <c r="X52" s="59"/>
    </row>
    <row r="53" spans="1:24">
      <c r="A53" s="59"/>
      <c r="B53" s="59"/>
      <c r="C53" s="59"/>
      <c r="D53" s="59"/>
      <c r="E53" s="59"/>
      <c r="F53" s="59"/>
      <c r="G53" s="59"/>
      <c r="H53" s="59"/>
      <c r="I53" s="59"/>
      <c r="J53" s="59"/>
      <c r="K53" s="59"/>
      <c r="L53" s="59"/>
      <c r="M53" s="59"/>
      <c r="N53" s="59"/>
      <c r="O53" s="59"/>
      <c r="P53" s="59"/>
      <c r="Q53" s="59"/>
      <c r="R53" s="60"/>
      <c r="S53" s="59"/>
      <c r="T53" s="59"/>
      <c r="U53" s="59"/>
      <c r="V53" s="59"/>
      <c r="W53" s="59"/>
      <c r="X53" s="59"/>
    </row>
    <row r="54" spans="1:24">
      <c r="A54" s="59"/>
      <c r="B54" s="59"/>
      <c r="C54" s="59"/>
      <c r="D54" s="59"/>
      <c r="E54" s="59"/>
      <c r="F54" s="59"/>
      <c r="G54" s="59"/>
      <c r="H54" s="59"/>
      <c r="I54" s="59"/>
      <c r="J54" s="59"/>
      <c r="K54" s="59"/>
      <c r="L54" s="59"/>
      <c r="M54" s="59"/>
      <c r="N54" s="59"/>
      <c r="O54" s="59"/>
      <c r="P54" s="59"/>
      <c r="Q54" s="59"/>
      <c r="R54" s="60"/>
      <c r="S54" s="59"/>
      <c r="T54" s="59"/>
      <c r="U54" s="59"/>
      <c r="V54" s="59"/>
      <c r="W54" s="59"/>
      <c r="X54" s="59"/>
    </row>
    <row r="55" spans="1:24">
      <c r="A55" s="59"/>
      <c r="B55" s="59"/>
      <c r="C55" s="59"/>
      <c r="D55" s="59"/>
      <c r="E55" s="59"/>
      <c r="F55" s="59"/>
      <c r="G55" s="59"/>
      <c r="H55" s="59"/>
      <c r="I55" s="59"/>
      <c r="J55" s="59"/>
      <c r="K55" s="59"/>
      <c r="L55" s="59"/>
      <c r="M55" s="59"/>
      <c r="N55" s="59"/>
      <c r="O55" s="59"/>
      <c r="P55" s="59"/>
      <c r="Q55" s="59"/>
      <c r="R55" s="60"/>
      <c r="S55" s="59"/>
      <c r="T55" s="59"/>
      <c r="U55" s="59"/>
      <c r="V55" s="59"/>
      <c r="W55" s="59"/>
      <c r="X55" s="59"/>
    </row>
    <row r="56" spans="1:24">
      <c r="A56" s="59"/>
      <c r="B56" s="59"/>
      <c r="C56" s="59"/>
      <c r="D56" s="59"/>
      <c r="E56" s="59"/>
      <c r="F56" s="59"/>
      <c r="G56" s="59"/>
      <c r="H56" s="59"/>
      <c r="I56" s="59"/>
      <c r="J56" s="59"/>
      <c r="K56" s="59"/>
      <c r="L56" s="59"/>
      <c r="M56" s="59"/>
      <c r="N56" s="59"/>
      <c r="O56" s="59"/>
      <c r="P56" s="59"/>
      <c r="Q56" s="59"/>
      <c r="R56" s="60"/>
      <c r="S56" s="59"/>
      <c r="T56" s="59"/>
      <c r="U56" s="59"/>
      <c r="V56" s="59"/>
      <c r="W56" s="59"/>
      <c r="X56" s="59"/>
    </row>
    <row r="57" spans="1:24">
      <c r="A57" s="59"/>
      <c r="B57" s="59"/>
      <c r="C57" s="59"/>
      <c r="D57" s="59"/>
      <c r="E57" s="59"/>
      <c r="F57" s="59"/>
      <c r="G57" s="59"/>
      <c r="H57" s="59"/>
      <c r="I57" s="59"/>
      <c r="J57" s="59"/>
      <c r="K57" s="59"/>
      <c r="L57" s="59"/>
      <c r="M57" s="59"/>
      <c r="N57" s="59"/>
      <c r="O57" s="59"/>
      <c r="P57" s="59"/>
      <c r="Q57" s="59"/>
      <c r="R57" s="60"/>
      <c r="S57" s="59"/>
      <c r="T57" s="59"/>
      <c r="U57" s="59"/>
      <c r="V57" s="59"/>
      <c r="W57" s="59"/>
      <c r="X57" s="59"/>
    </row>
    <row r="58" spans="1:24">
      <c r="A58" s="59"/>
      <c r="B58" s="59"/>
      <c r="C58" s="59"/>
      <c r="D58" s="59"/>
      <c r="E58" s="59"/>
      <c r="F58" s="59"/>
      <c r="G58" s="59"/>
      <c r="H58" s="59"/>
      <c r="I58" s="59"/>
      <c r="J58" s="59"/>
      <c r="K58" s="59"/>
      <c r="L58" s="59"/>
      <c r="M58" s="59"/>
      <c r="N58" s="59"/>
      <c r="O58" s="59"/>
      <c r="P58" s="59"/>
      <c r="Q58" s="59"/>
      <c r="R58" s="60"/>
      <c r="S58" s="59"/>
      <c r="T58" s="59"/>
      <c r="U58" s="59"/>
      <c r="V58" s="59"/>
      <c r="W58" s="59"/>
      <c r="X58" s="59"/>
    </row>
    <row r="59" spans="1:24">
      <c r="A59" s="59"/>
      <c r="B59" s="59"/>
      <c r="C59" s="59"/>
      <c r="D59" s="59"/>
      <c r="E59" s="59"/>
      <c r="F59" s="59"/>
      <c r="G59" s="59"/>
      <c r="H59" s="59"/>
      <c r="I59" s="59"/>
      <c r="J59" s="59"/>
      <c r="K59" s="59"/>
      <c r="L59" s="59"/>
      <c r="M59" s="59"/>
      <c r="N59" s="59"/>
      <c r="O59" s="59"/>
      <c r="P59" s="59"/>
      <c r="Q59" s="59"/>
      <c r="R59" s="60"/>
      <c r="S59" s="59"/>
      <c r="T59" s="59"/>
      <c r="U59" s="59"/>
      <c r="V59" s="59"/>
      <c r="W59" s="59"/>
      <c r="X59" s="59"/>
    </row>
    <row r="60" spans="1:24">
      <c r="A60" s="59"/>
      <c r="B60" s="59"/>
      <c r="C60" s="59"/>
      <c r="D60" s="59"/>
      <c r="E60" s="59"/>
      <c r="F60" s="59"/>
      <c r="G60" s="59"/>
      <c r="H60" s="59"/>
      <c r="I60" s="59"/>
      <c r="J60" s="59"/>
      <c r="K60" s="59"/>
      <c r="L60" s="59"/>
      <c r="M60" s="59"/>
      <c r="N60" s="59"/>
      <c r="O60" s="59"/>
      <c r="P60" s="59"/>
      <c r="Q60" s="59"/>
      <c r="R60" s="60"/>
      <c r="S60" s="59"/>
      <c r="T60" s="59"/>
      <c r="U60" s="59"/>
      <c r="V60" s="59"/>
      <c r="W60" s="59"/>
      <c r="X60" s="59"/>
    </row>
    <row r="61" spans="1:24">
      <c r="A61" s="59"/>
      <c r="B61" s="59"/>
      <c r="C61" s="59"/>
      <c r="D61" s="59"/>
      <c r="E61" s="59"/>
      <c r="F61" s="59"/>
      <c r="G61" s="59"/>
      <c r="H61" s="59"/>
      <c r="I61" s="59"/>
      <c r="J61" s="59"/>
      <c r="K61" s="59"/>
      <c r="L61" s="59"/>
      <c r="M61" s="59"/>
      <c r="N61" s="59"/>
      <c r="O61" s="59"/>
      <c r="P61" s="59"/>
      <c r="Q61" s="59"/>
      <c r="R61" s="60"/>
      <c r="S61" s="59"/>
      <c r="T61" s="59"/>
      <c r="U61" s="59"/>
      <c r="V61" s="59"/>
      <c r="W61" s="59"/>
      <c r="X61" s="59"/>
    </row>
    <row r="62" spans="1:24">
      <c r="A62" s="59"/>
      <c r="B62" s="59"/>
      <c r="C62" s="59"/>
      <c r="D62" s="59"/>
      <c r="E62" s="59"/>
      <c r="F62" s="59"/>
      <c r="G62" s="59"/>
      <c r="H62" s="59"/>
      <c r="I62" s="59"/>
      <c r="J62" s="59"/>
      <c r="K62" s="59"/>
      <c r="L62" s="59"/>
      <c r="M62" s="59"/>
      <c r="N62" s="59"/>
      <c r="O62" s="59"/>
      <c r="P62" s="59"/>
      <c r="Q62" s="59"/>
      <c r="R62" s="60"/>
      <c r="S62" s="59"/>
      <c r="T62" s="59"/>
      <c r="U62" s="59"/>
      <c r="V62" s="59"/>
      <c r="W62" s="59"/>
      <c r="X62" s="59"/>
    </row>
    <row r="63" spans="1:24">
      <c r="A63" s="59"/>
      <c r="B63" s="59"/>
      <c r="C63" s="59"/>
      <c r="D63" s="59"/>
      <c r="E63" s="59"/>
      <c r="F63" s="59"/>
      <c r="G63" s="59"/>
      <c r="H63" s="59"/>
      <c r="I63" s="59"/>
      <c r="J63" s="59"/>
      <c r="K63" s="59"/>
      <c r="L63" s="59"/>
      <c r="M63" s="59"/>
      <c r="N63" s="59"/>
      <c r="O63" s="59"/>
      <c r="P63" s="59"/>
      <c r="Q63" s="59"/>
      <c r="R63" s="60"/>
      <c r="S63" s="59"/>
      <c r="T63" s="59"/>
      <c r="U63" s="59"/>
      <c r="V63" s="59"/>
      <c r="W63" s="59"/>
      <c r="X63" s="59"/>
    </row>
    <row r="64" spans="1:24">
      <c r="A64" s="59"/>
      <c r="B64" s="59"/>
      <c r="C64" s="59"/>
      <c r="D64" s="59"/>
      <c r="E64" s="59"/>
      <c r="F64" s="59"/>
      <c r="G64" s="59"/>
      <c r="H64" s="59"/>
      <c r="I64" s="59"/>
      <c r="J64" s="59"/>
      <c r="K64" s="59"/>
      <c r="L64" s="59"/>
      <c r="M64" s="59"/>
      <c r="N64" s="59"/>
      <c r="O64" s="59"/>
      <c r="P64" s="59"/>
      <c r="Q64" s="59"/>
      <c r="R64" s="60"/>
      <c r="S64" s="59"/>
      <c r="T64" s="59"/>
      <c r="U64" s="59"/>
      <c r="V64" s="59"/>
      <c r="W64" s="59"/>
      <c r="X64" s="59"/>
    </row>
    <row r="65" spans="1:24">
      <c r="A65" s="59"/>
      <c r="B65" s="59"/>
      <c r="C65" s="59"/>
      <c r="D65" s="59"/>
      <c r="E65" s="59"/>
      <c r="F65" s="59"/>
      <c r="G65" s="59"/>
      <c r="H65" s="59"/>
      <c r="I65" s="59"/>
      <c r="J65" s="59"/>
      <c r="K65" s="59"/>
      <c r="L65" s="59"/>
      <c r="M65" s="59"/>
      <c r="N65" s="59"/>
      <c r="O65" s="59"/>
      <c r="P65" s="59"/>
      <c r="Q65" s="59"/>
      <c r="R65" s="60"/>
      <c r="S65" s="59"/>
      <c r="T65" s="59"/>
      <c r="U65" s="59"/>
      <c r="V65" s="59"/>
      <c r="W65" s="59"/>
      <c r="X65" s="59"/>
    </row>
  </sheetData>
  <sheetProtection algorithmName="SHA-512" hashValue="/8YXpwkk8wRiFCon9WPK1yiDsYa1JoY05GCCSFhwrEkByBI1i18wiZ+qfC77D92Q++YQ8P8PDFp1s5LH5L38CA==" saltValue="xnsNAvAEB+sE9kq9LCfKFQ==" spinCount="100000" sheet="1"/>
  <protectedRanges>
    <protectedRange sqref="E28:F30" name="Range15"/>
    <protectedRange sqref="L28:M30" name="Range14"/>
    <protectedRange sqref="O26:Q26" name="Range13"/>
    <protectedRange sqref="C6:E6 M8 M20 R18 R20 I6:O6 R7:R8 Q6:R6" name="Range1"/>
    <protectedRange sqref="R13:R14" name="Range3"/>
    <protectedRange sqref="R15:R17 F18:L18 G22:L22" name="Range5"/>
    <protectedRange sqref="I23" name="Range8"/>
    <protectedRange sqref="E25:G25" name="Range10"/>
    <protectedRange sqref="P25" name="Range11"/>
    <protectedRange sqref="O26:Q26" name="Range12"/>
    <protectedRange sqref="N18 N22" name="Range5_4"/>
  </protectedRanges>
  <mergeCells count="40">
    <mergeCell ref="B23:G23"/>
    <mergeCell ref="N23:Q23"/>
    <mergeCell ref="B24:E24"/>
    <mergeCell ref="N24:Q24"/>
    <mergeCell ref="T24:X24"/>
    <mergeCell ref="B19:G19"/>
    <mergeCell ref="G21:L21"/>
    <mergeCell ref="M21:M22"/>
    <mergeCell ref="N21:Q22"/>
    <mergeCell ref="R21:R22"/>
    <mergeCell ref="G22:L22"/>
    <mergeCell ref="B15:H15"/>
    <mergeCell ref="G17:L17"/>
    <mergeCell ref="M17:M18"/>
    <mergeCell ref="N17:Q18"/>
    <mergeCell ref="R17:R18"/>
    <mergeCell ref="G18:L18"/>
    <mergeCell ref="T13:X13"/>
    <mergeCell ref="B14:E14"/>
    <mergeCell ref="F14:G14"/>
    <mergeCell ref="H14:K14"/>
    <mergeCell ref="L14:M14"/>
    <mergeCell ref="N14:Q14"/>
    <mergeCell ref="T14:X14"/>
    <mergeCell ref="B13:E13"/>
    <mergeCell ref="F13:G13"/>
    <mergeCell ref="H13:K13"/>
    <mergeCell ref="L13:M13"/>
    <mergeCell ref="N13:Q13"/>
    <mergeCell ref="N10:Q10"/>
    <mergeCell ref="T10:X10"/>
    <mergeCell ref="B12:E12"/>
    <mergeCell ref="F12:K12"/>
    <mergeCell ref="L12:Q12"/>
    <mergeCell ref="N9:Q9"/>
    <mergeCell ref="B4:Q4"/>
    <mergeCell ref="B6:E6"/>
    <mergeCell ref="N6:Q6"/>
    <mergeCell ref="B7:E7"/>
    <mergeCell ref="N8:Q8"/>
  </mergeCells>
  <dataValidations count="1">
    <dataValidation type="list" allowBlank="1" showErrorMessage="1" errorTitle="Incorrect input" error="Please click the arrow and select your road type" prompt="Select your road type" sqref="N65533 WVV983037 WLZ983037 WCD983037 VSH983037 VIL983037 UYP983037 UOT983037 UEX983037 TVB983037 TLF983037 TBJ983037 SRN983037 SHR983037 RXV983037 RNZ983037 RED983037 QUH983037 QKL983037 QAP983037 PQT983037 PGX983037 OXB983037 ONF983037 ODJ983037 NTN983037 NJR983037 MZV983037 MPZ983037 MGD983037 LWH983037 LML983037 LCP983037 KST983037 KIX983037 JZB983037 JPF983037 JFJ983037 IVN983037 ILR983037 IBV983037 HRZ983037 HID983037 GYH983037 GOL983037 GEP983037 FUT983037 FKX983037 FBB983037 ERF983037 EHJ983037 DXN983037 DNR983037 DDV983037 CTZ983037 CKD983037 CAH983037 BQL983037 BGP983037 AWT983037 AMX983037 ADB983037 TF983037 JJ983037 N983037 WVV917501 WLZ917501 WCD917501 VSH917501 VIL917501 UYP917501 UOT917501 UEX917501 TVB917501 TLF917501 TBJ917501 SRN917501 SHR917501 RXV917501 RNZ917501 RED917501 QUH917501 QKL917501 QAP917501 PQT917501 PGX917501 OXB917501 ONF917501 ODJ917501 NTN917501 NJR917501 MZV917501 MPZ917501 MGD917501 LWH917501 LML917501 LCP917501 KST917501 KIX917501 JZB917501 JPF917501 JFJ917501 IVN917501 ILR917501 IBV917501 HRZ917501 HID917501 GYH917501 GOL917501 GEP917501 FUT917501 FKX917501 FBB917501 ERF917501 EHJ917501 DXN917501 DNR917501 DDV917501 CTZ917501 CKD917501 CAH917501 BQL917501 BGP917501 AWT917501 AMX917501 ADB917501 TF917501 JJ917501 N917501 WVV851965 WLZ851965 WCD851965 VSH851965 VIL851965 UYP851965 UOT851965 UEX851965 TVB851965 TLF851965 TBJ851965 SRN851965 SHR851965 RXV851965 RNZ851965 RED851965 QUH851965 QKL851965 QAP851965 PQT851965 PGX851965 OXB851965 ONF851965 ODJ851965 NTN851965 NJR851965 MZV851965 MPZ851965 MGD851965 LWH851965 LML851965 LCP851965 KST851965 KIX851965 JZB851965 JPF851965 JFJ851965 IVN851965 ILR851965 IBV851965 HRZ851965 HID851965 GYH851965 GOL851965 GEP851965 FUT851965 FKX851965 FBB851965 ERF851965 EHJ851965 DXN851965 DNR851965 DDV851965 CTZ851965 CKD851965 CAH851965 BQL851965 BGP851965 AWT851965 AMX851965 ADB851965 TF851965 JJ851965 N851965 WVV786429 WLZ786429 WCD786429 VSH786429 VIL786429 UYP786429 UOT786429 UEX786429 TVB786429 TLF786429 TBJ786429 SRN786429 SHR786429 RXV786429 RNZ786429 RED786429 QUH786429 QKL786429 QAP786429 PQT786429 PGX786429 OXB786429 ONF786429 ODJ786429 NTN786429 NJR786429 MZV786429 MPZ786429 MGD786429 LWH786429 LML786429 LCP786429 KST786429 KIX786429 JZB786429 JPF786429 JFJ786429 IVN786429 ILR786429 IBV786429 HRZ786429 HID786429 GYH786429 GOL786429 GEP786429 FUT786429 FKX786429 FBB786429 ERF786429 EHJ786429 DXN786429 DNR786429 DDV786429 CTZ786429 CKD786429 CAH786429 BQL786429 BGP786429 AWT786429 AMX786429 ADB786429 TF786429 JJ786429 N786429 WVV720893 WLZ720893 WCD720893 VSH720893 VIL720893 UYP720893 UOT720893 UEX720893 TVB720893 TLF720893 TBJ720893 SRN720893 SHR720893 RXV720893 RNZ720893 RED720893 QUH720893 QKL720893 QAP720893 PQT720893 PGX720893 OXB720893 ONF720893 ODJ720893 NTN720893 NJR720893 MZV720893 MPZ720893 MGD720893 LWH720893 LML720893 LCP720893 KST720893 KIX720893 JZB720893 JPF720893 JFJ720893 IVN720893 ILR720893 IBV720893 HRZ720893 HID720893 GYH720893 GOL720893 GEP720893 FUT720893 FKX720893 FBB720893 ERF720893 EHJ720893 DXN720893 DNR720893 DDV720893 CTZ720893 CKD720893 CAH720893 BQL720893 BGP720893 AWT720893 AMX720893 ADB720893 TF720893 JJ720893 N720893 WVV655357 WLZ655357 WCD655357 VSH655357 VIL655357 UYP655357 UOT655357 UEX655357 TVB655357 TLF655357 TBJ655357 SRN655357 SHR655357 RXV655357 RNZ655357 RED655357 QUH655357 QKL655357 QAP655357 PQT655357 PGX655357 OXB655357 ONF655357 ODJ655357 NTN655357 NJR655357 MZV655357 MPZ655357 MGD655357 LWH655357 LML655357 LCP655357 KST655357 KIX655357 JZB655357 JPF655357 JFJ655357 IVN655357 ILR655357 IBV655357 HRZ655357 HID655357 GYH655357 GOL655357 GEP655357 FUT655357 FKX655357 FBB655357 ERF655357 EHJ655357 DXN655357 DNR655357 DDV655357 CTZ655357 CKD655357 CAH655357 BQL655357 BGP655357 AWT655357 AMX655357 ADB655357 TF655357 JJ655357 N655357 WVV589821 WLZ589821 WCD589821 VSH589821 VIL589821 UYP589821 UOT589821 UEX589821 TVB589821 TLF589821 TBJ589821 SRN589821 SHR589821 RXV589821 RNZ589821 RED589821 QUH589821 QKL589821 QAP589821 PQT589821 PGX589821 OXB589821 ONF589821 ODJ589821 NTN589821 NJR589821 MZV589821 MPZ589821 MGD589821 LWH589821 LML589821 LCP589821 KST589821 KIX589821 JZB589821 JPF589821 JFJ589821 IVN589821 ILR589821 IBV589821 HRZ589821 HID589821 GYH589821 GOL589821 GEP589821 FUT589821 FKX589821 FBB589821 ERF589821 EHJ589821 DXN589821 DNR589821 DDV589821 CTZ589821 CKD589821 CAH589821 BQL589821 BGP589821 AWT589821 AMX589821 ADB589821 TF589821 JJ589821 N589821 WVV524285 WLZ524285 WCD524285 VSH524285 VIL524285 UYP524285 UOT524285 UEX524285 TVB524285 TLF524285 TBJ524285 SRN524285 SHR524285 RXV524285 RNZ524285 RED524285 QUH524285 QKL524285 QAP524285 PQT524285 PGX524285 OXB524285 ONF524285 ODJ524285 NTN524285 NJR524285 MZV524285 MPZ524285 MGD524285 LWH524285 LML524285 LCP524285 KST524285 KIX524285 JZB524285 JPF524285 JFJ524285 IVN524285 ILR524285 IBV524285 HRZ524285 HID524285 GYH524285 GOL524285 GEP524285 FUT524285 FKX524285 FBB524285 ERF524285 EHJ524285 DXN524285 DNR524285 DDV524285 CTZ524285 CKD524285 CAH524285 BQL524285 BGP524285 AWT524285 AMX524285 ADB524285 TF524285 JJ524285 N524285 WVV458749 WLZ458749 WCD458749 VSH458749 VIL458749 UYP458749 UOT458749 UEX458749 TVB458749 TLF458749 TBJ458749 SRN458749 SHR458749 RXV458749 RNZ458749 RED458749 QUH458749 QKL458749 QAP458749 PQT458749 PGX458749 OXB458749 ONF458749 ODJ458749 NTN458749 NJR458749 MZV458749 MPZ458749 MGD458749 LWH458749 LML458749 LCP458749 KST458749 KIX458749 JZB458749 JPF458749 JFJ458749 IVN458749 ILR458749 IBV458749 HRZ458749 HID458749 GYH458749 GOL458749 GEP458749 FUT458749 FKX458749 FBB458749 ERF458749 EHJ458749 DXN458749 DNR458749 DDV458749 CTZ458749 CKD458749 CAH458749 BQL458749 BGP458749 AWT458749 AMX458749 ADB458749 TF458749 JJ458749 N458749 WVV393213 WLZ393213 WCD393213 VSH393213 VIL393213 UYP393213 UOT393213 UEX393213 TVB393213 TLF393213 TBJ393213 SRN393213 SHR393213 RXV393213 RNZ393213 RED393213 QUH393213 QKL393213 QAP393213 PQT393213 PGX393213 OXB393213 ONF393213 ODJ393213 NTN393213 NJR393213 MZV393213 MPZ393213 MGD393213 LWH393213 LML393213 LCP393213 KST393213 KIX393213 JZB393213 JPF393213 JFJ393213 IVN393213 ILR393213 IBV393213 HRZ393213 HID393213 GYH393213 GOL393213 GEP393213 FUT393213 FKX393213 FBB393213 ERF393213 EHJ393213 DXN393213 DNR393213 DDV393213 CTZ393213 CKD393213 CAH393213 BQL393213 BGP393213 AWT393213 AMX393213 ADB393213 TF393213 JJ393213 N393213 WVV327677 WLZ327677 WCD327677 VSH327677 VIL327677 UYP327677 UOT327677 UEX327677 TVB327677 TLF327677 TBJ327677 SRN327677 SHR327677 RXV327677 RNZ327677 RED327677 QUH327677 QKL327677 QAP327677 PQT327677 PGX327677 OXB327677 ONF327677 ODJ327677 NTN327677 NJR327677 MZV327677 MPZ327677 MGD327677 LWH327677 LML327677 LCP327677 KST327677 KIX327677 JZB327677 JPF327677 JFJ327677 IVN327677 ILR327677 IBV327677 HRZ327677 HID327677 GYH327677 GOL327677 GEP327677 FUT327677 FKX327677 FBB327677 ERF327677 EHJ327677 DXN327677 DNR327677 DDV327677 CTZ327677 CKD327677 CAH327677 BQL327677 BGP327677 AWT327677 AMX327677 ADB327677 TF327677 JJ327677 N327677 WVV262141 WLZ262141 WCD262141 VSH262141 VIL262141 UYP262141 UOT262141 UEX262141 TVB262141 TLF262141 TBJ262141 SRN262141 SHR262141 RXV262141 RNZ262141 RED262141 QUH262141 QKL262141 QAP262141 PQT262141 PGX262141 OXB262141 ONF262141 ODJ262141 NTN262141 NJR262141 MZV262141 MPZ262141 MGD262141 LWH262141 LML262141 LCP262141 KST262141 KIX262141 JZB262141 JPF262141 JFJ262141 IVN262141 ILR262141 IBV262141 HRZ262141 HID262141 GYH262141 GOL262141 GEP262141 FUT262141 FKX262141 FBB262141 ERF262141 EHJ262141 DXN262141 DNR262141 DDV262141 CTZ262141 CKD262141 CAH262141 BQL262141 BGP262141 AWT262141 AMX262141 ADB262141 TF262141 JJ262141 N262141 WVV196605 WLZ196605 WCD196605 VSH196605 VIL196605 UYP196605 UOT196605 UEX196605 TVB196605 TLF196605 TBJ196605 SRN196605 SHR196605 RXV196605 RNZ196605 RED196605 QUH196605 QKL196605 QAP196605 PQT196605 PGX196605 OXB196605 ONF196605 ODJ196605 NTN196605 NJR196605 MZV196605 MPZ196605 MGD196605 LWH196605 LML196605 LCP196605 KST196605 KIX196605 JZB196605 JPF196605 JFJ196605 IVN196605 ILR196605 IBV196605 HRZ196605 HID196605 GYH196605 GOL196605 GEP196605 FUT196605 FKX196605 FBB196605 ERF196605 EHJ196605 DXN196605 DNR196605 DDV196605 CTZ196605 CKD196605 CAH196605 BQL196605 BGP196605 AWT196605 AMX196605 ADB196605 TF196605 JJ196605 N196605 WVV131069 WLZ131069 WCD131069 VSH131069 VIL131069 UYP131069 UOT131069 UEX131069 TVB131069 TLF131069 TBJ131069 SRN131069 SHR131069 RXV131069 RNZ131069 RED131069 QUH131069 QKL131069 QAP131069 PQT131069 PGX131069 OXB131069 ONF131069 ODJ131069 NTN131069 NJR131069 MZV131069 MPZ131069 MGD131069 LWH131069 LML131069 LCP131069 KST131069 KIX131069 JZB131069 JPF131069 JFJ131069 IVN131069 ILR131069 IBV131069 HRZ131069 HID131069 GYH131069 GOL131069 GEP131069 FUT131069 FKX131069 FBB131069 ERF131069 EHJ131069 DXN131069 DNR131069 DDV131069 CTZ131069 CKD131069 CAH131069 BQL131069 BGP131069 AWT131069 AMX131069 ADB131069 TF131069 JJ131069 N131069 WVV65533 WLZ65533 WCD65533 VSH65533 VIL65533 UYP65533 UOT65533 UEX65533 TVB65533 TLF65533 TBJ65533 SRN65533 SHR65533 RXV65533 RNZ65533 RED65533 QUH65533 QKL65533 QAP65533 PQT65533 PGX65533 OXB65533 ONF65533 ODJ65533 NTN65533 NJR65533 MZV65533 MPZ65533 MGD65533 LWH65533 LML65533 LCP65533 KST65533 KIX65533 JZB65533 JPF65533 JFJ65533 IVN65533 ILR65533 IBV65533 HRZ65533 HID65533 GYH65533 GOL65533 GEP65533 FUT65533 FKX65533 FBB65533 ERF65533 EHJ65533 DXN65533 DNR65533 DDV65533 CTZ65533 CKD65533 CAH65533 BQL65533 BGP65533 AWT65533 AMX65533 ADB65533 TF65533 JJ65533 WVV6 WLZ6 WCD6 VSH6 VIL6 UYP6 UOT6 UEX6 TVB6 TLF6 TBJ6 SRN6 SHR6 RXV6 RNZ6 RED6 QUH6 QKL6 QAP6 PQT6 PGX6 OXB6 ONF6 ODJ6 NTN6 NJR6 MZV6 MPZ6 MGD6 LWH6 LML6 LCP6 KST6 KIX6 JZB6 JPF6 JFJ6 IVN6 ILR6 IBV6 HRZ6 HID6 GYH6 GOL6 GEP6 FUT6 FKX6 FBB6 ERF6 EHJ6 DXN6 DNR6 DDV6 CTZ6 CKD6 CAH6 BQL6 BGP6 AWT6 AMX6 ADB6 TF6 JJ6" xr:uid="{519B90C0-9600-4FF0-8627-16E1BCEC002A}">
      <formula1>#REF!</formula1>
    </dataValidation>
  </dataValidations>
  <hyperlinks>
    <hyperlink ref="T10" r:id="rId1" display="https://www.nzta.govt.nz/assets/resources/economic-evaluation-manual/economic-evaluation-manual/docs/eem-manual-2016.pdf" xr:uid="{E1DC1319-3E09-443A-8A48-55E8E15530AD}"/>
    <hyperlink ref="T10:X10" r:id="rId2" display="MBCM Manual - Table A4.3" xr:uid="{8F06EAEA-21F3-491E-92C0-F0D3EABD125B}"/>
  </hyperlinks>
  <printOptions horizontalCentered="1"/>
  <pageMargins left="0.74803149606299213" right="0.70866141732283472" top="0.74803149606299213" bottom="0.9055118110236221" header="0.39370078740157483" footer="0.39370078740157483"/>
  <pageSetup paperSize="9" scale="95" orientation="portrait" r:id="rId3"/>
  <headerFooter scaleWithDoc="0" alignWithMargins="0">
    <oddHeader xml:space="preserve">&amp;L&amp;"-,Regular"&amp;8&amp;F&amp;R&amp;"-,Regular"&amp;8&amp;A
______________________________________________________________________________________________
</oddHeader>
    <oddFooter>&amp;L&amp;"-,Regular"&amp;8______________________________________________________________________________________________
NZ Transport Agency’s Economic evaluation manual 
Effective from Jul 2013</oddFooter>
  </headerFooter>
  <rowBreaks count="1" manualBreakCount="1">
    <brk id="32" max="16383" man="1"/>
  </rowBreaks>
  <legacyDrawing r:id="rId4"/>
  <extLst>
    <ext xmlns:x14="http://schemas.microsoft.com/office/spreadsheetml/2009/9/main" uri="{CCE6A557-97BC-4b89-ADB6-D9C93CAAB3DF}">
      <x14:dataValidations xmlns:xm="http://schemas.microsoft.com/office/excel/2006/main" count="1">
        <x14:dataValidation type="list" allowBlank="1" showErrorMessage="1" errorTitle="Incorrect input" error="Please click the arrow and select your road type" prompt="Select your road type" xr:uid="{20C79B23-AEAB-4420-814C-98094CDF3044}">
          <x14:formula1>
            <xm:f>Tables!$N$18:$N$21</xm:f>
          </x14:formula1>
          <xm:sqref>N6:Q6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76BDD-DD67-40F3-BE3A-181C2F0A4E43}">
  <sheetPr codeName="Sheet11">
    <pageSetUpPr fitToPage="1"/>
  </sheetPr>
  <dimension ref="A1:X81"/>
  <sheetViews>
    <sheetView zoomScaleNormal="100" workbookViewId="0">
      <selection activeCell="T20" sqref="T20"/>
    </sheetView>
  </sheetViews>
  <sheetFormatPr defaultRowHeight="13.5"/>
  <cols>
    <col min="1" max="1" width="2.5" style="69" customWidth="1"/>
    <col min="2" max="2" width="12" style="69" customWidth="1"/>
    <col min="3" max="3" width="5.6640625" style="69" customWidth="1"/>
    <col min="4" max="4" width="4.5" style="69" customWidth="1"/>
    <col min="5" max="5" width="7" style="69" customWidth="1"/>
    <col min="6" max="6" width="8.6640625" style="69" customWidth="1"/>
    <col min="7" max="7" width="6" style="69" customWidth="1"/>
    <col min="8" max="17" width="4.5" style="69" customWidth="1"/>
    <col min="18" max="18" width="3.1640625" style="69" customWidth="1"/>
    <col min="19" max="19" width="9.25" style="69" customWidth="1"/>
    <col min="20" max="20" width="26.75" style="69" customWidth="1"/>
    <col min="21" max="23" width="9.25" style="69" customWidth="1"/>
    <col min="24" max="24" width="13.6640625" style="69" customWidth="1"/>
    <col min="25" max="256" width="9" style="69"/>
    <col min="257" max="257" width="2.5" style="69" customWidth="1"/>
    <col min="258" max="258" width="6" style="69" customWidth="1"/>
    <col min="259" max="259" width="5.6640625" style="69" customWidth="1"/>
    <col min="260" max="260" width="4.5" style="69" customWidth="1"/>
    <col min="261" max="261" width="7" style="69" customWidth="1"/>
    <col min="262" max="262" width="5.6640625" style="69" customWidth="1"/>
    <col min="263" max="273" width="4.5" style="69" customWidth="1"/>
    <col min="274" max="274" width="3.1640625" style="69" customWidth="1"/>
    <col min="275" max="275" width="9.25" style="69" customWidth="1"/>
    <col min="276" max="276" width="26.75" style="69" customWidth="1"/>
    <col min="277" max="279" width="9.25" style="69" customWidth="1"/>
    <col min="280" max="280" width="13.6640625" style="69" customWidth="1"/>
    <col min="281" max="512" width="9" style="69"/>
    <col min="513" max="513" width="2.5" style="69" customWidth="1"/>
    <col min="514" max="514" width="6" style="69" customWidth="1"/>
    <col min="515" max="515" width="5.6640625" style="69" customWidth="1"/>
    <col min="516" max="516" width="4.5" style="69" customWidth="1"/>
    <col min="517" max="517" width="7" style="69" customWidth="1"/>
    <col min="518" max="518" width="5.6640625" style="69" customWidth="1"/>
    <col min="519" max="529" width="4.5" style="69" customWidth="1"/>
    <col min="530" max="530" width="3.1640625" style="69" customWidth="1"/>
    <col min="531" max="531" width="9.25" style="69" customWidth="1"/>
    <col min="532" max="532" width="26.75" style="69" customWidth="1"/>
    <col min="533" max="535" width="9.25" style="69" customWidth="1"/>
    <col min="536" max="536" width="13.6640625" style="69" customWidth="1"/>
    <col min="537" max="768" width="9" style="69"/>
    <col min="769" max="769" width="2.5" style="69" customWidth="1"/>
    <col min="770" max="770" width="6" style="69" customWidth="1"/>
    <col min="771" max="771" width="5.6640625" style="69" customWidth="1"/>
    <col min="772" max="772" width="4.5" style="69" customWidth="1"/>
    <col min="773" max="773" width="7" style="69" customWidth="1"/>
    <col min="774" max="774" width="5.6640625" style="69" customWidth="1"/>
    <col min="775" max="785" width="4.5" style="69" customWidth="1"/>
    <col min="786" max="786" width="3.1640625" style="69" customWidth="1"/>
    <col min="787" max="787" width="9.25" style="69" customWidth="1"/>
    <col min="788" max="788" width="26.75" style="69" customWidth="1"/>
    <col min="789" max="791" width="9.25" style="69" customWidth="1"/>
    <col min="792" max="792" width="13.6640625" style="69" customWidth="1"/>
    <col min="793" max="1024" width="9" style="69"/>
    <col min="1025" max="1025" width="2.5" style="69" customWidth="1"/>
    <col min="1026" max="1026" width="6" style="69" customWidth="1"/>
    <col min="1027" max="1027" width="5.6640625" style="69" customWidth="1"/>
    <col min="1028" max="1028" width="4.5" style="69" customWidth="1"/>
    <col min="1029" max="1029" width="7" style="69" customWidth="1"/>
    <col min="1030" max="1030" width="5.6640625" style="69" customWidth="1"/>
    <col min="1031" max="1041" width="4.5" style="69" customWidth="1"/>
    <col min="1042" max="1042" width="3.1640625" style="69" customWidth="1"/>
    <col min="1043" max="1043" width="9.25" style="69" customWidth="1"/>
    <col min="1044" max="1044" width="26.75" style="69" customWidth="1"/>
    <col min="1045" max="1047" width="9.25" style="69" customWidth="1"/>
    <col min="1048" max="1048" width="13.6640625" style="69" customWidth="1"/>
    <col min="1049" max="1280" width="9" style="69"/>
    <col min="1281" max="1281" width="2.5" style="69" customWidth="1"/>
    <col min="1282" max="1282" width="6" style="69" customWidth="1"/>
    <col min="1283" max="1283" width="5.6640625" style="69" customWidth="1"/>
    <col min="1284" max="1284" width="4.5" style="69" customWidth="1"/>
    <col min="1285" max="1285" width="7" style="69" customWidth="1"/>
    <col min="1286" max="1286" width="5.6640625" style="69" customWidth="1"/>
    <col min="1287" max="1297" width="4.5" style="69" customWidth="1"/>
    <col min="1298" max="1298" width="3.1640625" style="69" customWidth="1"/>
    <col min="1299" max="1299" width="9.25" style="69" customWidth="1"/>
    <col min="1300" max="1300" width="26.75" style="69" customWidth="1"/>
    <col min="1301" max="1303" width="9.25" style="69" customWidth="1"/>
    <col min="1304" max="1304" width="13.6640625" style="69" customWidth="1"/>
    <col min="1305" max="1536" width="9" style="69"/>
    <col min="1537" max="1537" width="2.5" style="69" customWidth="1"/>
    <col min="1538" max="1538" width="6" style="69" customWidth="1"/>
    <col min="1539" max="1539" width="5.6640625" style="69" customWidth="1"/>
    <col min="1540" max="1540" width="4.5" style="69" customWidth="1"/>
    <col min="1541" max="1541" width="7" style="69" customWidth="1"/>
    <col min="1542" max="1542" width="5.6640625" style="69" customWidth="1"/>
    <col min="1543" max="1553" width="4.5" style="69" customWidth="1"/>
    <col min="1554" max="1554" width="3.1640625" style="69" customWidth="1"/>
    <col min="1555" max="1555" width="9.25" style="69" customWidth="1"/>
    <col min="1556" max="1556" width="26.75" style="69" customWidth="1"/>
    <col min="1557" max="1559" width="9.25" style="69" customWidth="1"/>
    <col min="1560" max="1560" width="13.6640625" style="69" customWidth="1"/>
    <col min="1561" max="1792" width="9" style="69"/>
    <col min="1793" max="1793" width="2.5" style="69" customWidth="1"/>
    <col min="1794" max="1794" width="6" style="69" customWidth="1"/>
    <col min="1795" max="1795" width="5.6640625" style="69" customWidth="1"/>
    <col min="1796" max="1796" width="4.5" style="69" customWidth="1"/>
    <col min="1797" max="1797" width="7" style="69" customWidth="1"/>
    <col min="1798" max="1798" width="5.6640625" style="69" customWidth="1"/>
    <col min="1799" max="1809" width="4.5" style="69" customWidth="1"/>
    <col min="1810" max="1810" width="3.1640625" style="69" customWidth="1"/>
    <col min="1811" max="1811" width="9.25" style="69" customWidth="1"/>
    <col min="1812" max="1812" width="26.75" style="69" customWidth="1"/>
    <col min="1813" max="1815" width="9.25" style="69" customWidth="1"/>
    <col min="1816" max="1816" width="13.6640625" style="69" customWidth="1"/>
    <col min="1817" max="2048" width="9" style="69"/>
    <col min="2049" max="2049" width="2.5" style="69" customWidth="1"/>
    <col min="2050" max="2050" width="6" style="69" customWidth="1"/>
    <col min="2051" max="2051" width="5.6640625" style="69" customWidth="1"/>
    <col min="2052" max="2052" width="4.5" style="69" customWidth="1"/>
    <col min="2053" max="2053" width="7" style="69" customWidth="1"/>
    <col min="2054" max="2054" width="5.6640625" style="69" customWidth="1"/>
    <col min="2055" max="2065" width="4.5" style="69" customWidth="1"/>
    <col min="2066" max="2066" width="3.1640625" style="69" customWidth="1"/>
    <col min="2067" max="2067" width="9.25" style="69" customWidth="1"/>
    <col min="2068" max="2068" width="26.75" style="69" customWidth="1"/>
    <col min="2069" max="2071" width="9.25" style="69" customWidth="1"/>
    <col min="2072" max="2072" width="13.6640625" style="69" customWidth="1"/>
    <col min="2073" max="2304" width="9" style="69"/>
    <col min="2305" max="2305" width="2.5" style="69" customWidth="1"/>
    <col min="2306" max="2306" width="6" style="69" customWidth="1"/>
    <col min="2307" max="2307" width="5.6640625" style="69" customWidth="1"/>
    <col min="2308" max="2308" width="4.5" style="69" customWidth="1"/>
    <col min="2309" max="2309" width="7" style="69" customWidth="1"/>
    <col min="2310" max="2310" width="5.6640625" style="69" customWidth="1"/>
    <col min="2311" max="2321" width="4.5" style="69" customWidth="1"/>
    <col min="2322" max="2322" width="3.1640625" style="69" customWidth="1"/>
    <col min="2323" max="2323" width="9.25" style="69" customWidth="1"/>
    <col min="2324" max="2324" width="26.75" style="69" customWidth="1"/>
    <col min="2325" max="2327" width="9.25" style="69" customWidth="1"/>
    <col min="2328" max="2328" width="13.6640625" style="69" customWidth="1"/>
    <col min="2329" max="2560" width="9" style="69"/>
    <col min="2561" max="2561" width="2.5" style="69" customWidth="1"/>
    <col min="2562" max="2562" width="6" style="69" customWidth="1"/>
    <col min="2563" max="2563" width="5.6640625" style="69" customWidth="1"/>
    <col min="2564" max="2564" width="4.5" style="69" customWidth="1"/>
    <col min="2565" max="2565" width="7" style="69" customWidth="1"/>
    <col min="2566" max="2566" width="5.6640625" style="69" customWidth="1"/>
    <col min="2567" max="2577" width="4.5" style="69" customWidth="1"/>
    <col min="2578" max="2578" width="3.1640625" style="69" customWidth="1"/>
    <col min="2579" max="2579" width="9.25" style="69" customWidth="1"/>
    <col min="2580" max="2580" width="26.75" style="69" customWidth="1"/>
    <col min="2581" max="2583" width="9.25" style="69" customWidth="1"/>
    <col min="2584" max="2584" width="13.6640625" style="69" customWidth="1"/>
    <col min="2585" max="2816" width="9" style="69"/>
    <col min="2817" max="2817" width="2.5" style="69" customWidth="1"/>
    <col min="2818" max="2818" width="6" style="69" customWidth="1"/>
    <col min="2819" max="2819" width="5.6640625" style="69" customWidth="1"/>
    <col min="2820" max="2820" width="4.5" style="69" customWidth="1"/>
    <col min="2821" max="2821" width="7" style="69" customWidth="1"/>
    <col min="2822" max="2822" width="5.6640625" style="69" customWidth="1"/>
    <col min="2823" max="2833" width="4.5" style="69" customWidth="1"/>
    <col min="2834" max="2834" width="3.1640625" style="69" customWidth="1"/>
    <col min="2835" max="2835" width="9.25" style="69" customWidth="1"/>
    <col min="2836" max="2836" width="26.75" style="69" customWidth="1"/>
    <col min="2837" max="2839" width="9.25" style="69" customWidth="1"/>
    <col min="2840" max="2840" width="13.6640625" style="69" customWidth="1"/>
    <col min="2841" max="3072" width="9" style="69"/>
    <col min="3073" max="3073" width="2.5" style="69" customWidth="1"/>
    <col min="3074" max="3074" width="6" style="69" customWidth="1"/>
    <col min="3075" max="3075" width="5.6640625" style="69" customWidth="1"/>
    <col min="3076" max="3076" width="4.5" style="69" customWidth="1"/>
    <col min="3077" max="3077" width="7" style="69" customWidth="1"/>
    <col min="3078" max="3078" width="5.6640625" style="69" customWidth="1"/>
    <col min="3079" max="3089" width="4.5" style="69" customWidth="1"/>
    <col min="3090" max="3090" width="3.1640625" style="69" customWidth="1"/>
    <col min="3091" max="3091" width="9.25" style="69" customWidth="1"/>
    <col min="3092" max="3092" width="26.75" style="69" customWidth="1"/>
    <col min="3093" max="3095" width="9.25" style="69" customWidth="1"/>
    <col min="3096" max="3096" width="13.6640625" style="69" customWidth="1"/>
    <col min="3097" max="3328" width="9" style="69"/>
    <col min="3329" max="3329" width="2.5" style="69" customWidth="1"/>
    <col min="3330" max="3330" width="6" style="69" customWidth="1"/>
    <col min="3331" max="3331" width="5.6640625" style="69" customWidth="1"/>
    <col min="3332" max="3332" width="4.5" style="69" customWidth="1"/>
    <col min="3333" max="3333" width="7" style="69" customWidth="1"/>
    <col min="3334" max="3334" width="5.6640625" style="69" customWidth="1"/>
    <col min="3335" max="3345" width="4.5" style="69" customWidth="1"/>
    <col min="3346" max="3346" width="3.1640625" style="69" customWidth="1"/>
    <col min="3347" max="3347" width="9.25" style="69" customWidth="1"/>
    <col min="3348" max="3348" width="26.75" style="69" customWidth="1"/>
    <col min="3349" max="3351" width="9.25" style="69" customWidth="1"/>
    <col min="3352" max="3352" width="13.6640625" style="69" customWidth="1"/>
    <col min="3353" max="3584" width="9" style="69"/>
    <col min="3585" max="3585" width="2.5" style="69" customWidth="1"/>
    <col min="3586" max="3586" width="6" style="69" customWidth="1"/>
    <col min="3587" max="3587" width="5.6640625" style="69" customWidth="1"/>
    <col min="3588" max="3588" width="4.5" style="69" customWidth="1"/>
    <col min="3589" max="3589" width="7" style="69" customWidth="1"/>
    <col min="3590" max="3590" width="5.6640625" style="69" customWidth="1"/>
    <col min="3591" max="3601" width="4.5" style="69" customWidth="1"/>
    <col min="3602" max="3602" width="3.1640625" style="69" customWidth="1"/>
    <col min="3603" max="3603" width="9.25" style="69" customWidth="1"/>
    <col min="3604" max="3604" width="26.75" style="69" customWidth="1"/>
    <col min="3605" max="3607" width="9.25" style="69" customWidth="1"/>
    <col min="3608" max="3608" width="13.6640625" style="69" customWidth="1"/>
    <col min="3609" max="3840" width="9" style="69"/>
    <col min="3841" max="3841" width="2.5" style="69" customWidth="1"/>
    <col min="3842" max="3842" width="6" style="69" customWidth="1"/>
    <col min="3843" max="3843" width="5.6640625" style="69" customWidth="1"/>
    <col min="3844" max="3844" width="4.5" style="69" customWidth="1"/>
    <col min="3845" max="3845" width="7" style="69" customWidth="1"/>
    <col min="3846" max="3846" width="5.6640625" style="69" customWidth="1"/>
    <col min="3847" max="3857" width="4.5" style="69" customWidth="1"/>
    <col min="3858" max="3858" width="3.1640625" style="69" customWidth="1"/>
    <col min="3859" max="3859" width="9.25" style="69" customWidth="1"/>
    <col min="3860" max="3860" width="26.75" style="69" customWidth="1"/>
    <col min="3861" max="3863" width="9.25" style="69" customWidth="1"/>
    <col min="3864" max="3864" width="13.6640625" style="69" customWidth="1"/>
    <col min="3865" max="4096" width="9" style="69"/>
    <col min="4097" max="4097" width="2.5" style="69" customWidth="1"/>
    <col min="4098" max="4098" width="6" style="69" customWidth="1"/>
    <col min="4099" max="4099" width="5.6640625" style="69" customWidth="1"/>
    <col min="4100" max="4100" width="4.5" style="69" customWidth="1"/>
    <col min="4101" max="4101" width="7" style="69" customWidth="1"/>
    <col min="4102" max="4102" width="5.6640625" style="69" customWidth="1"/>
    <col min="4103" max="4113" width="4.5" style="69" customWidth="1"/>
    <col min="4114" max="4114" width="3.1640625" style="69" customWidth="1"/>
    <col min="4115" max="4115" width="9.25" style="69" customWidth="1"/>
    <col min="4116" max="4116" width="26.75" style="69" customWidth="1"/>
    <col min="4117" max="4119" width="9.25" style="69" customWidth="1"/>
    <col min="4120" max="4120" width="13.6640625" style="69" customWidth="1"/>
    <col min="4121" max="4352" width="9" style="69"/>
    <col min="4353" max="4353" width="2.5" style="69" customWidth="1"/>
    <col min="4354" max="4354" width="6" style="69" customWidth="1"/>
    <col min="4355" max="4355" width="5.6640625" style="69" customWidth="1"/>
    <col min="4356" max="4356" width="4.5" style="69" customWidth="1"/>
    <col min="4357" max="4357" width="7" style="69" customWidth="1"/>
    <col min="4358" max="4358" width="5.6640625" style="69" customWidth="1"/>
    <col min="4359" max="4369" width="4.5" style="69" customWidth="1"/>
    <col min="4370" max="4370" width="3.1640625" style="69" customWidth="1"/>
    <col min="4371" max="4371" width="9.25" style="69" customWidth="1"/>
    <col min="4372" max="4372" width="26.75" style="69" customWidth="1"/>
    <col min="4373" max="4375" width="9.25" style="69" customWidth="1"/>
    <col min="4376" max="4376" width="13.6640625" style="69" customWidth="1"/>
    <col min="4377" max="4608" width="9" style="69"/>
    <col min="4609" max="4609" width="2.5" style="69" customWidth="1"/>
    <col min="4610" max="4610" width="6" style="69" customWidth="1"/>
    <col min="4611" max="4611" width="5.6640625" style="69" customWidth="1"/>
    <col min="4612" max="4612" width="4.5" style="69" customWidth="1"/>
    <col min="4613" max="4613" width="7" style="69" customWidth="1"/>
    <col min="4614" max="4614" width="5.6640625" style="69" customWidth="1"/>
    <col min="4615" max="4625" width="4.5" style="69" customWidth="1"/>
    <col min="4626" max="4626" width="3.1640625" style="69" customWidth="1"/>
    <col min="4627" max="4627" width="9.25" style="69" customWidth="1"/>
    <col min="4628" max="4628" width="26.75" style="69" customWidth="1"/>
    <col min="4629" max="4631" width="9.25" style="69" customWidth="1"/>
    <col min="4632" max="4632" width="13.6640625" style="69" customWidth="1"/>
    <col min="4633" max="4864" width="9" style="69"/>
    <col min="4865" max="4865" width="2.5" style="69" customWidth="1"/>
    <col min="4866" max="4866" width="6" style="69" customWidth="1"/>
    <col min="4867" max="4867" width="5.6640625" style="69" customWidth="1"/>
    <col min="4868" max="4868" width="4.5" style="69" customWidth="1"/>
    <col min="4869" max="4869" width="7" style="69" customWidth="1"/>
    <col min="4870" max="4870" width="5.6640625" style="69" customWidth="1"/>
    <col min="4871" max="4881" width="4.5" style="69" customWidth="1"/>
    <col min="4882" max="4882" width="3.1640625" style="69" customWidth="1"/>
    <col min="4883" max="4883" width="9.25" style="69" customWidth="1"/>
    <col min="4884" max="4884" width="26.75" style="69" customWidth="1"/>
    <col min="4885" max="4887" width="9.25" style="69" customWidth="1"/>
    <col min="4888" max="4888" width="13.6640625" style="69" customWidth="1"/>
    <col min="4889" max="5120" width="9" style="69"/>
    <col min="5121" max="5121" width="2.5" style="69" customWidth="1"/>
    <col min="5122" max="5122" width="6" style="69" customWidth="1"/>
    <col min="5123" max="5123" width="5.6640625" style="69" customWidth="1"/>
    <col min="5124" max="5124" width="4.5" style="69" customWidth="1"/>
    <col min="5125" max="5125" width="7" style="69" customWidth="1"/>
    <col min="5126" max="5126" width="5.6640625" style="69" customWidth="1"/>
    <col min="5127" max="5137" width="4.5" style="69" customWidth="1"/>
    <col min="5138" max="5138" width="3.1640625" style="69" customWidth="1"/>
    <col min="5139" max="5139" width="9.25" style="69" customWidth="1"/>
    <col min="5140" max="5140" width="26.75" style="69" customWidth="1"/>
    <col min="5141" max="5143" width="9.25" style="69" customWidth="1"/>
    <col min="5144" max="5144" width="13.6640625" style="69" customWidth="1"/>
    <col min="5145" max="5376" width="9" style="69"/>
    <col min="5377" max="5377" width="2.5" style="69" customWidth="1"/>
    <col min="5378" max="5378" width="6" style="69" customWidth="1"/>
    <col min="5379" max="5379" width="5.6640625" style="69" customWidth="1"/>
    <col min="5380" max="5380" width="4.5" style="69" customWidth="1"/>
    <col min="5381" max="5381" width="7" style="69" customWidth="1"/>
    <col min="5382" max="5382" width="5.6640625" style="69" customWidth="1"/>
    <col min="5383" max="5393" width="4.5" style="69" customWidth="1"/>
    <col min="5394" max="5394" width="3.1640625" style="69" customWidth="1"/>
    <col min="5395" max="5395" width="9.25" style="69" customWidth="1"/>
    <col min="5396" max="5396" width="26.75" style="69" customWidth="1"/>
    <col min="5397" max="5399" width="9.25" style="69" customWidth="1"/>
    <col min="5400" max="5400" width="13.6640625" style="69" customWidth="1"/>
    <col min="5401" max="5632" width="9" style="69"/>
    <col min="5633" max="5633" width="2.5" style="69" customWidth="1"/>
    <col min="5634" max="5634" width="6" style="69" customWidth="1"/>
    <col min="5635" max="5635" width="5.6640625" style="69" customWidth="1"/>
    <col min="5636" max="5636" width="4.5" style="69" customWidth="1"/>
    <col min="5637" max="5637" width="7" style="69" customWidth="1"/>
    <col min="5638" max="5638" width="5.6640625" style="69" customWidth="1"/>
    <col min="5639" max="5649" width="4.5" style="69" customWidth="1"/>
    <col min="5650" max="5650" width="3.1640625" style="69" customWidth="1"/>
    <col min="5651" max="5651" width="9.25" style="69" customWidth="1"/>
    <col min="5652" max="5652" width="26.75" style="69" customWidth="1"/>
    <col min="5653" max="5655" width="9.25" style="69" customWidth="1"/>
    <col min="5656" max="5656" width="13.6640625" style="69" customWidth="1"/>
    <col min="5657" max="5888" width="9" style="69"/>
    <col min="5889" max="5889" width="2.5" style="69" customWidth="1"/>
    <col min="5890" max="5890" width="6" style="69" customWidth="1"/>
    <col min="5891" max="5891" width="5.6640625" style="69" customWidth="1"/>
    <col min="5892" max="5892" width="4.5" style="69" customWidth="1"/>
    <col min="5893" max="5893" width="7" style="69" customWidth="1"/>
    <col min="5894" max="5894" width="5.6640625" style="69" customWidth="1"/>
    <col min="5895" max="5905" width="4.5" style="69" customWidth="1"/>
    <col min="5906" max="5906" width="3.1640625" style="69" customWidth="1"/>
    <col min="5907" max="5907" width="9.25" style="69" customWidth="1"/>
    <col min="5908" max="5908" width="26.75" style="69" customWidth="1"/>
    <col min="5909" max="5911" width="9.25" style="69" customWidth="1"/>
    <col min="5912" max="5912" width="13.6640625" style="69" customWidth="1"/>
    <col min="5913" max="6144" width="9" style="69"/>
    <col min="6145" max="6145" width="2.5" style="69" customWidth="1"/>
    <col min="6146" max="6146" width="6" style="69" customWidth="1"/>
    <col min="6147" max="6147" width="5.6640625" style="69" customWidth="1"/>
    <col min="6148" max="6148" width="4.5" style="69" customWidth="1"/>
    <col min="6149" max="6149" width="7" style="69" customWidth="1"/>
    <col min="6150" max="6150" width="5.6640625" style="69" customWidth="1"/>
    <col min="6151" max="6161" width="4.5" style="69" customWidth="1"/>
    <col min="6162" max="6162" width="3.1640625" style="69" customWidth="1"/>
    <col min="6163" max="6163" width="9.25" style="69" customWidth="1"/>
    <col min="6164" max="6164" width="26.75" style="69" customWidth="1"/>
    <col min="6165" max="6167" width="9.25" style="69" customWidth="1"/>
    <col min="6168" max="6168" width="13.6640625" style="69" customWidth="1"/>
    <col min="6169" max="6400" width="9" style="69"/>
    <col min="6401" max="6401" width="2.5" style="69" customWidth="1"/>
    <col min="6402" max="6402" width="6" style="69" customWidth="1"/>
    <col min="6403" max="6403" width="5.6640625" style="69" customWidth="1"/>
    <col min="6404" max="6404" width="4.5" style="69" customWidth="1"/>
    <col min="6405" max="6405" width="7" style="69" customWidth="1"/>
    <col min="6406" max="6406" width="5.6640625" style="69" customWidth="1"/>
    <col min="6407" max="6417" width="4.5" style="69" customWidth="1"/>
    <col min="6418" max="6418" width="3.1640625" style="69" customWidth="1"/>
    <col min="6419" max="6419" width="9.25" style="69" customWidth="1"/>
    <col min="6420" max="6420" width="26.75" style="69" customWidth="1"/>
    <col min="6421" max="6423" width="9.25" style="69" customWidth="1"/>
    <col min="6424" max="6424" width="13.6640625" style="69" customWidth="1"/>
    <col min="6425" max="6656" width="9" style="69"/>
    <col min="6657" max="6657" width="2.5" style="69" customWidth="1"/>
    <col min="6658" max="6658" width="6" style="69" customWidth="1"/>
    <col min="6659" max="6659" width="5.6640625" style="69" customWidth="1"/>
    <col min="6660" max="6660" width="4.5" style="69" customWidth="1"/>
    <col min="6661" max="6661" width="7" style="69" customWidth="1"/>
    <col min="6662" max="6662" width="5.6640625" style="69" customWidth="1"/>
    <col min="6663" max="6673" width="4.5" style="69" customWidth="1"/>
    <col min="6674" max="6674" width="3.1640625" style="69" customWidth="1"/>
    <col min="6675" max="6675" width="9.25" style="69" customWidth="1"/>
    <col min="6676" max="6676" width="26.75" style="69" customWidth="1"/>
    <col min="6677" max="6679" width="9.25" style="69" customWidth="1"/>
    <col min="6680" max="6680" width="13.6640625" style="69" customWidth="1"/>
    <col min="6681" max="6912" width="9" style="69"/>
    <col min="6913" max="6913" width="2.5" style="69" customWidth="1"/>
    <col min="6914" max="6914" width="6" style="69" customWidth="1"/>
    <col min="6915" max="6915" width="5.6640625" style="69" customWidth="1"/>
    <col min="6916" max="6916" width="4.5" style="69" customWidth="1"/>
    <col min="6917" max="6917" width="7" style="69" customWidth="1"/>
    <col min="6918" max="6918" width="5.6640625" style="69" customWidth="1"/>
    <col min="6919" max="6929" width="4.5" style="69" customWidth="1"/>
    <col min="6930" max="6930" width="3.1640625" style="69" customWidth="1"/>
    <col min="6931" max="6931" width="9.25" style="69" customWidth="1"/>
    <col min="6932" max="6932" width="26.75" style="69" customWidth="1"/>
    <col min="6933" max="6935" width="9.25" style="69" customWidth="1"/>
    <col min="6936" max="6936" width="13.6640625" style="69" customWidth="1"/>
    <col min="6937" max="7168" width="9" style="69"/>
    <col min="7169" max="7169" width="2.5" style="69" customWidth="1"/>
    <col min="7170" max="7170" width="6" style="69" customWidth="1"/>
    <col min="7171" max="7171" width="5.6640625" style="69" customWidth="1"/>
    <col min="7172" max="7172" width="4.5" style="69" customWidth="1"/>
    <col min="7173" max="7173" width="7" style="69" customWidth="1"/>
    <col min="7174" max="7174" width="5.6640625" style="69" customWidth="1"/>
    <col min="7175" max="7185" width="4.5" style="69" customWidth="1"/>
    <col min="7186" max="7186" width="3.1640625" style="69" customWidth="1"/>
    <col min="7187" max="7187" width="9.25" style="69" customWidth="1"/>
    <col min="7188" max="7188" width="26.75" style="69" customWidth="1"/>
    <col min="7189" max="7191" width="9.25" style="69" customWidth="1"/>
    <col min="7192" max="7192" width="13.6640625" style="69" customWidth="1"/>
    <col min="7193" max="7424" width="9" style="69"/>
    <col min="7425" max="7425" width="2.5" style="69" customWidth="1"/>
    <col min="7426" max="7426" width="6" style="69" customWidth="1"/>
    <col min="7427" max="7427" width="5.6640625" style="69" customWidth="1"/>
    <col min="7428" max="7428" width="4.5" style="69" customWidth="1"/>
    <col min="7429" max="7429" width="7" style="69" customWidth="1"/>
    <col min="7430" max="7430" width="5.6640625" style="69" customWidth="1"/>
    <col min="7431" max="7441" width="4.5" style="69" customWidth="1"/>
    <col min="7442" max="7442" width="3.1640625" style="69" customWidth="1"/>
    <col min="7443" max="7443" width="9.25" style="69" customWidth="1"/>
    <col min="7444" max="7444" width="26.75" style="69" customWidth="1"/>
    <col min="7445" max="7447" width="9.25" style="69" customWidth="1"/>
    <col min="7448" max="7448" width="13.6640625" style="69" customWidth="1"/>
    <col min="7449" max="7680" width="9" style="69"/>
    <col min="7681" max="7681" width="2.5" style="69" customWidth="1"/>
    <col min="7682" max="7682" width="6" style="69" customWidth="1"/>
    <col min="7683" max="7683" width="5.6640625" style="69" customWidth="1"/>
    <col min="7684" max="7684" width="4.5" style="69" customWidth="1"/>
    <col min="7685" max="7685" width="7" style="69" customWidth="1"/>
    <col min="7686" max="7686" width="5.6640625" style="69" customWidth="1"/>
    <col min="7687" max="7697" width="4.5" style="69" customWidth="1"/>
    <col min="7698" max="7698" width="3.1640625" style="69" customWidth="1"/>
    <col min="7699" max="7699" width="9.25" style="69" customWidth="1"/>
    <col min="7700" max="7700" width="26.75" style="69" customWidth="1"/>
    <col min="7701" max="7703" width="9.25" style="69" customWidth="1"/>
    <col min="7704" max="7704" width="13.6640625" style="69" customWidth="1"/>
    <col min="7705" max="7936" width="9" style="69"/>
    <col min="7937" max="7937" width="2.5" style="69" customWidth="1"/>
    <col min="7938" max="7938" width="6" style="69" customWidth="1"/>
    <col min="7939" max="7939" width="5.6640625" style="69" customWidth="1"/>
    <col min="7940" max="7940" width="4.5" style="69" customWidth="1"/>
    <col min="7941" max="7941" width="7" style="69" customWidth="1"/>
    <col min="7942" max="7942" width="5.6640625" style="69" customWidth="1"/>
    <col min="7943" max="7953" width="4.5" style="69" customWidth="1"/>
    <col min="7954" max="7954" width="3.1640625" style="69" customWidth="1"/>
    <col min="7955" max="7955" width="9.25" style="69" customWidth="1"/>
    <col min="7956" max="7956" width="26.75" style="69" customWidth="1"/>
    <col min="7957" max="7959" width="9.25" style="69" customWidth="1"/>
    <col min="7960" max="7960" width="13.6640625" style="69" customWidth="1"/>
    <col min="7961" max="8192" width="9" style="69"/>
    <col min="8193" max="8193" width="2.5" style="69" customWidth="1"/>
    <col min="8194" max="8194" width="6" style="69" customWidth="1"/>
    <col min="8195" max="8195" width="5.6640625" style="69" customWidth="1"/>
    <col min="8196" max="8196" width="4.5" style="69" customWidth="1"/>
    <col min="8197" max="8197" width="7" style="69" customWidth="1"/>
    <col min="8198" max="8198" width="5.6640625" style="69" customWidth="1"/>
    <col min="8199" max="8209" width="4.5" style="69" customWidth="1"/>
    <col min="8210" max="8210" width="3.1640625" style="69" customWidth="1"/>
    <col min="8211" max="8211" width="9.25" style="69" customWidth="1"/>
    <col min="8212" max="8212" width="26.75" style="69" customWidth="1"/>
    <col min="8213" max="8215" width="9.25" style="69" customWidth="1"/>
    <col min="8216" max="8216" width="13.6640625" style="69" customWidth="1"/>
    <col min="8217" max="8448" width="9" style="69"/>
    <col min="8449" max="8449" width="2.5" style="69" customWidth="1"/>
    <col min="8450" max="8450" width="6" style="69" customWidth="1"/>
    <col min="8451" max="8451" width="5.6640625" style="69" customWidth="1"/>
    <col min="8452" max="8452" width="4.5" style="69" customWidth="1"/>
    <col min="8453" max="8453" width="7" style="69" customWidth="1"/>
    <col min="8454" max="8454" width="5.6640625" style="69" customWidth="1"/>
    <col min="8455" max="8465" width="4.5" style="69" customWidth="1"/>
    <col min="8466" max="8466" width="3.1640625" style="69" customWidth="1"/>
    <col min="8467" max="8467" width="9.25" style="69" customWidth="1"/>
    <col min="8468" max="8468" width="26.75" style="69" customWidth="1"/>
    <col min="8469" max="8471" width="9.25" style="69" customWidth="1"/>
    <col min="8472" max="8472" width="13.6640625" style="69" customWidth="1"/>
    <col min="8473" max="8704" width="9" style="69"/>
    <col min="8705" max="8705" width="2.5" style="69" customWidth="1"/>
    <col min="8706" max="8706" width="6" style="69" customWidth="1"/>
    <col min="8707" max="8707" width="5.6640625" style="69" customWidth="1"/>
    <col min="8708" max="8708" width="4.5" style="69" customWidth="1"/>
    <col min="8709" max="8709" width="7" style="69" customWidth="1"/>
    <col min="8710" max="8710" width="5.6640625" style="69" customWidth="1"/>
    <col min="8711" max="8721" width="4.5" style="69" customWidth="1"/>
    <col min="8722" max="8722" width="3.1640625" style="69" customWidth="1"/>
    <col min="8723" max="8723" width="9.25" style="69" customWidth="1"/>
    <col min="8724" max="8724" width="26.75" style="69" customWidth="1"/>
    <col min="8725" max="8727" width="9.25" style="69" customWidth="1"/>
    <col min="8728" max="8728" width="13.6640625" style="69" customWidth="1"/>
    <col min="8729" max="8960" width="9" style="69"/>
    <col min="8961" max="8961" width="2.5" style="69" customWidth="1"/>
    <col min="8962" max="8962" width="6" style="69" customWidth="1"/>
    <col min="8963" max="8963" width="5.6640625" style="69" customWidth="1"/>
    <col min="8964" max="8964" width="4.5" style="69" customWidth="1"/>
    <col min="8965" max="8965" width="7" style="69" customWidth="1"/>
    <col min="8966" max="8966" width="5.6640625" style="69" customWidth="1"/>
    <col min="8967" max="8977" width="4.5" style="69" customWidth="1"/>
    <col min="8978" max="8978" width="3.1640625" style="69" customWidth="1"/>
    <col min="8979" max="8979" width="9.25" style="69" customWidth="1"/>
    <col min="8980" max="8980" width="26.75" style="69" customWidth="1"/>
    <col min="8981" max="8983" width="9.25" style="69" customWidth="1"/>
    <col min="8984" max="8984" width="13.6640625" style="69" customWidth="1"/>
    <col min="8985" max="9216" width="9" style="69"/>
    <col min="9217" max="9217" width="2.5" style="69" customWidth="1"/>
    <col min="9218" max="9218" width="6" style="69" customWidth="1"/>
    <col min="9219" max="9219" width="5.6640625" style="69" customWidth="1"/>
    <col min="9220" max="9220" width="4.5" style="69" customWidth="1"/>
    <col min="9221" max="9221" width="7" style="69" customWidth="1"/>
    <col min="9222" max="9222" width="5.6640625" style="69" customWidth="1"/>
    <col min="9223" max="9233" width="4.5" style="69" customWidth="1"/>
    <col min="9234" max="9234" width="3.1640625" style="69" customWidth="1"/>
    <col min="9235" max="9235" width="9.25" style="69" customWidth="1"/>
    <col min="9236" max="9236" width="26.75" style="69" customWidth="1"/>
    <col min="9237" max="9239" width="9.25" style="69" customWidth="1"/>
    <col min="9240" max="9240" width="13.6640625" style="69" customWidth="1"/>
    <col min="9241" max="9472" width="9" style="69"/>
    <col min="9473" max="9473" width="2.5" style="69" customWidth="1"/>
    <col min="9474" max="9474" width="6" style="69" customWidth="1"/>
    <col min="9475" max="9475" width="5.6640625" style="69" customWidth="1"/>
    <col min="9476" max="9476" width="4.5" style="69" customWidth="1"/>
    <col min="9477" max="9477" width="7" style="69" customWidth="1"/>
    <col min="9478" max="9478" width="5.6640625" style="69" customWidth="1"/>
    <col min="9479" max="9489" width="4.5" style="69" customWidth="1"/>
    <col min="9490" max="9490" width="3.1640625" style="69" customWidth="1"/>
    <col min="9491" max="9491" width="9.25" style="69" customWidth="1"/>
    <col min="9492" max="9492" width="26.75" style="69" customWidth="1"/>
    <col min="9493" max="9495" width="9.25" style="69" customWidth="1"/>
    <col min="9496" max="9496" width="13.6640625" style="69" customWidth="1"/>
    <col min="9497" max="9728" width="9" style="69"/>
    <col min="9729" max="9729" width="2.5" style="69" customWidth="1"/>
    <col min="9730" max="9730" width="6" style="69" customWidth="1"/>
    <col min="9731" max="9731" width="5.6640625" style="69" customWidth="1"/>
    <col min="9732" max="9732" width="4.5" style="69" customWidth="1"/>
    <col min="9733" max="9733" width="7" style="69" customWidth="1"/>
    <col min="9734" max="9734" width="5.6640625" style="69" customWidth="1"/>
    <col min="9735" max="9745" width="4.5" style="69" customWidth="1"/>
    <col min="9746" max="9746" width="3.1640625" style="69" customWidth="1"/>
    <col min="9747" max="9747" width="9.25" style="69" customWidth="1"/>
    <col min="9748" max="9748" width="26.75" style="69" customWidth="1"/>
    <col min="9749" max="9751" width="9.25" style="69" customWidth="1"/>
    <col min="9752" max="9752" width="13.6640625" style="69" customWidth="1"/>
    <col min="9753" max="9984" width="9" style="69"/>
    <col min="9985" max="9985" width="2.5" style="69" customWidth="1"/>
    <col min="9986" max="9986" width="6" style="69" customWidth="1"/>
    <col min="9987" max="9987" width="5.6640625" style="69" customWidth="1"/>
    <col min="9988" max="9988" width="4.5" style="69" customWidth="1"/>
    <col min="9989" max="9989" width="7" style="69" customWidth="1"/>
    <col min="9990" max="9990" width="5.6640625" style="69" customWidth="1"/>
    <col min="9991" max="10001" width="4.5" style="69" customWidth="1"/>
    <col min="10002" max="10002" width="3.1640625" style="69" customWidth="1"/>
    <col min="10003" max="10003" width="9.25" style="69" customWidth="1"/>
    <col min="10004" max="10004" width="26.75" style="69" customWidth="1"/>
    <col min="10005" max="10007" width="9.25" style="69" customWidth="1"/>
    <col min="10008" max="10008" width="13.6640625" style="69" customWidth="1"/>
    <col min="10009" max="10240" width="9" style="69"/>
    <col min="10241" max="10241" width="2.5" style="69" customWidth="1"/>
    <col min="10242" max="10242" width="6" style="69" customWidth="1"/>
    <col min="10243" max="10243" width="5.6640625" style="69" customWidth="1"/>
    <col min="10244" max="10244" width="4.5" style="69" customWidth="1"/>
    <col min="10245" max="10245" width="7" style="69" customWidth="1"/>
    <col min="10246" max="10246" width="5.6640625" style="69" customWidth="1"/>
    <col min="10247" max="10257" width="4.5" style="69" customWidth="1"/>
    <col min="10258" max="10258" width="3.1640625" style="69" customWidth="1"/>
    <col min="10259" max="10259" width="9.25" style="69" customWidth="1"/>
    <col min="10260" max="10260" width="26.75" style="69" customWidth="1"/>
    <col min="10261" max="10263" width="9.25" style="69" customWidth="1"/>
    <col min="10264" max="10264" width="13.6640625" style="69" customWidth="1"/>
    <col min="10265" max="10496" width="9" style="69"/>
    <col min="10497" max="10497" width="2.5" style="69" customWidth="1"/>
    <col min="10498" max="10498" width="6" style="69" customWidth="1"/>
    <col min="10499" max="10499" width="5.6640625" style="69" customWidth="1"/>
    <col min="10500" max="10500" width="4.5" style="69" customWidth="1"/>
    <col min="10501" max="10501" width="7" style="69" customWidth="1"/>
    <col min="10502" max="10502" width="5.6640625" style="69" customWidth="1"/>
    <col min="10503" max="10513" width="4.5" style="69" customWidth="1"/>
    <col min="10514" max="10514" width="3.1640625" style="69" customWidth="1"/>
    <col min="10515" max="10515" width="9.25" style="69" customWidth="1"/>
    <col min="10516" max="10516" width="26.75" style="69" customWidth="1"/>
    <col min="10517" max="10519" width="9.25" style="69" customWidth="1"/>
    <col min="10520" max="10520" width="13.6640625" style="69" customWidth="1"/>
    <col min="10521" max="10752" width="9" style="69"/>
    <col min="10753" max="10753" width="2.5" style="69" customWidth="1"/>
    <col min="10754" max="10754" width="6" style="69" customWidth="1"/>
    <col min="10755" max="10755" width="5.6640625" style="69" customWidth="1"/>
    <col min="10756" max="10756" width="4.5" style="69" customWidth="1"/>
    <col min="10757" max="10757" width="7" style="69" customWidth="1"/>
    <col min="10758" max="10758" width="5.6640625" style="69" customWidth="1"/>
    <col min="10759" max="10769" width="4.5" style="69" customWidth="1"/>
    <col min="10770" max="10770" width="3.1640625" style="69" customWidth="1"/>
    <col min="10771" max="10771" width="9.25" style="69" customWidth="1"/>
    <col min="10772" max="10772" width="26.75" style="69" customWidth="1"/>
    <col min="10773" max="10775" width="9.25" style="69" customWidth="1"/>
    <col min="10776" max="10776" width="13.6640625" style="69" customWidth="1"/>
    <col min="10777" max="11008" width="9" style="69"/>
    <col min="11009" max="11009" width="2.5" style="69" customWidth="1"/>
    <col min="11010" max="11010" width="6" style="69" customWidth="1"/>
    <col min="11011" max="11011" width="5.6640625" style="69" customWidth="1"/>
    <col min="11012" max="11012" width="4.5" style="69" customWidth="1"/>
    <col min="11013" max="11013" width="7" style="69" customWidth="1"/>
    <col min="11014" max="11014" width="5.6640625" style="69" customWidth="1"/>
    <col min="11015" max="11025" width="4.5" style="69" customWidth="1"/>
    <col min="11026" max="11026" width="3.1640625" style="69" customWidth="1"/>
    <col min="11027" max="11027" width="9.25" style="69" customWidth="1"/>
    <col min="11028" max="11028" width="26.75" style="69" customWidth="1"/>
    <col min="11029" max="11031" width="9.25" style="69" customWidth="1"/>
    <col min="11032" max="11032" width="13.6640625" style="69" customWidth="1"/>
    <col min="11033" max="11264" width="9" style="69"/>
    <col min="11265" max="11265" width="2.5" style="69" customWidth="1"/>
    <col min="11266" max="11266" width="6" style="69" customWidth="1"/>
    <col min="11267" max="11267" width="5.6640625" style="69" customWidth="1"/>
    <col min="11268" max="11268" width="4.5" style="69" customWidth="1"/>
    <col min="11269" max="11269" width="7" style="69" customWidth="1"/>
    <col min="11270" max="11270" width="5.6640625" style="69" customWidth="1"/>
    <col min="11271" max="11281" width="4.5" style="69" customWidth="1"/>
    <col min="11282" max="11282" width="3.1640625" style="69" customWidth="1"/>
    <col min="11283" max="11283" width="9.25" style="69" customWidth="1"/>
    <col min="11284" max="11284" width="26.75" style="69" customWidth="1"/>
    <col min="11285" max="11287" width="9.25" style="69" customWidth="1"/>
    <col min="11288" max="11288" width="13.6640625" style="69" customWidth="1"/>
    <col min="11289" max="11520" width="9" style="69"/>
    <col min="11521" max="11521" width="2.5" style="69" customWidth="1"/>
    <col min="11522" max="11522" width="6" style="69" customWidth="1"/>
    <col min="11523" max="11523" width="5.6640625" style="69" customWidth="1"/>
    <col min="11524" max="11524" width="4.5" style="69" customWidth="1"/>
    <col min="11525" max="11525" width="7" style="69" customWidth="1"/>
    <col min="11526" max="11526" width="5.6640625" style="69" customWidth="1"/>
    <col min="11527" max="11537" width="4.5" style="69" customWidth="1"/>
    <col min="11538" max="11538" width="3.1640625" style="69" customWidth="1"/>
    <col min="11539" max="11539" width="9.25" style="69" customWidth="1"/>
    <col min="11540" max="11540" width="26.75" style="69" customWidth="1"/>
    <col min="11541" max="11543" width="9.25" style="69" customWidth="1"/>
    <col min="11544" max="11544" width="13.6640625" style="69" customWidth="1"/>
    <col min="11545" max="11776" width="9" style="69"/>
    <col min="11777" max="11777" width="2.5" style="69" customWidth="1"/>
    <col min="11778" max="11778" width="6" style="69" customWidth="1"/>
    <col min="11779" max="11779" width="5.6640625" style="69" customWidth="1"/>
    <col min="11780" max="11780" width="4.5" style="69" customWidth="1"/>
    <col min="11781" max="11781" width="7" style="69" customWidth="1"/>
    <col min="11782" max="11782" width="5.6640625" style="69" customWidth="1"/>
    <col min="11783" max="11793" width="4.5" style="69" customWidth="1"/>
    <col min="11794" max="11794" width="3.1640625" style="69" customWidth="1"/>
    <col min="11795" max="11795" width="9.25" style="69" customWidth="1"/>
    <col min="11796" max="11796" width="26.75" style="69" customWidth="1"/>
    <col min="11797" max="11799" width="9.25" style="69" customWidth="1"/>
    <col min="11800" max="11800" width="13.6640625" style="69" customWidth="1"/>
    <col min="11801" max="12032" width="9" style="69"/>
    <col min="12033" max="12033" width="2.5" style="69" customWidth="1"/>
    <col min="12034" max="12034" width="6" style="69" customWidth="1"/>
    <col min="12035" max="12035" width="5.6640625" style="69" customWidth="1"/>
    <col min="12036" max="12036" width="4.5" style="69" customWidth="1"/>
    <col min="12037" max="12037" width="7" style="69" customWidth="1"/>
    <col min="12038" max="12038" width="5.6640625" style="69" customWidth="1"/>
    <col min="12039" max="12049" width="4.5" style="69" customWidth="1"/>
    <col min="12050" max="12050" width="3.1640625" style="69" customWidth="1"/>
    <col min="12051" max="12051" width="9.25" style="69" customWidth="1"/>
    <col min="12052" max="12052" width="26.75" style="69" customWidth="1"/>
    <col min="12053" max="12055" width="9.25" style="69" customWidth="1"/>
    <col min="12056" max="12056" width="13.6640625" style="69" customWidth="1"/>
    <col min="12057" max="12288" width="9" style="69"/>
    <col min="12289" max="12289" width="2.5" style="69" customWidth="1"/>
    <col min="12290" max="12290" width="6" style="69" customWidth="1"/>
    <col min="12291" max="12291" width="5.6640625" style="69" customWidth="1"/>
    <col min="12292" max="12292" width="4.5" style="69" customWidth="1"/>
    <col min="12293" max="12293" width="7" style="69" customWidth="1"/>
    <col min="12294" max="12294" width="5.6640625" style="69" customWidth="1"/>
    <col min="12295" max="12305" width="4.5" style="69" customWidth="1"/>
    <col min="12306" max="12306" width="3.1640625" style="69" customWidth="1"/>
    <col min="12307" max="12307" width="9.25" style="69" customWidth="1"/>
    <col min="12308" max="12308" width="26.75" style="69" customWidth="1"/>
    <col min="12309" max="12311" width="9.25" style="69" customWidth="1"/>
    <col min="12312" max="12312" width="13.6640625" style="69" customWidth="1"/>
    <col min="12313" max="12544" width="9" style="69"/>
    <col min="12545" max="12545" width="2.5" style="69" customWidth="1"/>
    <col min="12546" max="12546" width="6" style="69" customWidth="1"/>
    <col min="12547" max="12547" width="5.6640625" style="69" customWidth="1"/>
    <col min="12548" max="12548" width="4.5" style="69" customWidth="1"/>
    <col min="12549" max="12549" width="7" style="69" customWidth="1"/>
    <col min="12550" max="12550" width="5.6640625" style="69" customWidth="1"/>
    <col min="12551" max="12561" width="4.5" style="69" customWidth="1"/>
    <col min="12562" max="12562" width="3.1640625" style="69" customWidth="1"/>
    <col min="12563" max="12563" width="9.25" style="69" customWidth="1"/>
    <col min="12564" max="12564" width="26.75" style="69" customWidth="1"/>
    <col min="12565" max="12567" width="9.25" style="69" customWidth="1"/>
    <col min="12568" max="12568" width="13.6640625" style="69" customWidth="1"/>
    <col min="12569" max="12800" width="9" style="69"/>
    <col min="12801" max="12801" width="2.5" style="69" customWidth="1"/>
    <col min="12802" max="12802" width="6" style="69" customWidth="1"/>
    <col min="12803" max="12803" width="5.6640625" style="69" customWidth="1"/>
    <col min="12804" max="12804" width="4.5" style="69" customWidth="1"/>
    <col min="12805" max="12805" width="7" style="69" customWidth="1"/>
    <col min="12806" max="12806" width="5.6640625" style="69" customWidth="1"/>
    <col min="12807" max="12817" width="4.5" style="69" customWidth="1"/>
    <col min="12818" max="12818" width="3.1640625" style="69" customWidth="1"/>
    <col min="12819" max="12819" width="9.25" style="69" customWidth="1"/>
    <col min="12820" max="12820" width="26.75" style="69" customWidth="1"/>
    <col min="12821" max="12823" width="9.25" style="69" customWidth="1"/>
    <col min="12824" max="12824" width="13.6640625" style="69" customWidth="1"/>
    <col min="12825" max="13056" width="9" style="69"/>
    <col min="13057" max="13057" width="2.5" style="69" customWidth="1"/>
    <col min="13058" max="13058" width="6" style="69" customWidth="1"/>
    <col min="13059" max="13059" width="5.6640625" style="69" customWidth="1"/>
    <col min="13060" max="13060" width="4.5" style="69" customWidth="1"/>
    <col min="13061" max="13061" width="7" style="69" customWidth="1"/>
    <col min="13062" max="13062" width="5.6640625" style="69" customWidth="1"/>
    <col min="13063" max="13073" width="4.5" style="69" customWidth="1"/>
    <col min="13074" max="13074" width="3.1640625" style="69" customWidth="1"/>
    <col min="13075" max="13075" width="9.25" style="69" customWidth="1"/>
    <col min="13076" max="13076" width="26.75" style="69" customWidth="1"/>
    <col min="13077" max="13079" width="9.25" style="69" customWidth="1"/>
    <col min="13080" max="13080" width="13.6640625" style="69" customWidth="1"/>
    <col min="13081" max="13312" width="9" style="69"/>
    <col min="13313" max="13313" width="2.5" style="69" customWidth="1"/>
    <col min="13314" max="13314" width="6" style="69" customWidth="1"/>
    <col min="13315" max="13315" width="5.6640625" style="69" customWidth="1"/>
    <col min="13316" max="13316" width="4.5" style="69" customWidth="1"/>
    <col min="13317" max="13317" width="7" style="69" customWidth="1"/>
    <col min="13318" max="13318" width="5.6640625" style="69" customWidth="1"/>
    <col min="13319" max="13329" width="4.5" style="69" customWidth="1"/>
    <col min="13330" max="13330" width="3.1640625" style="69" customWidth="1"/>
    <col min="13331" max="13331" width="9.25" style="69" customWidth="1"/>
    <col min="13332" max="13332" width="26.75" style="69" customWidth="1"/>
    <col min="13333" max="13335" width="9.25" style="69" customWidth="1"/>
    <col min="13336" max="13336" width="13.6640625" style="69" customWidth="1"/>
    <col min="13337" max="13568" width="9" style="69"/>
    <col min="13569" max="13569" width="2.5" style="69" customWidth="1"/>
    <col min="13570" max="13570" width="6" style="69" customWidth="1"/>
    <col min="13571" max="13571" width="5.6640625" style="69" customWidth="1"/>
    <col min="13572" max="13572" width="4.5" style="69" customWidth="1"/>
    <col min="13573" max="13573" width="7" style="69" customWidth="1"/>
    <col min="13574" max="13574" width="5.6640625" style="69" customWidth="1"/>
    <col min="13575" max="13585" width="4.5" style="69" customWidth="1"/>
    <col min="13586" max="13586" width="3.1640625" style="69" customWidth="1"/>
    <col min="13587" max="13587" width="9.25" style="69" customWidth="1"/>
    <col min="13588" max="13588" width="26.75" style="69" customWidth="1"/>
    <col min="13589" max="13591" width="9.25" style="69" customWidth="1"/>
    <col min="13592" max="13592" width="13.6640625" style="69" customWidth="1"/>
    <col min="13593" max="13824" width="9" style="69"/>
    <col min="13825" max="13825" width="2.5" style="69" customWidth="1"/>
    <col min="13826" max="13826" width="6" style="69" customWidth="1"/>
    <col min="13827" max="13827" width="5.6640625" style="69" customWidth="1"/>
    <col min="13828" max="13828" width="4.5" style="69" customWidth="1"/>
    <col min="13829" max="13829" width="7" style="69" customWidth="1"/>
    <col min="13830" max="13830" width="5.6640625" style="69" customWidth="1"/>
    <col min="13831" max="13841" width="4.5" style="69" customWidth="1"/>
    <col min="13842" max="13842" width="3.1640625" style="69" customWidth="1"/>
    <col min="13843" max="13843" width="9.25" style="69" customWidth="1"/>
    <col min="13844" max="13844" width="26.75" style="69" customWidth="1"/>
    <col min="13845" max="13847" width="9.25" style="69" customWidth="1"/>
    <col min="13848" max="13848" width="13.6640625" style="69" customWidth="1"/>
    <col min="13849" max="14080" width="9" style="69"/>
    <col min="14081" max="14081" width="2.5" style="69" customWidth="1"/>
    <col min="14082" max="14082" width="6" style="69" customWidth="1"/>
    <col min="14083" max="14083" width="5.6640625" style="69" customWidth="1"/>
    <col min="14084" max="14084" width="4.5" style="69" customWidth="1"/>
    <col min="14085" max="14085" width="7" style="69" customWidth="1"/>
    <col min="14086" max="14086" width="5.6640625" style="69" customWidth="1"/>
    <col min="14087" max="14097" width="4.5" style="69" customWidth="1"/>
    <col min="14098" max="14098" width="3.1640625" style="69" customWidth="1"/>
    <col min="14099" max="14099" width="9.25" style="69" customWidth="1"/>
    <col min="14100" max="14100" width="26.75" style="69" customWidth="1"/>
    <col min="14101" max="14103" width="9.25" style="69" customWidth="1"/>
    <col min="14104" max="14104" width="13.6640625" style="69" customWidth="1"/>
    <col min="14105" max="14336" width="9" style="69"/>
    <col min="14337" max="14337" width="2.5" style="69" customWidth="1"/>
    <col min="14338" max="14338" width="6" style="69" customWidth="1"/>
    <col min="14339" max="14339" width="5.6640625" style="69" customWidth="1"/>
    <col min="14340" max="14340" width="4.5" style="69" customWidth="1"/>
    <col min="14341" max="14341" width="7" style="69" customWidth="1"/>
    <col min="14342" max="14342" width="5.6640625" style="69" customWidth="1"/>
    <col min="14343" max="14353" width="4.5" style="69" customWidth="1"/>
    <col min="14354" max="14354" width="3.1640625" style="69" customWidth="1"/>
    <col min="14355" max="14355" width="9.25" style="69" customWidth="1"/>
    <col min="14356" max="14356" width="26.75" style="69" customWidth="1"/>
    <col min="14357" max="14359" width="9.25" style="69" customWidth="1"/>
    <col min="14360" max="14360" width="13.6640625" style="69" customWidth="1"/>
    <col min="14361" max="14592" width="9" style="69"/>
    <col min="14593" max="14593" width="2.5" style="69" customWidth="1"/>
    <col min="14594" max="14594" width="6" style="69" customWidth="1"/>
    <col min="14595" max="14595" width="5.6640625" style="69" customWidth="1"/>
    <col min="14596" max="14596" width="4.5" style="69" customWidth="1"/>
    <col min="14597" max="14597" width="7" style="69" customWidth="1"/>
    <col min="14598" max="14598" width="5.6640625" style="69" customWidth="1"/>
    <col min="14599" max="14609" width="4.5" style="69" customWidth="1"/>
    <col min="14610" max="14610" width="3.1640625" style="69" customWidth="1"/>
    <col min="14611" max="14611" width="9.25" style="69" customWidth="1"/>
    <col min="14612" max="14612" width="26.75" style="69" customWidth="1"/>
    <col min="14613" max="14615" width="9.25" style="69" customWidth="1"/>
    <col min="14616" max="14616" width="13.6640625" style="69" customWidth="1"/>
    <col min="14617" max="14848" width="9" style="69"/>
    <col min="14849" max="14849" width="2.5" style="69" customWidth="1"/>
    <col min="14850" max="14850" width="6" style="69" customWidth="1"/>
    <col min="14851" max="14851" width="5.6640625" style="69" customWidth="1"/>
    <col min="14852" max="14852" width="4.5" style="69" customWidth="1"/>
    <col min="14853" max="14853" width="7" style="69" customWidth="1"/>
    <col min="14854" max="14854" width="5.6640625" style="69" customWidth="1"/>
    <col min="14855" max="14865" width="4.5" style="69" customWidth="1"/>
    <col min="14866" max="14866" width="3.1640625" style="69" customWidth="1"/>
    <col min="14867" max="14867" width="9.25" style="69" customWidth="1"/>
    <col min="14868" max="14868" width="26.75" style="69" customWidth="1"/>
    <col min="14869" max="14871" width="9.25" style="69" customWidth="1"/>
    <col min="14872" max="14872" width="13.6640625" style="69" customWidth="1"/>
    <col min="14873" max="15104" width="9" style="69"/>
    <col min="15105" max="15105" width="2.5" style="69" customWidth="1"/>
    <col min="15106" max="15106" width="6" style="69" customWidth="1"/>
    <col min="15107" max="15107" width="5.6640625" style="69" customWidth="1"/>
    <col min="15108" max="15108" width="4.5" style="69" customWidth="1"/>
    <col min="15109" max="15109" width="7" style="69" customWidth="1"/>
    <col min="15110" max="15110" width="5.6640625" style="69" customWidth="1"/>
    <col min="15111" max="15121" width="4.5" style="69" customWidth="1"/>
    <col min="15122" max="15122" width="3.1640625" style="69" customWidth="1"/>
    <col min="15123" max="15123" width="9.25" style="69" customWidth="1"/>
    <col min="15124" max="15124" width="26.75" style="69" customWidth="1"/>
    <col min="15125" max="15127" width="9.25" style="69" customWidth="1"/>
    <col min="15128" max="15128" width="13.6640625" style="69" customWidth="1"/>
    <col min="15129" max="15360" width="9" style="69"/>
    <col min="15361" max="15361" width="2.5" style="69" customWidth="1"/>
    <col min="15362" max="15362" width="6" style="69" customWidth="1"/>
    <col min="15363" max="15363" width="5.6640625" style="69" customWidth="1"/>
    <col min="15364" max="15364" width="4.5" style="69" customWidth="1"/>
    <col min="15365" max="15365" width="7" style="69" customWidth="1"/>
    <col min="15366" max="15366" width="5.6640625" style="69" customWidth="1"/>
    <col min="15367" max="15377" width="4.5" style="69" customWidth="1"/>
    <col min="15378" max="15378" width="3.1640625" style="69" customWidth="1"/>
    <col min="15379" max="15379" width="9.25" style="69" customWidth="1"/>
    <col min="15380" max="15380" width="26.75" style="69" customWidth="1"/>
    <col min="15381" max="15383" width="9.25" style="69" customWidth="1"/>
    <col min="15384" max="15384" width="13.6640625" style="69" customWidth="1"/>
    <col min="15385" max="15616" width="9" style="69"/>
    <col min="15617" max="15617" width="2.5" style="69" customWidth="1"/>
    <col min="15618" max="15618" width="6" style="69" customWidth="1"/>
    <col min="15619" max="15619" width="5.6640625" style="69" customWidth="1"/>
    <col min="15620" max="15620" width="4.5" style="69" customWidth="1"/>
    <col min="15621" max="15621" width="7" style="69" customWidth="1"/>
    <col min="15622" max="15622" width="5.6640625" style="69" customWidth="1"/>
    <col min="15623" max="15633" width="4.5" style="69" customWidth="1"/>
    <col min="15634" max="15634" width="3.1640625" style="69" customWidth="1"/>
    <col min="15635" max="15635" width="9.25" style="69" customWidth="1"/>
    <col min="15636" max="15636" width="26.75" style="69" customWidth="1"/>
    <col min="15637" max="15639" width="9.25" style="69" customWidth="1"/>
    <col min="15640" max="15640" width="13.6640625" style="69" customWidth="1"/>
    <col min="15641" max="15872" width="9" style="69"/>
    <col min="15873" max="15873" width="2.5" style="69" customWidth="1"/>
    <col min="15874" max="15874" width="6" style="69" customWidth="1"/>
    <col min="15875" max="15875" width="5.6640625" style="69" customWidth="1"/>
    <col min="15876" max="15876" width="4.5" style="69" customWidth="1"/>
    <col min="15877" max="15877" width="7" style="69" customWidth="1"/>
    <col min="15878" max="15878" width="5.6640625" style="69" customWidth="1"/>
    <col min="15879" max="15889" width="4.5" style="69" customWidth="1"/>
    <col min="15890" max="15890" width="3.1640625" style="69" customWidth="1"/>
    <col min="15891" max="15891" width="9.25" style="69" customWidth="1"/>
    <col min="15892" max="15892" width="26.75" style="69" customWidth="1"/>
    <col min="15893" max="15895" width="9.25" style="69" customWidth="1"/>
    <col min="15896" max="15896" width="13.6640625" style="69" customWidth="1"/>
    <col min="15897" max="16128" width="9" style="69"/>
    <col min="16129" max="16129" width="2.5" style="69" customWidth="1"/>
    <col min="16130" max="16130" width="6" style="69" customWidth="1"/>
    <col min="16131" max="16131" width="5.6640625" style="69" customWidth="1"/>
    <col min="16132" max="16132" width="4.5" style="69" customWidth="1"/>
    <col min="16133" max="16133" width="7" style="69" customWidth="1"/>
    <col min="16134" max="16134" width="5.6640625" style="69" customWidth="1"/>
    <col min="16135" max="16145" width="4.5" style="69" customWidth="1"/>
    <col min="16146" max="16146" width="3.1640625" style="69" customWidth="1"/>
    <col min="16147" max="16147" width="9.25" style="69" customWidth="1"/>
    <col min="16148" max="16148" width="26.75" style="69" customWidth="1"/>
    <col min="16149" max="16151" width="9.25" style="69" customWidth="1"/>
    <col min="16152" max="16152" width="13.6640625" style="69" customWidth="1"/>
    <col min="16153" max="16384" width="9" style="69"/>
  </cols>
  <sheetData>
    <row r="1" spans="1:24" s="55" customFormat="1" ht="15" customHeight="1">
      <c r="B1" s="253"/>
      <c r="C1" s="66"/>
      <c r="D1" s="66"/>
      <c r="E1" s="66"/>
      <c r="F1" s="66"/>
      <c r="G1" s="66"/>
      <c r="H1" s="66"/>
      <c r="I1" s="66"/>
      <c r="J1" s="66"/>
      <c r="K1" s="66"/>
      <c r="L1" s="66"/>
      <c r="M1" s="66"/>
      <c r="N1" s="66"/>
      <c r="O1" s="66"/>
      <c r="P1" s="66"/>
      <c r="Q1" s="66"/>
      <c r="R1" s="66"/>
      <c r="T1" s="66" t="s">
        <v>372</v>
      </c>
      <c r="U1" s="66"/>
      <c r="V1" s="66"/>
      <c r="W1" s="66"/>
      <c r="X1" s="66"/>
    </row>
    <row r="2" spans="1:24" s="62" customFormat="1" ht="15" customHeight="1">
      <c r="A2" s="70" t="s">
        <v>718</v>
      </c>
      <c r="B2" s="138"/>
      <c r="C2" s="61"/>
      <c r="D2" s="61"/>
      <c r="E2" s="61"/>
      <c r="F2" s="61"/>
      <c r="G2" s="61"/>
      <c r="H2" s="61"/>
      <c r="I2" s="61"/>
      <c r="J2" s="61"/>
      <c r="K2" s="61"/>
      <c r="L2" s="61"/>
      <c r="M2" s="61"/>
      <c r="N2" s="61"/>
      <c r="O2" s="206" t="str">
        <f>'SP3-1'!L2</f>
        <v>Spreadsheet release date 14-Apr-2023</v>
      </c>
      <c r="P2" s="61"/>
      <c r="Q2" s="138"/>
      <c r="R2" s="61"/>
      <c r="T2" s="207" t="s">
        <v>373</v>
      </c>
      <c r="U2" s="247"/>
      <c r="V2" s="247"/>
      <c r="W2" s="25"/>
      <c r="X2" s="61"/>
    </row>
    <row r="3" spans="1:24" s="62" customFormat="1" ht="15" customHeight="1">
      <c r="A3" s="68" t="s">
        <v>877</v>
      </c>
      <c r="B3" s="68"/>
      <c r="C3" s="61"/>
      <c r="D3" s="61"/>
      <c r="E3" s="61"/>
      <c r="F3" s="61"/>
      <c r="G3" s="61"/>
      <c r="H3" s="61"/>
      <c r="I3" s="61"/>
      <c r="J3" s="61"/>
      <c r="K3" s="61"/>
      <c r="L3" s="61"/>
      <c r="M3" s="61"/>
      <c r="N3" s="61"/>
      <c r="O3" s="61"/>
      <c r="P3" s="61"/>
      <c r="Q3" s="138"/>
      <c r="R3" s="61"/>
      <c r="S3" s="61"/>
      <c r="T3" s="61"/>
      <c r="U3" s="61"/>
      <c r="V3" s="61"/>
      <c r="W3" s="61"/>
      <c r="X3" s="61"/>
    </row>
    <row r="4" spans="1:24" s="55" customFormat="1" ht="15" customHeight="1">
      <c r="A4" s="67"/>
      <c r="B4" s="434" t="s">
        <v>778</v>
      </c>
      <c r="C4" s="434"/>
      <c r="D4" s="434"/>
      <c r="E4" s="434"/>
      <c r="F4" s="434"/>
      <c r="G4" s="434"/>
      <c r="H4" s="434"/>
      <c r="I4" s="434"/>
      <c r="J4" s="434"/>
      <c r="K4" s="434"/>
      <c r="L4" s="434"/>
      <c r="M4" s="434"/>
      <c r="N4" s="434"/>
      <c r="O4" s="434"/>
      <c r="P4" s="434"/>
      <c r="Q4" s="434"/>
      <c r="R4" s="66"/>
      <c r="S4" s="66"/>
      <c r="T4" s="61"/>
      <c r="U4" s="66"/>
      <c r="V4" s="66"/>
      <c r="W4" s="66"/>
      <c r="X4" s="66"/>
    </row>
    <row r="5" spans="1:24" s="62" customFormat="1" ht="11.25" customHeight="1" thickBot="1">
      <c r="A5" s="138"/>
      <c r="B5" s="138"/>
      <c r="C5" s="61"/>
      <c r="D5" s="61"/>
      <c r="E5" s="61"/>
      <c r="F5" s="61"/>
      <c r="G5" s="61"/>
      <c r="H5" s="61"/>
      <c r="I5" s="61"/>
      <c r="J5" s="61"/>
      <c r="K5" s="61"/>
      <c r="L5" s="61"/>
      <c r="M5" s="61"/>
      <c r="N5" s="61"/>
      <c r="O5" s="61"/>
      <c r="P5" s="61"/>
      <c r="Q5" s="138"/>
      <c r="R5" s="61"/>
      <c r="S5" s="61"/>
      <c r="T5" s="61"/>
      <c r="U5" s="61"/>
      <c r="V5" s="61"/>
      <c r="W5" s="61"/>
      <c r="X5" s="61"/>
    </row>
    <row r="6" spans="1:24" s="62" customFormat="1" ht="3.75" customHeight="1" thickTop="1" thickBot="1">
      <c r="A6" s="209"/>
      <c r="B6" s="209"/>
      <c r="C6" s="210"/>
      <c r="D6" s="210"/>
      <c r="E6" s="210"/>
      <c r="F6" s="210"/>
      <c r="G6" s="210"/>
      <c r="H6" s="210"/>
      <c r="I6" s="210"/>
      <c r="J6" s="210"/>
      <c r="K6" s="210"/>
      <c r="L6" s="210"/>
      <c r="M6" s="210"/>
      <c r="N6" s="210"/>
      <c r="O6" s="210"/>
      <c r="P6" s="210"/>
      <c r="Q6" s="210"/>
      <c r="R6" s="210"/>
      <c r="S6" s="61"/>
      <c r="T6" s="61"/>
      <c r="U6" s="61"/>
      <c r="V6" s="61"/>
      <c r="W6" s="61"/>
      <c r="X6" s="61"/>
    </row>
    <row r="7" spans="1:24" s="62" customFormat="1" ht="19.5" customHeight="1" thickTop="1" thickBot="1">
      <c r="A7" s="211">
        <v>1</v>
      </c>
      <c r="B7" s="436" t="s">
        <v>779</v>
      </c>
      <c r="C7" s="436"/>
      <c r="D7" s="210"/>
      <c r="E7" s="210"/>
      <c r="F7" s="210"/>
      <c r="G7" s="210"/>
      <c r="H7" s="210"/>
      <c r="I7" s="210"/>
      <c r="J7" s="210"/>
      <c r="K7" s="210"/>
      <c r="L7" s="210"/>
      <c r="M7" s="210"/>
      <c r="N7" s="210"/>
      <c r="O7" s="210"/>
      <c r="P7" s="210"/>
      <c r="Q7" s="210"/>
      <c r="R7" s="209"/>
      <c r="S7" s="61"/>
      <c r="T7" s="61"/>
      <c r="U7" s="61"/>
      <c r="V7" s="61"/>
      <c r="W7" s="61"/>
      <c r="X7" s="61"/>
    </row>
    <row r="8" spans="1:24" s="62" customFormat="1" ht="19.5" customHeight="1" thickTop="1" thickBot="1">
      <c r="A8" s="211"/>
      <c r="B8" s="210" t="s">
        <v>770</v>
      </c>
      <c r="C8" s="210"/>
      <c r="D8" s="210"/>
      <c r="E8" s="210"/>
      <c r="F8" s="210"/>
      <c r="G8" s="210"/>
      <c r="H8" s="210"/>
      <c r="I8" s="210"/>
      <c r="J8" s="210"/>
      <c r="K8" s="210"/>
      <c r="L8" s="210"/>
      <c r="M8" s="222"/>
      <c r="N8" s="527">
        <f>'SP3-1'!I30/100</f>
        <v>0</v>
      </c>
      <c r="O8" s="527"/>
      <c r="P8" s="527"/>
      <c r="Q8" s="527"/>
      <c r="R8" s="209"/>
      <c r="S8" s="61"/>
      <c r="T8" s="61"/>
      <c r="U8" s="61"/>
      <c r="V8" s="61"/>
      <c r="W8" s="61"/>
      <c r="X8" s="61"/>
    </row>
    <row r="9" spans="1:24" s="62" customFormat="1" ht="19.5" customHeight="1" thickTop="1">
      <c r="A9" s="238"/>
      <c r="B9" s="235" t="s">
        <v>769</v>
      </c>
      <c r="C9" s="235"/>
      <c r="D9" s="235"/>
      <c r="E9" s="235"/>
      <c r="F9" s="239"/>
      <c r="G9" s="235"/>
      <c r="H9" s="235"/>
      <c r="I9" s="235"/>
      <c r="J9" s="235"/>
      <c r="K9" s="235"/>
      <c r="L9" s="235"/>
      <c r="M9" s="239"/>
      <c r="N9" s="528">
        <f>'SP3-1'!I29</f>
        <v>0</v>
      </c>
      <c r="O9" s="528"/>
      <c r="P9" s="528"/>
      <c r="Q9" s="528"/>
      <c r="R9" s="254"/>
      <c r="S9" s="61"/>
      <c r="T9" s="61"/>
      <c r="U9" s="61"/>
      <c r="V9" s="61"/>
      <c r="W9" s="61"/>
      <c r="X9" s="61"/>
    </row>
    <row r="10" spans="1:24" s="62" customFormat="1" ht="3.75" customHeight="1" thickBot="1">
      <c r="A10" s="242"/>
      <c r="B10" s="63"/>
      <c r="C10" s="63"/>
      <c r="D10" s="63"/>
      <c r="E10" s="63"/>
      <c r="F10" s="227"/>
      <c r="G10" s="63"/>
      <c r="H10" s="63"/>
      <c r="I10" s="63"/>
      <c r="J10" s="63"/>
      <c r="K10" s="63"/>
      <c r="L10" s="63"/>
      <c r="M10" s="227"/>
      <c r="N10" s="227"/>
      <c r="O10" s="227"/>
      <c r="P10" s="227"/>
      <c r="Q10" s="227"/>
      <c r="R10" s="225"/>
      <c r="S10" s="61"/>
      <c r="T10" s="61"/>
      <c r="U10" s="61"/>
      <c r="V10" s="61"/>
      <c r="W10" s="61"/>
      <c r="X10" s="61"/>
    </row>
    <row r="11" spans="1:24" s="62" customFormat="1" ht="19.5" customHeight="1" thickBot="1">
      <c r="A11" s="242"/>
      <c r="B11" s="529"/>
      <c r="C11" s="529"/>
      <c r="D11" s="529"/>
      <c r="E11" s="529"/>
      <c r="F11" s="516" t="s">
        <v>263</v>
      </c>
      <c r="G11" s="516"/>
      <c r="H11" s="516"/>
      <c r="I11" s="516"/>
      <c r="J11" s="516"/>
      <c r="K11" s="516"/>
      <c r="L11" s="516" t="s">
        <v>449</v>
      </c>
      <c r="M11" s="516"/>
      <c r="N11" s="516"/>
      <c r="O11" s="516"/>
      <c r="P11" s="516"/>
      <c r="Q11" s="516"/>
      <c r="R11" s="242"/>
      <c r="S11" s="61"/>
      <c r="T11" s="61"/>
      <c r="U11" s="61"/>
      <c r="V11" s="61"/>
      <c r="W11" s="61"/>
      <c r="X11" s="61"/>
    </row>
    <row r="12" spans="1:24" s="62" customFormat="1" ht="19.5" customHeight="1" thickBot="1">
      <c r="A12" s="242"/>
      <c r="B12" s="517" t="s">
        <v>450</v>
      </c>
      <c r="C12" s="517"/>
      <c r="D12" s="517"/>
      <c r="E12" s="517"/>
      <c r="F12" s="518" t="s">
        <v>451</v>
      </c>
      <c r="G12" s="518"/>
      <c r="H12" s="520"/>
      <c r="I12" s="520"/>
      <c r="J12" s="520"/>
      <c r="K12" s="520"/>
      <c r="L12" s="518" t="s">
        <v>452</v>
      </c>
      <c r="M12" s="518"/>
      <c r="N12" s="520"/>
      <c r="O12" s="520"/>
      <c r="P12" s="520"/>
      <c r="Q12" s="520"/>
      <c r="R12" s="242"/>
      <c r="S12" s="61"/>
      <c r="T12" s="435" t="s">
        <v>914</v>
      </c>
      <c r="U12" s="435"/>
      <c r="V12" s="435"/>
      <c r="W12" s="435"/>
      <c r="X12" s="435"/>
    </row>
    <row r="13" spans="1:24" s="62" customFormat="1" ht="19.5" customHeight="1" thickBot="1">
      <c r="A13" s="242"/>
      <c r="B13" s="517" t="s">
        <v>780</v>
      </c>
      <c r="C13" s="517"/>
      <c r="D13" s="517"/>
      <c r="E13" s="517"/>
      <c r="F13" s="518"/>
      <c r="G13" s="518"/>
      <c r="H13" s="520"/>
      <c r="I13" s="520"/>
      <c r="J13" s="520"/>
      <c r="K13" s="520"/>
      <c r="L13" s="518"/>
      <c r="M13" s="518"/>
      <c r="N13" s="520"/>
      <c r="O13" s="520"/>
      <c r="P13" s="520"/>
      <c r="Q13" s="520"/>
      <c r="R13" s="242"/>
      <c r="S13" s="61"/>
      <c r="T13" s="435" t="s">
        <v>914</v>
      </c>
      <c r="U13" s="435"/>
      <c r="V13" s="435"/>
      <c r="W13" s="435"/>
      <c r="X13" s="435"/>
    </row>
    <row r="14" spans="1:24" s="62" customFormat="1" ht="19.5" customHeight="1" thickTop="1" thickBot="1">
      <c r="A14" s="242"/>
      <c r="B14" s="517" t="s">
        <v>906</v>
      </c>
      <c r="C14" s="517"/>
      <c r="D14" s="517"/>
      <c r="E14" s="517"/>
      <c r="F14" s="518" t="s">
        <v>781</v>
      </c>
      <c r="G14" s="518"/>
      <c r="H14" s="520"/>
      <c r="I14" s="520"/>
      <c r="J14" s="520"/>
      <c r="K14" s="520"/>
      <c r="L14" s="518" t="s">
        <v>782</v>
      </c>
      <c r="M14" s="518"/>
      <c r="N14" s="520"/>
      <c r="O14" s="520"/>
      <c r="P14" s="520"/>
      <c r="Q14" s="520"/>
      <c r="R14" s="242"/>
      <c r="S14" s="61"/>
      <c r="T14" s="530" t="s">
        <v>907</v>
      </c>
      <c r="U14" s="530"/>
      <c r="V14" s="530"/>
      <c r="W14" s="530"/>
      <c r="X14" s="530"/>
    </row>
    <row r="15" spans="1:24" s="62" customFormat="1" ht="19.5" customHeight="1" thickBot="1">
      <c r="A15" s="242"/>
      <c r="B15" s="517" t="s">
        <v>772</v>
      </c>
      <c r="C15" s="517"/>
      <c r="D15" s="517"/>
      <c r="E15" s="517"/>
      <c r="F15" s="518" t="s">
        <v>453</v>
      </c>
      <c r="G15" s="518"/>
      <c r="H15" s="519"/>
      <c r="I15" s="519"/>
      <c r="J15" s="519"/>
      <c r="K15" s="519"/>
      <c r="L15" s="518" t="s">
        <v>454</v>
      </c>
      <c r="M15" s="518"/>
      <c r="N15" s="519"/>
      <c r="O15" s="519"/>
      <c r="P15" s="519"/>
      <c r="Q15" s="519"/>
      <c r="R15" s="242"/>
      <c r="S15" s="61"/>
      <c r="T15" s="435" t="s">
        <v>914</v>
      </c>
      <c r="U15" s="435"/>
      <c r="V15" s="435"/>
      <c r="W15" s="435"/>
      <c r="X15" s="435"/>
    </row>
    <row r="16" spans="1:24" s="62" customFormat="1" ht="19.5" customHeight="1" thickBot="1">
      <c r="A16" s="242"/>
      <c r="B16" s="517" t="s">
        <v>783</v>
      </c>
      <c r="C16" s="517"/>
      <c r="D16" s="517"/>
      <c r="E16" s="517"/>
      <c r="F16" s="518"/>
      <c r="G16" s="518"/>
      <c r="H16" s="531"/>
      <c r="I16" s="531"/>
      <c r="J16" s="531"/>
      <c r="K16" s="531"/>
      <c r="L16" s="518"/>
      <c r="M16" s="518"/>
      <c r="N16" s="531"/>
      <c r="O16" s="531"/>
      <c r="P16" s="531"/>
      <c r="Q16" s="531"/>
      <c r="R16" s="242"/>
      <c r="S16" s="61"/>
      <c r="T16" s="435" t="s">
        <v>915</v>
      </c>
      <c r="U16" s="435"/>
      <c r="V16" s="435"/>
      <c r="W16" s="435"/>
      <c r="X16" s="435"/>
    </row>
    <row r="17" spans="1:24" s="62" customFormat="1" ht="19.5" customHeight="1" thickTop="1" thickBot="1">
      <c r="A17" s="242"/>
      <c r="B17" s="517" t="s">
        <v>908</v>
      </c>
      <c r="C17" s="517"/>
      <c r="D17" s="517"/>
      <c r="E17" s="517"/>
      <c r="F17" s="518" t="s">
        <v>784</v>
      </c>
      <c r="G17" s="518"/>
      <c r="H17" s="532">
        <f>IF(H15="",,Tables!C11)</f>
        <v>0</v>
      </c>
      <c r="I17" s="532"/>
      <c r="J17" s="532"/>
      <c r="K17" s="532"/>
      <c r="L17" s="518" t="s">
        <v>785</v>
      </c>
      <c r="M17" s="518"/>
      <c r="N17" s="532">
        <f>IF(N15="",,Tables!C12)</f>
        <v>0</v>
      </c>
      <c r="O17" s="532"/>
      <c r="P17" s="532"/>
      <c r="Q17" s="532"/>
      <c r="R17" s="242"/>
      <c r="S17" s="61"/>
      <c r="T17" s="530" t="s">
        <v>907</v>
      </c>
      <c r="U17" s="530"/>
      <c r="V17" s="530"/>
      <c r="W17" s="530"/>
      <c r="X17" s="530"/>
    </row>
    <row r="18" spans="1:24" s="62" customFormat="1" ht="11.5">
      <c r="A18" s="63"/>
      <c r="B18" s="63"/>
      <c r="C18" s="63"/>
      <c r="D18" s="63"/>
      <c r="E18" s="63"/>
      <c r="F18" s="63"/>
      <c r="G18" s="63"/>
      <c r="H18" s="63"/>
      <c r="I18" s="63"/>
      <c r="J18" s="63"/>
      <c r="K18" s="63"/>
      <c r="L18" s="63"/>
      <c r="M18" s="63"/>
      <c r="N18" s="63"/>
      <c r="O18" s="63"/>
      <c r="P18" s="63"/>
      <c r="Q18" s="63"/>
      <c r="R18" s="63"/>
      <c r="S18" s="61"/>
      <c r="T18" s="61"/>
      <c r="U18" s="61"/>
      <c r="V18" s="61"/>
      <c r="W18" s="61"/>
      <c r="X18" s="61"/>
    </row>
    <row r="19" spans="1:24" s="62" customFormat="1" ht="19.5" customHeight="1">
      <c r="A19" s="242">
        <v>2</v>
      </c>
      <c r="B19" s="524" t="s">
        <v>786</v>
      </c>
      <c r="C19" s="524"/>
      <c r="D19" s="524"/>
      <c r="E19" s="524"/>
      <c r="F19" s="524"/>
      <c r="G19" s="524"/>
      <c r="H19" s="524"/>
      <c r="I19" s="524"/>
      <c r="J19" s="256"/>
      <c r="K19" s="256"/>
      <c r="L19" s="256"/>
      <c r="M19" s="256"/>
      <c r="N19" s="256"/>
      <c r="O19" s="256"/>
      <c r="P19" s="256"/>
      <c r="Q19" s="256"/>
      <c r="R19" s="242"/>
      <c r="S19" s="61"/>
      <c r="T19" s="61"/>
      <c r="U19" s="61"/>
      <c r="V19" s="61"/>
      <c r="W19" s="61"/>
      <c r="X19" s="61"/>
    </row>
    <row r="20" spans="1:24" s="62" customFormat="1" ht="19.5" customHeight="1" thickBot="1">
      <c r="A20" s="243"/>
      <c r="B20" s="258"/>
      <c r="C20" s="258"/>
      <c r="D20" s="258"/>
      <c r="E20" s="258"/>
      <c r="F20" s="258"/>
      <c r="G20" s="535" t="s">
        <v>787</v>
      </c>
      <c r="H20" s="535"/>
      <c r="I20" s="535"/>
      <c r="J20" s="535"/>
      <c r="K20" s="535"/>
      <c r="L20" s="535"/>
      <c r="M20" s="536" t="s">
        <v>399</v>
      </c>
      <c r="N20" s="537">
        <f>(H12*(H14+H17)*N9*365)/100</f>
        <v>0</v>
      </c>
      <c r="O20" s="537"/>
      <c r="P20" s="537"/>
      <c r="Q20" s="537"/>
      <c r="R20" s="243" t="s">
        <v>419</v>
      </c>
      <c r="S20" s="61"/>
      <c r="T20" s="61"/>
      <c r="U20" s="61"/>
      <c r="V20" s="61"/>
      <c r="W20" s="61"/>
      <c r="X20" s="61"/>
    </row>
    <row r="21" spans="1:24" s="62" customFormat="1" ht="19.5" customHeight="1" thickTop="1" thickBot="1">
      <c r="A21" s="211"/>
      <c r="B21" s="248"/>
      <c r="C21" s="248"/>
      <c r="D21" s="248"/>
      <c r="E21" s="248"/>
      <c r="F21" s="248"/>
      <c r="G21" s="461">
        <v>100</v>
      </c>
      <c r="H21" s="461"/>
      <c r="I21" s="461"/>
      <c r="J21" s="461"/>
      <c r="K21" s="461"/>
      <c r="L21" s="461"/>
      <c r="M21" s="526"/>
      <c r="N21" s="453"/>
      <c r="O21" s="453"/>
      <c r="P21" s="453"/>
      <c r="Q21" s="453"/>
      <c r="R21" s="211"/>
      <c r="S21" s="61"/>
      <c r="T21" s="61"/>
      <c r="U21" s="61"/>
      <c r="V21" s="61"/>
      <c r="W21" s="61"/>
      <c r="X21" s="61"/>
    </row>
    <row r="22" spans="1:24" s="62" customFormat="1" ht="12.5" thickTop="1" thickBot="1">
      <c r="A22" s="211"/>
      <c r="B22" s="248"/>
      <c r="C22" s="248"/>
      <c r="D22" s="248"/>
      <c r="E22" s="248"/>
      <c r="F22" s="248"/>
      <c r="G22" s="210"/>
      <c r="H22" s="210"/>
      <c r="I22" s="210"/>
      <c r="J22" s="210"/>
      <c r="K22" s="210"/>
      <c r="L22" s="210"/>
      <c r="M22" s="222"/>
      <c r="N22" s="248"/>
      <c r="O22" s="248"/>
      <c r="P22" s="248"/>
      <c r="Q22" s="248"/>
      <c r="R22" s="211"/>
      <c r="S22" s="61"/>
      <c r="T22" s="61"/>
      <c r="U22" s="61"/>
      <c r="V22" s="61"/>
      <c r="W22" s="61"/>
      <c r="X22" s="61"/>
    </row>
    <row r="23" spans="1:24" s="62" customFormat="1" ht="19.5" customHeight="1" thickTop="1" thickBot="1">
      <c r="A23" s="211">
        <v>3</v>
      </c>
      <c r="B23" s="436" t="s">
        <v>788</v>
      </c>
      <c r="C23" s="436"/>
      <c r="D23" s="436"/>
      <c r="E23" s="436"/>
      <c r="F23" s="436"/>
      <c r="G23" s="436"/>
      <c r="H23" s="436"/>
      <c r="I23" s="210"/>
      <c r="J23" s="210"/>
      <c r="K23" s="248"/>
      <c r="L23" s="248"/>
      <c r="M23" s="222"/>
      <c r="N23" s="248"/>
      <c r="O23" s="248"/>
      <c r="P23" s="248"/>
      <c r="Q23" s="248"/>
      <c r="R23" s="211"/>
      <c r="S23" s="61"/>
      <c r="T23" s="61"/>
      <c r="U23" s="61"/>
      <c r="V23" s="61"/>
      <c r="W23" s="61"/>
      <c r="X23" s="61"/>
    </row>
    <row r="24" spans="1:24" s="62" customFormat="1" ht="19.5" customHeight="1" thickTop="1" thickBot="1">
      <c r="A24" s="211"/>
      <c r="B24" s="248"/>
      <c r="C24" s="248"/>
      <c r="D24" s="248"/>
      <c r="E24" s="248"/>
      <c r="F24" s="248"/>
      <c r="G24" s="458" t="s">
        <v>789</v>
      </c>
      <c r="H24" s="458"/>
      <c r="I24" s="458"/>
      <c r="J24" s="458"/>
      <c r="K24" s="458"/>
      <c r="L24" s="458"/>
      <c r="M24" s="525" t="s">
        <v>399</v>
      </c>
      <c r="N24" s="453">
        <f>(N12*(N14+N17)*N9*365)/100</f>
        <v>0</v>
      </c>
      <c r="O24" s="453"/>
      <c r="P24" s="453"/>
      <c r="Q24" s="453"/>
      <c r="R24" s="211" t="s">
        <v>429</v>
      </c>
      <c r="S24" s="61"/>
      <c r="T24" s="61"/>
      <c r="U24" s="61"/>
      <c r="V24" s="61"/>
      <c r="W24" s="61"/>
      <c r="X24" s="61"/>
    </row>
    <row r="25" spans="1:24" s="62" customFormat="1" ht="19.5" customHeight="1" thickTop="1" thickBot="1">
      <c r="A25" s="211"/>
      <c r="B25" s="248"/>
      <c r="C25" s="248"/>
      <c r="D25" s="248"/>
      <c r="E25" s="248"/>
      <c r="F25" s="248"/>
      <c r="G25" s="461">
        <v>100</v>
      </c>
      <c r="H25" s="461"/>
      <c r="I25" s="461"/>
      <c r="J25" s="461"/>
      <c r="K25" s="461"/>
      <c r="L25" s="461"/>
      <c r="M25" s="526"/>
      <c r="N25" s="453"/>
      <c r="O25" s="453"/>
      <c r="P25" s="453"/>
      <c r="Q25" s="453"/>
      <c r="R25" s="211"/>
      <c r="S25" s="61"/>
      <c r="T25" s="61"/>
      <c r="U25" s="61"/>
      <c r="V25" s="61"/>
      <c r="W25" s="61"/>
      <c r="X25" s="61"/>
    </row>
    <row r="26" spans="1:24" s="62" customFormat="1" ht="12.5" thickTop="1" thickBot="1">
      <c r="A26" s="211"/>
      <c r="B26" s="248"/>
      <c r="C26" s="248"/>
      <c r="D26" s="248"/>
      <c r="E26" s="248"/>
      <c r="F26" s="248"/>
      <c r="G26" s="210"/>
      <c r="H26" s="210"/>
      <c r="I26" s="210"/>
      <c r="J26" s="210"/>
      <c r="K26" s="210"/>
      <c r="L26" s="210"/>
      <c r="M26" s="210"/>
      <c r="N26" s="248"/>
      <c r="O26" s="248"/>
      <c r="P26" s="248"/>
      <c r="Q26" s="248"/>
      <c r="R26" s="211"/>
      <c r="S26" s="61"/>
      <c r="T26" s="61"/>
      <c r="U26" s="61"/>
      <c r="V26" s="61"/>
      <c r="W26" s="61"/>
      <c r="X26" s="61"/>
    </row>
    <row r="27" spans="1:24" s="62" customFormat="1" ht="19.5" customHeight="1" thickTop="1" thickBot="1">
      <c r="A27" s="211">
        <v>4</v>
      </c>
      <c r="B27" s="436" t="s">
        <v>790</v>
      </c>
      <c r="C27" s="436"/>
      <c r="D27" s="436"/>
      <c r="E27" s="436"/>
      <c r="F27" s="436"/>
      <c r="G27" s="436"/>
      <c r="H27" s="436"/>
      <c r="I27" s="259"/>
      <c r="J27" s="248"/>
      <c r="K27" s="248"/>
      <c r="L27" s="248"/>
      <c r="M27" s="223" t="s">
        <v>791</v>
      </c>
      <c r="N27" s="453">
        <f>N20-N24</f>
        <v>0</v>
      </c>
      <c r="O27" s="453"/>
      <c r="P27" s="453"/>
      <c r="Q27" s="453"/>
      <c r="R27" s="211" t="s">
        <v>792</v>
      </c>
      <c r="S27" s="61"/>
      <c r="U27" s="61"/>
      <c r="V27" s="61"/>
      <c r="W27" s="61"/>
      <c r="X27" s="61"/>
    </row>
    <row r="28" spans="1:24" s="62" customFormat="1" ht="3.75" customHeight="1" thickTop="1" thickBot="1">
      <c r="A28" s="211"/>
      <c r="B28" s="248"/>
      <c r="C28" s="248"/>
      <c r="D28" s="248"/>
      <c r="E28" s="248"/>
      <c r="F28" s="248"/>
      <c r="G28" s="248"/>
      <c r="H28" s="248"/>
      <c r="I28" s="259"/>
      <c r="J28" s="248"/>
      <c r="K28" s="248"/>
      <c r="L28" s="248"/>
      <c r="M28" s="223"/>
      <c r="N28" s="223"/>
      <c r="O28" s="223"/>
      <c r="P28" s="223"/>
      <c r="Q28" s="223"/>
      <c r="R28" s="211"/>
      <c r="S28" s="61"/>
      <c r="U28" s="61"/>
      <c r="V28" s="61"/>
      <c r="W28" s="61"/>
      <c r="X28" s="61"/>
    </row>
    <row r="29" spans="1:24" s="62" customFormat="1" ht="11.5" customHeight="1" thickTop="1" thickBot="1">
      <c r="A29" s="211">
        <v>5</v>
      </c>
      <c r="B29" s="436" t="s">
        <v>793</v>
      </c>
      <c r="C29" s="436"/>
      <c r="D29" s="436"/>
      <c r="E29" s="436"/>
      <c r="F29" s="436"/>
      <c r="G29" s="248"/>
      <c r="H29" s="248"/>
      <c r="I29" s="248"/>
      <c r="J29" s="248"/>
      <c r="K29" s="248"/>
      <c r="L29" s="248"/>
      <c r="M29" s="223" t="s">
        <v>794</v>
      </c>
      <c r="N29" s="494">
        <f>N27*Tables!O8</f>
        <v>0</v>
      </c>
      <c r="O29" s="494"/>
      <c r="P29" s="494"/>
      <c r="Q29" s="494"/>
      <c r="R29" s="211" t="s">
        <v>795</v>
      </c>
      <c r="S29" s="61"/>
      <c r="T29" s="435" t="s">
        <v>796</v>
      </c>
      <c r="U29" s="435"/>
      <c r="V29" s="435"/>
      <c r="W29" s="435"/>
      <c r="X29" s="435"/>
    </row>
    <row r="30" spans="1:24" s="62" customFormat="1" ht="11.5" customHeight="1" thickTop="1" thickBot="1">
      <c r="A30" s="211"/>
      <c r="B30" s="248"/>
      <c r="C30" s="248"/>
      <c r="D30" s="248"/>
      <c r="E30" s="248"/>
      <c r="F30" s="248"/>
      <c r="G30" s="248"/>
      <c r="H30" s="248"/>
      <c r="I30" s="248"/>
      <c r="J30" s="248"/>
      <c r="K30" s="248"/>
      <c r="L30" s="248"/>
      <c r="M30" s="223"/>
      <c r="N30" s="248"/>
      <c r="O30" s="248"/>
      <c r="P30" s="248"/>
      <c r="Q30" s="248"/>
      <c r="R30" s="211"/>
      <c r="S30" s="61"/>
      <c r="T30" s="61"/>
      <c r="U30" s="61"/>
      <c r="V30" s="61"/>
      <c r="W30" s="61"/>
      <c r="X30" s="61"/>
    </row>
    <row r="31" spans="1:24" s="62" customFormat="1" ht="11.5" customHeight="1" thickTop="1">
      <c r="A31" s="64"/>
      <c r="B31" s="72"/>
      <c r="C31" s="72"/>
      <c r="D31" s="72"/>
      <c r="E31" s="72"/>
      <c r="F31" s="72"/>
      <c r="G31" s="72"/>
      <c r="H31" s="72"/>
      <c r="I31" s="72"/>
      <c r="J31" s="72"/>
      <c r="K31" s="72"/>
      <c r="L31" s="72"/>
      <c r="M31" s="72"/>
      <c r="N31" s="73"/>
      <c r="O31" s="72"/>
      <c r="P31" s="72"/>
      <c r="Q31" s="72"/>
      <c r="R31" s="64"/>
      <c r="S31" s="61"/>
      <c r="T31" s="61"/>
      <c r="U31" s="61"/>
      <c r="V31" s="61"/>
      <c r="W31" s="61"/>
      <c r="X31" s="61"/>
    </row>
    <row r="32" spans="1:24" s="62" customFormat="1" ht="11.5" hidden="1" customHeight="1">
      <c r="A32" s="64"/>
      <c r="B32" s="61" t="s">
        <v>798</v>
      </c>
      <c r="C32" s="72"/>
      <c r="D32" s="72"/>
      <c r="E32" s="72"/>
      <c r="F32" s="72"/>
      <c r="G32" s="72"/>
      <c r="H32" s="72"/>
      <c r="I32" s="72"/>
      <c r="J32" s="72"/>
      <c r="K32" s="72"/>
      <c r="L32" s="72"/>
      <c r="M32" s="72"/>
      <c r="N32" s="73"/>
      <c r="O32" s="72"/>
      <c r="P32" s="72"/>
      <c r="Q32" s="72"/>
      <c r="R32" s="64"/>
      <c r="S32" s="61"/>
      <c r="T32" s="61"/>
      <c r="U32" s="61"/>
      <c r="V32" s="61"/>
      <c r="W32" s="61"/>
      <c r="X32" s="61"/>
    </row>
    <row r="33" spans="1:24" s="62" customFormat="1" ht="11.5" hidden="1" customHeight="1">
      <c r="A33" s="64"/>
      <c r="B33" s="61">
        <f>N27*Tables!O15</f>
        <v>0</v>
      </c>
      <c r="C33" s="72"/>
      <c r="D33" s="72"/>
      <c r="E33" s="72"/>
      <c r="F33" s="72"/>
      <c r="G33" s="72"/>
      <c r="H33" s="72"/>
      <c r="I33" s="72"/>
      <c r="J33" s="72"/>
      <c r="K33" s="72"/>
      <c r="L33" s="72"/>
      <c r="M33" s="72"/>
      <c r="N33" s="73"/>
      <c r="O33" s="72"/>
      <c r="P33" s="72"/>
      <c r="Q33" s="72"/>
      <c r="R33" s="64"/>
      <c r="S33" s="61"/>
      <c r="T33" s="61"/>
      <c r="U33" s="61"/>
      <c r="V33" s="61"/>
      <c r="W33" s="61"/>
      <c r="X33" s="61"/>
    </row>
    <row r="34" spans="1:24" s="62" customFormat="1" ht="11.5" customHeight="1">
      <c r="A34" s="64"/>
      <c r="B34" s="61"/>
      <c r="C34" s="72"/>
      <c r="D34" s="72"/>
      <c r="E34" s="72"/>
      <c r="F34" s="72"/>
      <c r="G34" s="72"/>
      <c r="H34" s="72"/>
      <c r="I34" s="72"/>
      <c r="J34" s="72"/>
      <c r="K34" s="72"/>
      <c r="L34" s="72"/>
      <c r="M34" s="72"/>
      <c r="N34" s="73"/>
      <c r="O34" s="72"/>
      <c r="P34" s="72"/>
      <c r="Q34" s="72"/>
      <c r="R34" s="64"/>
      <c r="S34" s="61"/>
      <c r="T34" s="61"/>
      <c r="U34" s="61"/>
      <c r="V34" s="61"/>
      <c r="W34" s="61"/>
      <c r="X34" s="61"/>
    </row>
    <row r="35" spans="1:24" s="62" customFormat="1" ht="10.5" customHeight="1">
      <c r="A35" s="64"/>
      <c r="B35" s="61"/>
      <c r="C35" s="72"/>
      <c r="D35" s="72"/>
      <c r="E35" s="72"/>
      <c r="F35" s="72"/>
      <c r="G35" s="72"/>
      <c r="H35" s="72"/>
      <c r="I35" s="72"/>
      <c r="J35" s="72"/>
      <c r="K35" s="72"/>
      <c r="L35" s="72"/>
      <c r="M35" s="72"/>
      <c r="N35" s="73"/>
      <c r="O35" s="72"/>
      <c r="P35" s="72"/>
      <c r="Q35" s="72"/>
      <c r="R35" s="64"/>
      <c r="S35" s="61"/>
      <c r="T35" s="61"/>
      <c r="U35" s="61"/>
      <c r="V35" s="61"/>
      <c r="W35" s="61"/>
      <c r="X35" s="61"/>
    </row>
    <row r="36" spans="1:24" s="62" customFormat="1" ht="10.5" customHeight="1">
      <c r="A36" s="64"/>
      <c r="B36" s="61"/>
      <c r="C36" s="72"/>
      <c r="D36" s="72"/>
      <c r="E36" s="72"/>
      <c r="F36" s="72"/>
      <c r="G36" s="72"/>
      <c r="H36" s="72"/>
      <c r="I36" s="72"/>
      <c r="J36" s="72"/>
      <c r="K36" s="72"/>
      <c r="L36" s="72"/>
      <c r="M36" s="72"/>
      <c r="N36" s="73"/>
      <c r="O36" s="72"/>
      <c r="P36" s="72"/>
      <c r="Q36" s="72"/>
      <c r="R36" s="64"/>
      <c r="S36" s="61"/>
      <c r="T36" s="61"/>
      <c r="U36" s="61"/>
      <c r="V36" s="61"/>
      <c r="W36" s="61"/>
      <c r="X36" s="61"/>
    </row>
    <row r="37" spans="1:24" s="62" customFormat="1" ht="24" customHeight="1">
      <c r="A37" s="64"/>
      <c r="B37" s="327" t="s">
        <v>797</v>
      </c>
      <c r="C37" s="72"/>
      <c r="D37" s="72"/>
      <c r="E37" s="72"/>
      <c r="F37" s="72"/>
      <c r="G37" s="72"/>
      <c r="H37" s="72"/>
      <c r="I37" s="72"/>
      <c r="J37" s="72"/>
      <c r="K37" s="72"/>
      <c r="L37" s="72"/>
      <c r="M37" s="72"/>
      <c r="N37" s="73"/>
      <c r="O37" s="72"/>
      <c r="P37" s="72"/>
      <c r="Q37" s="72"/>
      <c r="R37" s="64"/>
      <c r="S37" s="61"/>
      <c r="T37" s="61"/>
      <c r="U37" s="61"/>
      <c r="V37" s="61"/>
      <c r="W37" s="61"/>
      <c r="X37" s="61"/>
    </row>
    <row r="38" spans="1:24" s="62" customFormat="1" ht="14.25" customHeight="1">
      <c r="A38" s="64"/>
      <c r="B38" s="72"/>
      <c r="C38" s="72"/>
      <c r="D38" s="72"/>
      <c r="E38" s="72"/>
      <c r="F38" s="72"/>
      <c r="G38" s="72"/>
      <c r="H38" s="72"/>
      <c r="I38" s="72"/>
      <c r="J38" s="72"/>
      <c r="K38" s="72"/>
      <c r="L38" s="72"/>
      <c r="M38" s="72"/>
      <c r="N38" s="73"/>
      <c r="O38" s="72"/>
      <c r="P38" s="72"/>
      <c r="Q38" s="72"/>
      <c r="R38" s="64"/>
      <c r="S38" s="61"/>
      <c r="T38" s="61"/>
      <c r="U38" s="61"/>
      <c r="V38" s="61"/>
      <c r="W38" s="61"/>
      <c r="X38" s="61"/>
    </row>
    <row r="39" spans="1:24" s="62" customFormat="1" ht="14.25" customHeight="1">
      <c r="A39" s="64"/>
      <c r="B39" s="72"/>
      <c r="C39" s="72"/>
      <c r="D39" s="72"/>
      <c r="E39" s="72"/>
      <c r="F39" s="72"/>
      <c r="G39" s="72"/>
      <c r="H39" s="72"/>
      <c r="I39" s="72"/>
      <c r="J39" s="72"/>
      <c r="K39" s="72"/>
      <c r="L39" s="72"/>
      <c r="M39" s="72"/>
      <c r="N39" s="72"/>
      <c r="O39" s="72"/>
      <c r="P39" s="72"/>
      <c r="Q39" s="72"/>
      <c r="R39" s="64"/>
      <c r="S39" s="61"/>
      <c r="T39" s="61"/>
      <c r="U39" s="61"/>
      <c r="V39" s="61"/>
      <c r="W39" s="61"/>
      <c r="X39" s="61"/>
    </row>
    <row r="40" spans="1:24" s="62" customFormat="1" ht="14.25" customHeight="1">
      <c r="A40" s="64"/>
      <c r="B40" s="72"/>
      <c r="C40" s="72"/>
      <c r="D40" s="72"/>
      <c r="E40" s="72"/>
      <c r="F40" s="72"/>
      <c r="G40" s="72"/>
      <c r="H40" s="72"/>
      <c r="I40" s="72"/>
      <c r="J40" s="72"/>
      <c r="K40" s="72"/>
      <c r="L40" s="72"/>
      <c r="M40" s="72"/>
      <c r="N40" s="72"/>
      <c r="O40" s="73"/>
      <c r="P40" s="73"/>
      <c r="Q40" s="73"/>
      <c r="R40" s="64"/>
      <c r="S40" s="61"/>
      <c r="T40" s="61"/>
      <c r="U40" s="61"/>
      <c r="V40" s="61"/>
      <c r="W40" s="61"/>
      <c r="X40" s="61"/>
    </row>
    <row r="41" spans="1:24" s="62" customFormat="1" ht="14.25" customHeight="1">
      <c r="A41" s="64"/>
      <c r="B41" s="72"/>
      <c r="C41" s="72"/>
      <c r="D41" s="72"/>
      <c r="E41" s="72"/>
      <c r="F41" s="72"/>
      <c r="G41" s="72"/>
      <c r="H41" s="72"/>
      <c r="I41" s="72"/>
      <c r="J41" s="72"/>
      <c r="K41" s="72"/>
      <c r="L41" s="72"/>
      <c r="M41" s="72"/>
      <c r="N41" s="72"/>
      <c r="O41" s="73"/>
      <c r="P41" s="73"/>
      <c r="Q41" s="73"/>
      <c r="R41" s="64"/>
      <c r="S41" s="61"/>
      <c r="T41" s="61"/>
      <c r="U41" s="61"/>
      <c r="V41" s="61"/>
      <c r="W41" s="61"/>
      <c r="X41" s="61"/>
    </row>
    <row r="42" spans="1:24" s="62" customFormat="1" ht="14.25" customHeight="1">
      <c r="A42" s="64"/>
      <c r="B42" s="72"/>
      <c r="C42" s="72"/>
      <c r="D42" s="72"/>
      <c r="E42" s="72"/>
      <c r="F42" s="72"/>
      <c r="G42" s="72"/>
      <c r="H42" s="72"/>
      <c r="I42" s="72"/>
      <c r="J42" s="72"/>
      <c r="K42" s="72"/>
      <c r="L42" s="72"/>
      <c r="M42" s="72"/>
      <c r="N42" s="72"/>
      <c r="O42" s="72"/>
      <c r="P42" s="72"/>
      <c r="Q42" s="72"/>
      <c r="R42" s="64"/>
      <c r="S42" s="61"/>
      <c r="T42" s="61"/>
      <c r="U42" s="61"/>
      <c r="V42" s="61"/>
      <c r="W42" s="61"/>
      <c r="X42" s="61"/>
    </row>
    <row r="43" spans="1:24" s="62" customFormat="1" ht="11.5">
      <c r="A43" s="61"/>
      <c r="B43" s="61"/>
      <c r="C43" s="61"/>
      <c r="D43" s="61"/>
      <c r="E43" s="61"/>
      <c r="F43" s="61"/>
      <c r="G43" s="61"/>
      <c r="H43" s="61"/>
      <c r="I43" s="61"/>
      <c r="J43" s="61"/>
      <c r="K43" s="61"/>
      <c r="L43" s="61"/>
      <c r="M43" s="61"/>
      <c r="N43" s="61"/>
      <c r="O43" s="61"/>
      <c r="P43" s="61"/>
      <c r="Q43" s="61"/>
      <c r="R43" s="61"/>
      <c r="S43" s="61"/>
      <c r="T43" s="61"/>
      <c r="U43" s="61"/>
      <c r="V43" s="61"/>
      <c r="W43" s="61"/>
      <c r="X43" s="61"/>
    </row>
    <row r="44" spans="1:24" s="62" customFormat="1" ht="11.5">
      <c r="A44" s="61"/>
      <c r="B44" s="61"/>
      <c r="C44" s="61"/>
      <c r="D44" s="61"/>
      <c r="E44" s="61"/>
      <c r="F44" s="61"/>
      <c r="G44" s="61"/>
      <c r="H44" s="61"/>
      <c r="I44" s="61"/>
      <c r="J44" s="61"/>
      <c r="K44" s="61"/>
      <c r="L44" s="61"/>
      <c r="M44" s="61"/>
      <c r="N44" s="61"/>
      <c r="O44" s="61"/>
      <c r="P44" s="61"/>
      <c r="Q44" s="61"/>
      <c r="R44" s="61"/>
      <c r="S44" s="61"/>
      <c r="T44" s="61"/>
      <c r="U44" s="61"/>
      <c r="V44" s="61"/>
      <c r="W44" s="61"/>
      <c r="X44" s="61"/>
    </row>
    <row r="45" spans="1:24" s="62" customFormat="1" ht="11.5">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s="62" customFormat="1" ht="11.5">
      <c r="A46" s="61"/>
      <c r="B46" s="61"/>
      <c r="C46" s="61"/>
      <c r="D46" s="61"/>
      <c r="E46" s="61"/>
      <c r="F46" s="61"/>
      <c r="G46" s="61"/>
      <c r="H46" s="61"/>
      <c r="I46" s="61"/>
      <c r="J46" s="61"/>
      <c r="K46" s="61"/>
      <c r="L46" s="61"/>
      <c r="M46" s="61"/>
      <c r="N46" s="61"/>
      <c r="O46" s="61"/>
      <c r="P46" s="61"/>
      <c r="Q46" s="61"/>
      <c r="R46" s="61"/>
      <c r="S46" s="61"/>
      <c r="T46" s="61"/>
      <c r="U46" s="61"/>
      <c r="V46" s="61"/>
      <c r="W46" s="61"/>
      <c r="X46" s="61"/>
    </row>
    <row r="47" spans="1:24" s="62" customFormat="1" ht="11.5">
      <c r="A47" s="61"/>
      <c r="B47" s="61"/>
      <c r="C47" s="61"/>
      <c r="D47" s="61"/>
      <c r="E47" s="61"/>
      <c r="F47" s="61"/>
      <c r="G47" s="61"/>
      <c r="H47" s="533"/>
      <c r="I47" s="533"/>
      <c r="J47" s="533"/>
      <c r="K47" s="534"/>
      <c r="L47" s="533"/>
      <c r="M47" s="533"/>
      <c r="N47" s="533"/>
      <c r="O47" s="533"/>
      <c r="P47" s="61"/>
      <c r="Q47" s="61"/>
      <c r="R47" s="61"/>
      <c r="S47" s="61"/>
      <c r="T47" s="61"/>
      <c r="U47" s="61"/>
      <c r="V47" s="61"/>
      <c r="W47" s="61"/>
      <c r="X47" s="61"/>
    </row>
    <row r="48" spans="1:24" s="62" customFormat="1" ht="11.5">
      <c r="A48" s="61"/>
      <c r="B48" s="61"/>
      <c r="C48" s="61"/>
      <c r="D48" s="61"/>
      <c r="E48" s="61"/>
      <c r="F48" s="61"/>
      <c r="G48" s="61"/>
      <c r="H48" s="61"/>
      <c r="I48" s="61"/>
      <c r="J48" s="61"/>
      <c r="K48" s="61"/>
      <c r="L48" s="61"/>
      <c r="M48" s="61"/>
      <c r="N48" s="61"/>
      <c r="O48" s="61"/>
      <c r="P48" s="61"/>
      <c r="Q48" s="61"/>
      <c r="R48" s="61"/>
      <c r="S48" s="61"/>
      <c r="T48" s="61"/>
      <c r="U48" s="61"/>
      <c r="V48" s="61"/>
      <c r="W48" s="61"/>
      <c r="X48" s="61"/>
    </row>
    <row r="49" spans="1:24" s="62" customFormat="1" ht="11.5">
      <c r="A49" s="61"/>
      <c r="B49" s="61"/>
      <c r="C49" s="61"/>
      <c r="D49" s="61"/>
      <c r="E49" s="61"/>
      <c r="F49" s="61"/>
      <c r="G49" s="61"/>
      <c r="H49" s="61"/>
      <c r="I49" s="61"/>
      <c r="J49" s="61"/>
      <c r="K49" s="61"/>
      <c r="L49" s="61"/>
      <c r="M49" s="61"/>
      <c r="N49" s="61"/>
      <c r="O49" s="61"/>
      <c r="P49" s="61"/>
      <c r="Q49" s="61"/>
      <c r="R49" s="61"/>
      <c r="S49" s="61"/>
      <c r="T49" s="61"/>
      <c r="U49" s="61"/>
      <c r="V49" s="61"/>
      <c r="W49" s="61"/>
      <c r="X49" s="61"/>
    </row>
    <row r="50" spans="1:24" s="62" customFormat="1" ht="11.5">
      <c r="A50" s="61"/>
      <c r="B50" s="61"/>
      <c r="C50" s="61"/>
      <c r="D50" s="61"/>
      <c r="E50" s="61"/>
      <c r="F50" s="61"/>
      <c r="G50" s="61"/>
      <c r="H50" s="61"/>
      <c r="I50" s="61"/>
      <c r="J50" s="61"/>
      <c r="K50" s="61"/>
      <c r="L50" s="61"/>
      <c r="M50" s="61"/>
      <c r="N50" s="61"/>
      <c r="O50" s="61"/>
      <c r="P50" s="61"/>
      <c r="Q50" s="61"/>
      <c r="R50" s="61"/>
      <c r="S50" s="61"/>
      <c r="T50" s="61"/>
      <c r="U50" s="61"/>
      <c r="V50" s="61"/>
      <c r="W50" s="61"/>
      <c r="X50" s="61"/>
    </row>
    <row r="51" spans="1:24" s="62" customFormat="1" ht="11.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s="62" customFormat="1" ht="11.5">
      <c r="A52" s="61"/>
      <c r="B52" s="61"/>
      <c r="C52" s="61"/>
      <c r="D52" s="61"/>
      <c r="E52" s="61"/>
      <c r="F52" s="61"/>
      <c r="G52" s="61"/>
      <c r="H52" s="61"/>
      <c r="I52" s="61"/>
      <c r="J52" s="61"/>
      <c r="K52" s="61"/>
      <c r="L52" s="61"/>
      <c r="M52" s="61"/>
      <c r="N52" s="61"/>
      <c r="O52" s="61"/>
      <c r="P52" s="61"/>
      <c r="Q52" s="61"/>
      <c r="R52" s="61"/>
      <c r="S52" s="61"/>
      <c r="T52" s="61"/>
      <c r="U52" s="61"/>
      <c r="V52" s="61"/>
      <c r="W52" s="61"/>
      <c r="X52" s="61"/>
    </row>
    <row r="53" spans="1:24" s="62" customFormat="1" ht="11.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s="62" customFormat="1" ht="11.5">
      <c r="A54" s="61"/>
      <c r="B54" s="61"/>
      <c r="C54" s="61"/>
      <c r="D54" s="61"/>
      <c r="E54" s="61"/>
      <c r="F54" s="61"/>
      <c r="G54" s="61"/>
      <c r="H54" s="61"/>
      <c r="I54" s="61"/>
      <c r="J54" s="61"/>
      <c r="K54" s="61"/>
      <c r="L54" s="61"/>
      <c r="M54" s="61"/>
      <c r="N54" s="61"/>
      <c r="O54" s="61"/>
      <c r="P54" s="61"/>
      <c r="Q54" s="61"/>
      <c r="R54" s="61"/>
      <c r="S54" s="61"/>
      <c r="T54" s="61"/>
      <c r="U54" s="61"/>
      <c r="V54" s="61"/>
      <c r="W54" s="61"/>
      <c r="X54" s="61"/>
    </row>
    <row r="55" spans="1:24" s="62" customFormat="1" ht="11.5">
      <c r="A55" s="61"/>
      <c r="B55" s="65" t="s">
        <v>799</v>
      </c>
      <c r="C55" s="61"/>
      <c r="D55" s="61"/>
      <c r="E55" s="61"/>
      <c r="F55" s="61"/>
      <c r="G55" s="61"/>
      <c r="H55" s="61"/>
      <c r="I55" s="61"/>
      <c r="J55" s="61"/>
      <c r="K55" s="61"/>
      <c r="L55" s="61"/>
      <c r="M55" s="61"/>
      <c r="N55" s="61"/>
      <c r="O55" s="61"/>
      <c r="P55" s="61"/>
      <c r="Q55" s="61"/>
      <c r="R55" s="61"/>
      <c r="S55" s="61"/>
      <c r="T55" s="61"/>
      <c r="U55" s="61"/>
      <c r="V55" s="61"/>
      <c r="W55" s="61"/>
      <c r="X55" s="61"/>
    </row>
    <row r="56" spans="1:24">
      <c r="A56" s="61"/>
      <c r="B56" s="61"/>
      <c r="C56" s="61"/>
      <c r="D56" s="61"/>
      <c r="E56" s="61"/>
      <c r="F56" s="61"/>
      <c r="G56" s="61"/>
      <c r="H56" s="61"/>
      <c r="I56" s="61"/>
      <c r="J56" s="61"/>
      <c r="K56" s="61"/>
      <c r="L56" s="61"/>
      <c r="M56" s="61"/>
      <c r="N56" s="61"/>
      <c r="O56" s="61"/>
      <c r="P56" s="61"/>
      <c r="Q56" s="61"/>
      <c r="R56" s="61"/>
      <c r="S56" s="61"/>
      <c r="T56" s="61"/>
      <c r="U56" s="61"/>
      <c r="V56" s="61"/>
      <c r="W56" s="61"/>
      <c r="X56" s="61"/>
    </row>
    <row r="57" spans="1:24">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c r="A59" s="61"/>
      <c r="B59" s="61"/>
      <c r="C59" s="61"/>
      <c r="D59" s="61"/>
      <c r="E59" s="61"/>
      <c r="F59" s="61"/>
      <c r="G59" s="61"/>
      <c r="H59" s="61"/>
      <c r="I59" s="61"/>
      <c r="J59" s="61"/>
      <c r="K59" s="61"/>
      <c r="L59" s="61"/>
      <c r="M59" s="61"/>
      <c r="N59" s="61"/>
      <c r="O59" s="61"/>
      <c r="P59" s="61"/>
      <c r="Q59" s="61"/>
      <c r="R59" s="61"/>
      <c r="S59" s="61"/>
      <c r="T59" s="61"/>
      <c r="U59" s="61"/>
      <c r="V59" s="61"/>
      <c r="W59" s="61"/>
      <c r="X59" s="61"/>
    </row>
    <row r="60" spans="1:24">
      <c r="A60" s="61"/>
      <c r="B60" s="61"/>
      <c r="C60" s="61"/>
      <c r="D60" s="61"/>
      <c r="E60" s="61"/>
      <c r="F60" s="61"/>
      <c r="G60" s="61"/>
      <c r="H60" s="61"/>
      <c r="I60" s="61"/>
      <c r="J60" s="61"/>
      <c r="K60" s="61"/>
      <c r="L60" s="61"/>
      <c r="M60" s="61"/>
      <c r="N60" s="61"/>
      <c r="O60" s="61"/>
      <c r="P60" s="61"/>
      <c r="Q60" s="61"/>
      <c r="R60" s="61"/>
      <c r="S60" s="61"/>
      <c r="T60" s="61"/>
      <c r="U60" s="61"/>
      <c r="V60" s="61"/>
      <c r="W60" s="61"/>
      <c r="X60" s="61"/>
    </row>
    <row r="61" spans="1:24">
      <c r="A61" s="61"/>
      <c r="B61" s="61"/>
      <c r="C61" s="61"/>
      <c r="D61" s="61"/>
      <c r="E61" s="61"/>
      <c r="F61" s="61"/>
      <c r="G61" s="61"/>
      <c r="H61" s="61"/>
      <c r="I61" s="61"/>
      <c r="J61" s="61"/>
      <c r="K61" s="61"/>
      <c r="L61" s="61"/>
      <c r="M61" s="61"/>
      <c r="N61" s="61"/>
      <c r="O61" s="61"/>
      <c r="P61" s="61"/>
      <c r="Q61" s="61"/>
      <c r="R61" s="61"/>
      <c r="S61" s="61"/>
      <c r="T61" s="61"/>
      <c r="U61" s="61"/>
      <c r="V61" s="61"/>
      <c r="W61" s="61"/>
      <c r="X61" s="61"/>
    </row>
    <row r="62" spans="1:24">
      <c r="A62" s="61"/>
      <c r="B62" s="61"/>
      <c r="C62" s="61"/>
      <c r="D62" s="61"/>
      <c r="E62" s="61"/>
      <c r="F62" s="61"/>
      <c r="G62" s="61"/>
      <c r="H62" s="61"/>
      <c r="I62" s="61"/>
      <c r="J62" s="61"/>
      <c r="K62" s="61"/>
      <c r="L62" s="61"/>
      <c r="M62" s="61"/>
      <c r="N62" s="61"/>
      <c r="O62" s="61"/>
      <c r="P62" s="61"/>
      <c r="Q62" s="61"/>
      <c r="R62" s="61"/>
      <c r="S62" s="61"/>
      <c r="T62" s="61"/>
      <c r="U62" s="61"/>
      <c r="V62" s="61"/>
      <c r="W62" s="61"/>
      <c r="X62" s="61"/>
    </row>
    <row r="63" spans="1:24">
      <c r="A63" s="61"/>
      <c r="B63" s="61"/>
      <c r="C63" s="61"/>
      <c r="D63" s="61"/>
      <c r="E63" s="61"/>
      <c r="F63" s="61"/>
      <c r="G63" s="61"/>
      <c r="H63" s="61"/>
      <c r="I63" s="61"/>
      <c r="J63" s="61"/>
      <c r="K63" s="61"/>
      <c r="L63" s="61"/>
      <c r="M63" s="61"/>
      <c r="N63" s="61"/>
      <c r="O63" s="61"/>
      <c r="P63" s="61"/>
      <c r="Q63" s="61"/>
      <c r="R63" s="61"/>
      <c r="S63" s="61"/>
      <c r="T63" s="61"/>
      <c r="U63" s="61"/>
      <c r="V63" s="61"/>
      <c r="W63" s="61"/>
      <c r="X63" s="61"/>
    </row>
    <row r="64" spans="1:24">
      <c r="A64" s="61"/>
      <c r="B64" s="61"/>
      <c r="C64" s="61"/>
      <c r="D64" s="61"/>
      <c r="E64" s="61"/>
      <c r="F64" s="61"/>
      <c r="G64" s="61"/>
      <c r="H64" s="61"/>
      <c r="I64" s="61"/>
      <c r="J64" s="61"/>
      <c r="K64" s="61"/>
      <c r="L64" s="61"/>
      <c r="M64" s="61"/>
      <c r="N64" s="61"/>
      <c r="O64" s="61"/>
      <c r="P64" s="61"/>
      <c r="Q64" s="61"/>
      <c r="R64" s="61"/>
      <c r="S64" s="61"/>
      <c r="T64" s="61"/>
      <c r="U64" s="61"/>
      <c r="V64" s="61"/>
      <c r="W64" s="61"/>
      <c r="X64" s="61"/>
    </row>
    <row r="65" spans="1:24">
      <c r="A65" s="61"/>
      <c r="B65" s="61"/>
      <c r="C65" s="61"/>
      <c r="D65" s="61"/>
      <c r="E65" s="61"/>
      <c r="F65" s="61"/>
      <c r="G65" s="61"/>
      <c r="H65" s="61"/>
      <c r="I65" s="61"/>
      <c r="J65" s="61"/>
      <c r="K65" s="61"/>
      <c r="L65" s="61"/>
      <c r="M65" s="61"/>
      <c r="N65" s="61"/>
      <c r="O65" s="61"/>
      <c r="P65" s="61"/>
      <c r="Q65" s="61"/>
      <c r="R65" s="61"/>
      <c r="S65" s="61"/>
      <c r="T65" s="61"/>
      <c r="U65" s="61"/>
      <c r="V65" s="61"/>
      <c r="W65" s="61"/>
      <c r="X65" s="61"/>
    </row>
    <row r="66" spans="1:24">
      <c r="A66" s="61"/>
      <c r="B66" s="61"/>
      <c r="C66" s="61"/>
      <c r="D66" s="61"/>
      <c r="E66" s="61"/>
      <c r="F66" s="61"/>
      <c r="G66" s="61"/>
      <c r="H66" s="61"/>
      <c r="I66" s="61"/>
      <c r="J66" s="61"/>
      <c r="K66" s="61"/>
      <c r="L66" s="61"/>
      <c r="M66" s="61"/>
      <c r="N66" s="61"/>
      <c r="O66" s="61"/>
      <c r="P66" s="61"/>
      <c r="Q66" s="61"/>
      <c r="R66" s="61"/>
      <c r="S66" s="61"/>
      <c r="T66" s="61"/>
      <c r="U66" s="61"/>
      <c r="V66" s="61"/>
      <c r="W66" s="61"/>
      <c r="X66" s="61"/>
    </row>
    <row r="67" spans="1:24">
      <c r="A67" s="61"/>
      <c r="B67" s="61"/>
      <c r="C67" s="61"/>
      <c r="D67" s="61"/>
      <c r="E67" s="61"/>
      <c r="F67" s="61"/>
      <c r="G67" s="61"/>
      <c r="H67" s="61"/>
      <c r="I67" s="61"/>
      <c r="J67" s="61"/>
      <c r="K67" s="61"/>
      <c r="L67" s="61"/>
      <c r="M67" s="61"/>
      <c r="N67" s="61"/>
      <c r="O67" s="61"/>
      <c r="P67" s="61"/>
      <c r="Q67" s="61"/>
      <c r="R67" s="61"/>
      <c r="S67" s="61"/>
      <c r="T67" s="61"/>
      <c r="U67" s="61"/>
      <c r="V67" s="61"/>
      <c r="W67" s="61"/>
      <c r="X67" s="61"/>
    </row>
    <row r="68" spans="1:24">
      <c r="A68" s="61"/>
      <c r="B68" s="61"/>
      <c r="C68" s="61"/>
      <c r="D68" s="61"/>
      <c r="E68" s="61"/>
      <c r="F68" s="61"/>
      <c r="G68" s="61"/>
      <c r="H68" s="61"/>
      <c r="I68" s="61"/>
      <c r="J68" s="61"/>
      <c r="K68" s="61"/>
      <c r="L68" s="61"/>
      <c r="M68" s="61"/>
      <c r="N68" s="61"/>
      <c r="O68" s="61"/>
      <c r="P68" s="61"/>
      <c r="Q68" s="61"/>
      <c r="R68" s="61"/>
      <c r="S68" s="61"/>
      <c r="T68" s="61"/>
      <c r="U68" s="61"/>
      <c r="V68" s="61"/>
      <c r="W68" s="61"/>
      <c r="X68" s="61"/>
    </row>
    <row r="69" spans="1:24">
      <c r="A69" s="61"/>
      <c r="B69" s="61"/>
      <c r="C69" s="61"/>
      <c r="D69" s="61"/>
      <c r="E69" s="61"/>
      <c r="F69" s="61"/>
      <c r="G69" s="61"/>
      <c r="H69" s="61"/>
      <c r="I69" s="61"/>
      <c r="J69" s="61"/>
      <c r="K69" s="61"/>
      <c r="L69" s="61"/>
      <c r="M69" s="61"/>
      <c r="N69" s="61"/>
      <c r="O69" s="61"/>
      <c r="P69" s="61"/>
      <c r="Q69" s="61"/>
      <c r="R69" s="61"/>
      <c r="S69" s="61"/>
      <c r="T69" s="61"/>
      <c r="U69" s="61"/>
      <c r="V69" s="61"/>
      <c r="W69" s="61"/>
      <c r="X69" s="61"/>
    </row>
    <row r="70" spans="1:24">
      <c r="A70" s="61"/>
      <c r="B70" s="61"/>
      <c r="C70" s="61"/>
      <c r="D70" s="61"/>
      <c r="E70" s="61"/>
      <c r="F70" s="61"/>
      <c r="G70" s="61"/>
      <c r="H70" s="61"/>
      <c r="I70" s="61"/>
      <c r="J70" s="61"/>
      <c r="K70" s="61"/>
      <c r="L70" s="61"/>
      <c r="M70" s="61"/>
      <c r="N70" s="61"/>
      <c r="O70" s="61"/>
      <c r="P70" s="61"/>
      <c r="Q70" s="61"/>
      <c r="R70" s="61"/>
      <c r="S70" s="61"/>
      <c r="T70" s="61"/>
      <c r="U70" s="61"/>
      <c r="V70" s="61"/>
      <c r="W70" s="61"/>
      <c r="X70" s="61"/>
    </row>
    <row r="71" spans="1:24">
      <c r="A71" s="61"/>
      <c r="B71" s="61"/>
      <c r="C71" s="61"/>
      <c r="D71" s="61"/>
      <c r="E71" s="61"/>
      <c r="F71" s="61"/>
      <c r="G71" s="61"/>
      <c r="H71" s="61"/>
      <c r="I71" s="61"/>
      <c r="J71" s="61"/>
      <c r="K71" s="61"/>
      <c r="L71" s="61"/>
      <c r="M71" s="61"/>
      <c r="N71" s="61"/>
      <c r="O71" s="61"/>
      <c r="P71" s="61"/>
      <c r="Q71" s="61"/>
      <c r="R71" s="61"/>
      <c r="S71" s="61"/>
      <c r="T71" s="61"/>
      <c r="U71" s="61"/>
      <c r="V71" s="61"/>
      <c r="W71" s="61"/>
      <c r="X71" s="61"/>
    </row>
    <row r="72" spans="1:24">
      <c r="A72" s="61"/>
      <c r="B72" s="61"/>
      <c r="C72" s="61"/>
      <c r="D72" s="61"/>
      <c r="E72" s="61"/>
      <c r="F72" s="61"/>
      <c r="G72" s="61"/>
      <c r="H72" s="61"/>
      <c r="I72" s="61"/>
      <c r="J72" s="61"/>
      <c r="K72" s="61"/>
      <c r="L72" s="61"/>
      <c r="M72" s="61"/>
      <c r="N72" s="61"/>
      <c r="O72" s="61"/>
      <c r="P72" s="61"/>
      <c r="Q72" s="61"/>
      <c r="R72" s="61"/>
      <c r="S72" s="61"/>
      <c r="T72" s="61"/>
      <c r="U72" s="61"/>
      <c r="V72" s="61"/>
      <c r="W72" s="61"/>
      <c r="X72" s="61"/>
    </row>
    <row r="73" spans="1:24">
      <c r="A73" s="61"/>
      <c r="B73" s="61"/>
      <c r="C73" s="61"/>
      <c r="D73" s="61"/>
      <c r="E73" s="61"/>
      <c r="F73" s="61"/>
      <c r="G73" s="61"/>
      <c r="H73" s="61"/>
      <c r="I73" s="61"/>
      <c r="J73" s="61"/>
      <c r="K73" s="61"/>
      <c r="L73" s="61"/>
      <c r="M73" s="61"/>
      <c r="N73" s="61"/>
      <c r="O73" s="61"/>
      <c r="P73" s="61"/>
      <c r="Q73" s="61"/>
      <c r="R73" s="61"/>
      <c r="S73" s="61"/>
      <c r="T73" s="61"/>
      <c r="U73" s="61"/>
      <c r="V73" s="61"/>
      <c r="W73" s="61"/>
      <c r="X73" s="61"/>
    </row>
    <row r="74" spans="1:24">
      <c r="A74" s="61"/>
      <c r="B74" s="61"/>
      <c r="C74" s="61"/>
      <c r="D74" s="61"/>
      <c r="E74" s="61"/>
      <c r="F74" s="61"/>
      <c r="G74" s="61"/>
      <c r="H74" s="61"/>
      <c r="I74" s="61"/>
      <c r="J74" s="61"/>
      <c r="K74" s="61"/>
      <c r="L74" s="61"/>
      <c r="M74" s="61"/>
      <c r="N74" s="61"/>
      <c r="O74" s="61"/>
      <c r="P74" s="61"/>
      <c r="Q74" s="61"/>
      <c r="R74" s="61"/>
      <c r="S74" s="61"/>
      <c r="T74" s="61"/>
      <c r="U74" s="61"/>
      <c r="V74" s="61"/>
      <c r="W74" s="61"/>
      <c r="X74" s="61"/>
    </row>
    <row r="75" spans="1:24">
      <c r="A75" s="61"/>
      <c r="B75" s="61"/>
      <c r="C75" s="61"/>
      <c r="D75" s="61"/>
      <c r="E75" s="61"/>
      <c r="F75" s="61"/>
      <c r="G75" s="61"/>
      <c r="H75" s="61"/>
      <c r="I75" s="61"/>
      <c r="J75" s="61"/>
      <c r="K75" s="61"/>
      <c r="L75" s="61"/>
      <c r="M75" s="61"/>
      <c r="N75" s="61"/>
      <c r="O75" s="61"/>
      <c r="P75" s="61"/>
      <c r="Q75" s="61"/>
      <c r="R75" s="61"/>
      <c r="S75" s="61"/>
      <c r="T75" s="61"/>
      <c r="U75" s="61"/>
      <c r="V75" s="61"/>
      <c r="W75" s="61"/>
      <c r="X75" s="61"/>
    </row>
    <row r="76" spans="1:24">
      <c r="A76" s="61"/>
      <c r="B76" s="61"/>
      <c r="C76" s="61"/>
      <c r="D76" s="61"/>
      <c r="E76" s="61"/>
      <c r="F76" s="61"/>
      <c r="G76" s="61"/>
      <c r="H76" s="61"/>
      <c r="I76" s="61"/>
      <c r="J76" s="61"/>
      <c r="K76" s="61"/>
      <c r="L76" s="61"/>
      <c r="M76" s="61"/>
      <c r="N76" s="61"/>
      <c r="O76" s="61"/>
      <c r="P76" s="61"/>
      <c r="Q76" s="61"/>
      <c r="R76" s="61"/>
      <c r="S76" s="61"/>
      <c r="T76" s="61"/>
      <c r="U76" s="61"/>
      <c r="V76" s="61"/>
      <c r="W76" s="61"/>
      <c r="X76" s="61"/>
    </row>
    <row r="77" spans="1:24">
      <c r="A77" s="61"/>
      <c r="B77" s="61"/>
      <c r="C77" s="61"/>
      <c r="D77" s="61"/>
      <c r="E77" s="61"/>
      <c r="F77" s="61"/>
      <c r="G77" s="61"/>
      <c r="H77" s="61"/>
      <c r="I77" s="61"/>
      <c r="J77" s="61"/>
      <c r="K77" s="61"/>
      <c r="L77" s="61"/>
      <c r="M77" s="61"/>
      <c r="N77" s="61"/>
      <c r="O77" s="61"/>
      <c r="P77" s="61"/>
      <c r="Q77" s="61"/>
      <c r="R77" s="61"/>
      <c r="S77" s="61"/>
      <c r="T77" s="61"/>
      <c r="U77" s="61"/>
      <c r="V77" s="61"/>
      <c r="W77" s="61"/>
      <c r="X77" s="61"/>
    </row>
    <row r="78" spans="1:24">
      <c r="A78" s="61"/>
      <c r="B78" s="61"/>
      <c r="C78" s="61"/>
      <c r="D78" s="61"/>
      <c r="E78" s="61"/>
      <c r="F78" s="61"/>
      <c r="G78" s="61"/>
      <c r="H78" s="61"/>
      <c r="I78" s="61"/>
      <c r="J78" s="61"/>
      <c r="K78" s="61"/>
      <c r="L78" s="61"/>
      <c r="M78" s="61"/>
      <c r="N78" s="61"/>
      <c r="O78" s="61"/>
      <c r="P78" s="61"/>
      <c r="Q78" s="61"/>
      <c r="R78" s="61"/>
      <c r="S78" s="61"/>
      <c r="T78" s="61"/>
      <c r="U78" s="61"/>
      <c r="V78" s="61"/>
      <c r="W78" s="61"/>
      <c r="X78" s="61"/>
    </row>
    <row r="79" spans="1:24">
      <c r="A79" s="61"/>
      <c r="B79" s="61"/>
      <c r="C79" s="61"/>
      <c r="D79" s="61"/>
      <c r="E79" s="61"/>
      <c r="F79" s="61"/>
      <c r="G79" s="61"/>
      <c r="H79" s="61"/>
      <c r="I79" s="61"/>
      <c r="J79" s="61"/>
      <c r="K79" s="61"/>
      <c r="L79" s="61"/>
      <c r="M79" s="61"/>
      <c r="N79" s="61"/>
      <c r="O79" s="61"/>
      <c r="P79" s="61"/>
      <c r="Q79" s="61"/>
      <c r="R79" s="61"/>
      <c r="S79" s="61"/>
      <c r="T79" s="61"/>
      <c r="U79" s="61"/>
      <c r="V79" s="61"/>
      <c r="W79" s="61"/>
      <c r="X79" s="61"/>
    </row>
    <row r="80" spans="1:24">
      <c r="A80" s="61"/>
      <c r="B80" s="61"/>
      <c r="C80" s="61"/>
      <c r="D80" s="61"/>
      <c r="E80" s="61"/>
      <c r="F80" s="61"/>
      <c r="G80" s="61"/>
      <c r="H80" s="61"/>
      <c r="I80" s="61"/>
      <c r="J80" s="61"/>
      <c r="K80" s="61"/>
      <c r="L80" s="61"/>
      <c r="M80" s="61"/>
      <c r="N80" s="61"/>
      <c r="O80" s="61"/>
      <c r="P80" s="61"/>
      <c r="Q80" s="61"/>
      <c r="R80" s="61"/>
      <c r="S80" s="61"/>
      <c r="T80" s="61"/>
      <c r="U80" s="61"/>
      <c r="V80" s="61"/>
      <c r="W80" s="61"/>
      <c r="X80" s="61"/>
    </row>
    <row r="81" spans="1:24">
      <c r="A81" s="61"/>
      <c r="B81" s="61"/>
      <c r="C81" s="61"/>
      <c r="D81" s="61"/>
      <c r="E81" s="61"/>
      <c r="F81" s="61"/>
      <c r="G81" s="61"/>
      <c r="H81" s="61"/>
      <c r="I81" s="61"/>
      <c r="J81" s="61"/>
      <c r="K81" s="61"/>
      <c r="L81" s="61"/>
      <c r="M81" s="61"/>
      <c r="N81" s="61"/>
      <c r="O81" s="61"/>
      <c r="P81" s="61"/>
      <c r="Q81" s="61"/>
      <c r="R81" s="61"/>
      <c r="S81" s="61"/>
      <c r="T81" s="61"/>
      <c r="U81" s="61"/>
      <c r="V81" s="61"/>
      <c r="W81" s="61"/>
      <c r="X81" s="61"/>
    </row>
  </sheetData>
  <sheetProtection algorithmName="SHA-512" hashValue="HlG/whoLNqKAlsWykGzh7JcyQ4C+k63wybaurcuCeUCZJU7y1JF8Ukx2dqR7p78+wlIouLu3avtP1BRDmUfVPw==" saltValue="IdeQwcD9hiWOzGmoXwLWiQ==" spinCount="100000" sheet="1"/>
  <protectedRanges>
    <protectedRange sqref="E31:F38" name="Range15"/>
    <protectedRange sqref="R8:R10 C7:R7 M9:M10 R22 N10:Q10" name="Range1"/>
    <protectedRange sqref="R20:R21 F22:L22 R24 G26:L26" name="Range5"/>
    <protectedRange sqref="I29:I30" name="Range9"/>
    <protectedRange sqref="N22 N26" name="Range5_4"/>
  </protectedRanges>
  <mergeCells count="60">
    <mergeCell ref="T17:X17"/>
    <mergeCell ref="T29:X29"/>
    <mergeCell ref="N17:Q17"/>
    <mergeCell ref="H47:J47"/>
    <mergeCell ref="K47:O47"/>
    <mergeCell ref="G20:L20"/>
    <mergeCell ref="M20:M21"/>
    <mergeCell ref="N20:Q21"/>
    <mergeCell ref="G21:L21"/>
    <mergeCell ref="B23:H23"/>
    <mergeCell ref="G24:L24"/>
    <mergeCell ref="M24:M25"/>
    <mergeCell ref="N24:Q25"/>
    <mergeCell ref="G25:L25"/>
    <mergeCell ref="B27:H27"/>
    <mergeCell ref="N27:Q27"/>
    <mergeCell ref="B29:F29"/>
    <mergeCell ref="N29:Q29"/>
    <mergeCell ref="B19:I19"/>
    <mergeCell ref="B16:E16"/>
    <mergeCell ref="F16:G16"/>
    <mergeCell ref="H16:K16"/>
    <mergeCell ref="L16:M16"/>
    <mergeCell ref="B17:E17"/>
    <mergeCell ref="F17:G17"/>
    <mergeCell ref="H17:K17"/>
    <mergeCell ref="L17:M17"/>
    <mergeCell ref="N16:Q16"/>
    <mergeCell ref="T16:X16"/>
    <mergeCell ref="B15:E15"/>
    <mergeCell ref="F15:G15"/>
    <mergeCell ref="H15:K15"/>
    <mergeCell ref="L15:M15"/>
    <mergeCell ref="N15:Q15"/>
    <mergeCell ref="T15:X15"/>
    <mergeCell ref="T14:X14"/>
    <mergeCell ref="B13:E13"/>
    <mergeCell ref="F13:G13"/>
    <mergeCell ref="H13:K13"/>
    <mergeCell ref="L13:M13"/>
    <mergeCell ref="N13:Q13"/>
    <mergeCell ref="T13:X13"/>
    <mergeCell ref="B14:E14"/>
    <mergeCell ref="F14:G14"/>
    <mergeCell ref="H14:K14"/>
    <mergeCell ref="L14:M14"/>
    <mergeCell ref="N14:Q14"/>
    <mergeCell ref="T12:X12"/>
    <mergeCell ref="B4:Q4"/>
    <mergeCell ref="B7:C7"/>
    <mergeCell ref="N8:Q8"/>
    <mergeCell ref="N9:Q9"/>
    <mergeCell ref="B11:E11"/>
    <mergeCell ref="F11:K11"/>
    <mergeCell ref="L11:Q11"/>
    <mergeCell ref="B12:E12"/>
    <mergeCell ref="F12:G12"/>
    <mergeCell ref="H12:K12"/>
    <mergeCell ref="L12:M12"/>
    <mergeCell ref="N12:Q12"/>
  </mergeCells>
  <hyperlinks>
    <hyperlink ref="T14" r:id="rId1" display="https://www.nzta.govt.nz/assets/resources/economic-evaluation-manual/economic-evaluation-manual/docs/eem-manual-2016.pdf" xr:uid="{F26B8D45-289E-443D-8720-AFBCEBA2326B}"/>
    <hyperlink ref="T14:X14" r:id="rId2" display="MBCM Manual - Table A5.14" xr:uid="{4D8E5408-F099-497E-AD8F-0F2ACD7C3851}"/>
    <hyperlink ref="T17" r:id="rId3" display="https://www.nzta.govt.nz/assets/resources/economic-evaluation-manual/economic-evaluation-manual/docs/eem-manual-2016.pdf" xr:uid="{2D036EAC-D606-42AE-BD5F-242636A9D0FE}"/>
    <hyperlink ref="T17:X17" r:id="rId4" display="MBCM Manual - Table A5.14" xr:uid="{8750CDAD-D864-4063-8782-3EB10ADE305D}"/>
  </hyperlinks>
  <printOptions horizontalCentered="1"/>
  <pageMargins left="0.74803149606299213" right="0.70866141732283472" top="0.74803149606299213" bottom="0.9055118110236221" header="0.39370078740157483" footer="0.39370078740157483"/>
  <pageSetup paperSize="9" scale="95" orientation="portrait" r:id="rId5"/>
  <headerFooter scaleWithDoc="0" alignWithMargins="0">
    <oddHeader xml:space="preserve">&amp;L&amp;"-,Regular"&amp;8&amp;F&amp;R&amp;"-,Regular"&amp;8&amp;A
____________________________________________________________________________________________
</oddHeader>
    <oddFooter>&amp;L&amp;"-,Regular"&amp;8____________________________________________________________________________________________
NZ Transport Agency’s Economic evaluation manual 
Effective from Jul 2013</oddFooter>
  </headerFooter>
  <drawing r:id="rId6"/>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8E106-F7E4-493B-963E-23D2C44595D9}">
  <sheetPr codeName="Sheet12">
    <pageSetUpPr fitToPage="1"/>
  </sheetPr>
  <dimension ref="A1:AA54"/>
  <sheetViews>
    <sheetView topLeftCell="A10" zoomScaleNormal="100" workbookViewId="0">
      <selection activeCell="T40" sqref="T40"/>
    </sheetView>
  </sheetViews>
  <sheetFormatPr defaultRowHeight="13.5"/>
  <cols>
    <col min="1" max="1" width="3.5" style="74" customWidth="1"/>
    <col min="2" max="3" width="8.25" style="69" customWidth="1"/>
    <col min="4" max="4" width="5.6640625" style="69" customWidth="1"/>
    <col min="5" max="7" width="4.83203125" style="69" customWidth="1"/>
    <col min="8" max="8" width="4.75" style="69" customWidth="1"/>
    <col min="9" max="9" width="6.6640625" style="69" customWidth="1"/>
    <col min="10" max="10" width="5.5" style="69" customWidth="1"/>
    <col min="11" max="16" width="4.5" style="69" customWidth="1"/>
    <col min="17" max="17" width="5.6640625" style="69" customWidth="1"/>
    <col min="18" max="18" width="3.1640625" style="69" customWidth="1"/>
    <col min="19" max="19" width="9.25" style="55" customWidth="1"/>
    <col min="20" max="20" width="26.75" style="69" customWidth="1"/>
    <col min="21" max="24" width="9.25" style="69" customWidth="1"/>
    <col min="25" max="256" width="9" style="69"/>
    <col min="257" max="257" width="3.5" style="69" customWidth="1"/>
    <col min="258" max="259" width="8.25" style="69" customWidth="1"/>
    <col min="260" max="260" width="5.6640625" style="69" customWidth="1"/>
    <col min="261" max="262" width="3.83203125" style="69" customWidth="1"/>
    <col min="263" max="263" width="4.5" style="69" customWidth="1"/>
    <col min="264" max="264" width="4.75" style="69" customWidth="1"/>
    <col min="265" max="265" width="6.6640625" style="69" customWidth="1"/>
    <col min="266" max="272" width="4.5" style="69" customWidth="1"/>
    <col min="273" max="273" width="5.6640625" style="69" customWidth="1"/>
    <col min="274" max="274" width="3.1640625" style="69" customWidth="1"/>
    <col min="275" max="275" width="9.25" style="69" customWidth="1"/>
    <col min="276" max="276" width="26.75" style="69" customWidth="1"/>
    <col min="277" max="280" width="9.25" style="69" customWidth="1"/>
    <col min="281" max="512" width="9" style="69"/>
    <col min="513" max="513" width="3.5" style="69" customWidth="1"/>
    <col min="514" max="515" width="8.25" style="69" customWidth="1"/>
    <col min="516" max="516" width="5.6640625" style="69" customWidth="1"/>
    <col min="517" max="518" width="3.83203125" style="69" customWidth="1"/>
    <col min="519" max="519" width="4.5" style="69" customWidth="1"/>
    <col min="520" max="520" width="4.75" style="69" customWidth="1"/>
    <col min="521" max="521" width="6.6640625" style="69" customWidth="1"/>
    <col min="522" max="528" width="4.5" style="69" customWidth="1"/>
    <col min="529" max="529" width="5.6640625" style="69" customWidth="1"/>
    <col min="530" max="530" width="3.1640625" style="69" customWidth="1"/>
    <col min="531" max="531" width="9.25" style="69" customWidth="1"/>
    <col min="532" max="532" width="26.75" style="69" customWidth="1"/>
    <col min="533" max="536" width="9.25" style="69" customWidth="1"/>
    <col min="537" max="768" width="9" style="69"/>
    <col min="769" max="769" width="3.5" style="69" customWidth="1"/>
    <col min="770" max="771" width="8.25" style="69" customWidth="1"/>
    <col min="772" max="772" width="5.6640625" style="69" customWidth="1"/>
    <col min="773" max="774" width="3.83203125" style="69" customWidth="1"/>
    <col min="775" max="775" width="4.5" style="69" customWidth="1"/>
    <col min="776" max="776" width="4.75" style="69" customWidth="1"/>
    <col min="777" max="777" width="6.6640625" style="69" customWidth="1"/>
    <col min="778" max="784" width="4.5" style="69" customWidth="1"/>
    <col min="785" max="785" width="5.6640625" style="69" customWidth="1"/>
    <col min="786" max="786" width="3.1640625" style="69" customWidth="1"/>
    <col min="787" max="787" width="9.25" style="69" customWidth="1"/>
    <col min="788" max="788" width="26.75" style="69" customWidth="1"/>
    <col min="789" max="792" width="9.25" style="69" customWidth="1"/>
    <col min="793" max="1024" width="9" style="69"/>
    <col min="1025" max="1025" width="3.5" style="69" customWidth="1"/>
    <col min="1026" max="1027" width="8.25" style="69" customWidth="1"/>
    <col min="1028" max="1028" width="5.6640625" style="69" customWidth="1"/>
    <col min="1029" max="1030" width="3.83203125" style="69" customWidth="1"/>
    <col min="1031" max="1031" width="4.5" style="69" customWidth="1"/>
    <col min="1032" max="1032" width="4.75" style="69" customWidth="1"/>
    <col min="1033" max="1033" width="6.6640625" style="69" customWidth="1"/>
    <col min="1034" max="1040" width="4.5" style="69" customWidth="1"/>
    <col min="1041" max="1041" width="5.6640625" style="69" customWidth="1"/>
    <col min="1042" max="1042" width="3.1640625" style="69" customWidth="1"/>
    <col min="1043" max="1043" width="9.25" style="69" customWidth="1"/>
    <col min="1044" max="1044" width="26.75" style="69" customWidth="1"/>
    <col min="1045" max="1048" width="9.25" style="69" customWidth="1"/>
    <col min="1049" max="1280" width="9" style="69"/>
    <col min="1281" max="1281" width="3.5" style="69" customWidth="1"/>
    <col min="1282" max="1283" width="8.25" style="69" customWidth="1"/>
    <col min="1284" max="1284" width="5.6640625" style="69" customWidth="1"/>
    <col min="1285" max="1286" width="3.83203125" style="69" customWidth="1"/>
    <col min="1287" max="1287" width="4.5" style="69" customWidth="1"/>
    <col min="1288" max="1288" width="4.75" style="69" customWidth="1"/>
    <col min="1289" max="1289" width="6.6640625" style="69" customWidth="1"/>
    <col min="1290" max="1296" width="4.5" style="69" customWidth="1"/>
    <col min="1297" max="1297" width="5.6640625" style="69" customWidth="1"/>
    <col min="1298" max="1298" width="3.1640625" style="69" customWidth="1"/>
    <col min="1299" max="1299" width="9.25" style="69" customWidth="1"/>
    <col min="1300" max="1300" width="26.75" style="69" customWidth="1"/>
    <col min="1301" max="1304" width="9.25" style="69" customWidth="1"/>
    <col min="1305" max="1536" width="9" style="69"/>
    <col min="1537" max="1537" width="3.5" style="69" customWidth="1"/>
    <col min="1538" max="1539" width="8.25" style="69" customWidth="1"/>
    <col min="1540" max="1540" width="5.6640625" style="69" customWidth="1"/>
    <col min="1541" max="1542" width="3.83203125" style="69" customWidth="1"/>
    <col min="1543" max="1543" width="4.5" style="69" customWidth="1"/>
    <col min="1544" max="1544" width="4.75" style="69" customWidth="1"/>
    <col min="1545" max="1545" width="6.6640625" style="69" customWidth="1"/>
    <col min="1546" max="1552" width="4.5" style="69" customWidth="1"/>
    <col min="1553" max="1553" width="5.6640625" style="69" customWidth="1"/>
    <col min="1554" max="1554" width="3.1640625" style="69" customWidth="1"/>
    <col min="1555" max="1555" width="9.25" style="69" customWidth="1"/>
    <col min="1556" max="1556" width="26.75" style="69" customWidth="1"/>
    <col min="1557" max="1560" width="9.25" style="69" customWidth="1"/>
    <col min="1561" max="1792" width="9" style="69"/>
    <col min="1793" max="1793" width="3.5" style="69" customWidth="1"/>
    <col min="1794" max="1795" width="8.25" style="69" customWidth="1"/>
    <col min="1796" max="1796" width="5.6640625" style="69" customWidth="1"/>
    <col min="1797" max="1798" width="3.83203125" style="69" customWidth="1"/>
    <col min="1799" max="1799" width="4.5" style="69" customWidth="1"/>
    <col min="1800" max="1800" width="4.75" style="69" customWidth="1"/>
    <col min="1801" max="1801" width="6.6640625" style="69" customWidth="1"/>
    <col min="1802" max="1808" width="4.5" style="69" customWidth="1"/>
    <col min="1809" max="1809" width="5.6640625" style="69" customWidth="1"/>
    <col min="1810" max="1810" width="3.1640625" style="69" customWidth="1"/>
    <col min="1811" max="1811" width="9.25" style="69" customWidth="1"/>
    <col min="1812" max="1812" width="26.75" style="69" customWidth="1"/>
    <col min="1813" max="1816" width="9.25" style="69" customWidth="1"/>
    <col min="1817" max="2048" width="9" style="69"/>
    <col min="2049" max="2049" width="3.5" style="69" customWidth="1"/>
    <col min="2050" max="2051" width="8.25" style="69" customWidth="1"/>
    <col min="2052" max="2052" width="5.6640625" style="69" customWidth="1"/>
    <col min="2053" max="2054" width="3.83203125" style="69" customWidth="1"/>
    <col min="2055" max="2055" width="4.5" style="69" customWidth="1"/>
    <col min="2056" max="2056" width="4.75" style="69" customWidth="1"/>
    <col min="2057" max="2057" width="6.6640625" style="69" customWidth="1"/>
    <col min="2058" max="2064" width="4.5" style="69" customWidth="1"/>
    <col min="2065" max="2065" width="5.6640625" style="69" customWidth="1"/>
    <col min="2066" max="2066" width="3.1640625" style="69" customWidth="1"/>
    <col min="2067" max="2067" width="9.25" style="69" customWidth="1"/>
    <col min="2068" max="2068" width="26.75" style="69" customWidth="1"/>
    <col min="2069" max="2072" width="9.25" style="69" customWidth="1"/>
    <col min="2073" max="2304" width="9" style="69"/>
    <col min="2305" max="2305" width="3.5" style="69" customWidth="1"/>
    <col min="2306" max="2307" width="8.25" style="69" customWidth="1"/>
    <col min="2308" max="2308" width="5.6640625" style="69" customWidth="1"/>
    <col min="2309" max="2310" width="3.83203125" style="69" customWidth="1"/>
    <col min="2311" max="2311" width="4.5" style="69" customWidth="1"/>
    <col min="2312" max="2312" width="4.75" style="69" customWidth="1"/>
    <col min="2313" max="2313" width="6.6640625" style="69" customWidth="1"/>
    <col min="2314" max="2320" width="4.5" style="69" customWidth="1"/>
    <col min="2321" max="2321" width="5.6640625" style="69" customWidth="1"/>
    <col min="2322" max="2322" width="3.1640625" style="69" customWidth="1"/>
    <col min="2323" max="2323" width="9.25" style="69" customWidth="1"/>
    <col min="2324" max="2324" width="26.75" style="69" customWidth="1"/>
    <col min="2325" max="2328" width="9.25" style="69" customWidth="1"/>
    <col min="2329" max="2560" width="9" style="69"/>
    <col min="2561" max="2561" width="3.5" style="69" customWidth="1"/>
    <col min="2562" max="2563" width="8.25" style="69" customWidth="1"/>
    <col min="2564" max="2564" width="5.6640625" style="69" customWidth="1"/>
    <col min="2565" max="2566" width="3.83203125" style="69" customWidth="1"/>
    <col min="2567" max="2567" width="4.5" style="69" customWidth="1"/>
    <col min="2568" max="2568" width="4.75" style="69" customWidth="1"/>
    <col min="2569" max="2569" width="6.6640625" style="69" customWidth="1"/>
    <col min="2570" max="2576" width="4.5" style="69" customWidth="1"/>
    <col min="2577" max="2577" width="5.6640625" style="69" customWidth="1"/>
    <col min="2578" max="2578" width="3.1640625" style="69" customWidth="1"/>
    <col min="2579" max="2579" width="9.25" style="69" customWidth="1"/>
    <col min="2580" max="2580" width="26.75" style="69" customWidth="1"/>
    <col min="2581" max="2584" width="9.25" style="69" customWidth="1"/>
    <col min="2585" max="2816" width="9" style="69"/>
    <col min="2817" max="2817" width="3.5" style="69" customWidth="1"/>
    <col min="2818" max="2819" width="8.25" style="69" customWidth="1"/>
    <col min="2820" max="2820" width="5.6640625" style="69" customWidth="1"/>
    <col min="2821" max="2822" width="3.83203125" style="69" customWidth="1"/>
    <col min="2823" max="2823" width="4.5" style="69" customWidth="1"/>
    <col min="2824" max="2824" width="4.75" style="69" customWidth="1"/>
    <col min="2825" max="2825" width="6.6640625" style="69" customWidth="1"/>
    <col min="2826" max="2832" width="4.5" style="69" customWidth="1"/>
    <col min="2833" max="2833" width="5.6640625" style="69" customWidth="1"/>
    <col min="2834" max="2834" width="3.1640625" style="69" customWidth="1"/>
    <col min="2835" max="2835" width="9.25" style="69" customWidth="1"/>
    <col min="2836" max="2836" width="26.75" style="69" customWidth="1"/>
    <col min="2837" max="2840" width="9.25" style="69" customWidth="1"/>
    <col min="2841" max="3072" width="9" style="69"/>
    <col min="3073" max="3073" width="3.5" style="69" customWidth="1"/>
    <col min="3074" max="3075" width="8.25" style="69" customWidth="1"/>
    <col min="3076" max="3076" width="5.6640625" style="69" customWidth="1"/>
    <col min="3077" max="3078" width="3.83203125" style="69" customWidth="1"/>
    <col min="3079" max="3079" width="4.5" style="69" customWidth="1"/>
    <col min="3080" max="3080" width="4.75" style="69" customWidth="1"/>
    <col min="3081" max="3081" width="6.6640625" style="69" customWidth="1"/>
    <col min="3082" max="3088" width="4.5" style="69" customWidth="1"/>
    <col min="3089" max="3089" width="5.6640625" style="69" customWidth="1"/>
    <col min="3090" max="3090" width="3.1640625" style="69" customWidth="1"/>
    <col min="3091" max="3091" width="9.25" style="69" customWidth="1"/>
    <col min="3092" max="3092" width="26.75" style="69" customWidth="1"/>
    <col min="3093" max="3096" width="9.25" style="69" customWidth="1"/>
    <col min="3097" max="3328" width="9" style="69"/>
    <col min="3329" max="3329" width="3.5" style="69" customWidth="1"/>
    <col min="3330" max="3331" width="8.25" style="69" customWidth="1"/>
    <col min="3332" max="3332" width="5.6640625" style="69" customWidth="1"/>
    <col min="3333" max="3334" width="3.83203125" style="69" customWidth="1"/>
    <col min="3335" max="3335" width="4.5" style="69" customWidth="1"/>
    <col min="3336" max="3336" width="4.75" style="69" customWidth="1"/>
    <col min="3337" max="3337" width="6.6640625" style="69" customWidth="1"/>
    <col min="3338" max="3344" width="4.5" style="69" customWidth="1"/>
    <col min="3345" max="3345" width="5.6640625" style="69" customWidth="1"/>
    <col min="3346" max="3346" width="3.1640625" style="69" customWidth="1"/>
    <col min="3347" max="3347" width="9.25" style="69" customWidth="1"/>
    <col min="3348" max="3348" width="26.75" style="69" customWidth="1"/>
    <col min="3349" max="3352" width="9.25" style="69" customWidth="1"/>
    <col min="3353" max="3584" width="9" style="69"/>
    <col min="3585" max="3585" width="3.5" style="69" customWidth="1"/>
    <col min="3586" max="3587" width="8.25" style="69" customWidth="1"/>
    <col min="3588" max="3588" width="5.6640625" style="69" customWidth="1"/>
    <col min="3589" max="3590" width="3.83203125" style="69" customWidth="1"/>
    <col min="3591" max="3591" width="4.5" style="69" customWidth="1"/>
    <col min="3592" max="3592" width="4.75" style="69" customWidth="1"/>
    <col min="3593" max="3593" width="6.6640625" style="69" customWidth="1"/>
    <col min="3594" max="3600" width="4.5" style="69" customWidth="1"/>
    <col min="3601" max="3601" width="5.6640625" style="69" customWidth="1"/>
    <col min="3602" max="3602" width="3.1640625" style="69" customWidth="1"/>
    <col min="3603" max="3603" width="9.25" style="69" customWidth="1"/>
    <col min="3604" max="3604" width="26.75" style="69" customWidth="1"/>
    <col min="3605" max="3608" width="9.25" style="69" customWidth="1"/>
    <col min="3609" max="3840" width="9" style="69"/>
    <col min="3841" max="3841" width="3.5" style="69" customWidth="1"/>
    <col min="3842" max="3843" width="8.25" style="69" customWidth="1"/>
    <col min="3844" max="3844" width="5.6640625" style="69" customWidth="1"/>
    <col min="3845" max="3846" width="3.83203125" style="69" customWidth="1"/>
    <col min="3847" max="3847" width="4.5" style="69" customWidth="1"/>
    <col min="3848" max="3848" width="4.75" style="69" customWidth="1"/>
    <col min="3849" max="3849" width="6.6640625" style="69" customWidth="1"/>
    <col min="3850" max="3856" width="4.5" style="69" customWidth="1"/>
    <col min="3857" max="3857" width="5.6640625" style="69" customWidth="1"/>
    <col min="3858" max="3858" width="3.1640625" style="69" customWidth="1"/>
    <col min="3859" max="3859" width="9.25" style="69" customWidth="1"/>
    <col min="3860" max="3860" width="26.75" style="69" customWidth="1"/>
    <col min="3861" max="3864" width="9.25" style="69" customWidth="1"/>
    <col min="3865" max="4096" width="9" style="69"/>
    <col min="4097" max="4097" width="3.5" style="69" customWidth="1"/>
    <col min="4098" max="4099" width="8.25" style="69" customWidth="1"/>
    <col min="4100" max="4100" width="5.6640625" style="69" customWidth="1"/>
    <col min="4101" max="4102" width="3.83203125" style="69" customWidth="1"/>
    <col min="4103" max="4103" width="4.5" style="69" customWidth="1"/>
    <col min="4104" max="4104" width="4.75" style="69" customWidth="1"/>
    <col min="4105" max="4105" width="6.6640625" style="69" customWidth="1"/>
    <col min="4106" max="4112" width="4.5" style="69" customWidth="1"/>
    <col min="4113" max="4113" width="5.6640625" style="69" customWidth="1"/>
    <col min="4114" max="4114" width="3.1640625" style="69" customWidth="1"/>
    <col min="4115" max="4115" width="9.25" style="69" customWidth="1"/>
    <col min="4116" max="4116" width="26.75" style="69" customWidth="1"/>
    <col min="4117" max="4120" width="9.25" style="69" customWidth="1"/>
    <col min="4121" max="4352" width="9" style="69"/>
    <col min="4353" max="4353" width="3.5" style="69" customWidth="1"/>
    <col min="4354" max="4355" width="8.25" style="69" customWidth="1"/>
    <col min="4356" max="4356" width="5.6640625" style="69" customWidth="1"/>
    <col min="4357" max="4358" width="3.83203125" style="69" customWidth="1"/>
    <col min="4359" max="4359" width="4.5" style="69" customWidth="1"/>
    <col min="4360" max="4360" width="4.75" style="69" customWidth="1"/>
    <col min="4361" max="4361" width="6.6640625" style="69" customWidth="1"/>
    <col min="4362" max="4368" width="4.5" style="69" customWidth="1"/>
    <col min="4369" max="4369" width="5.6640625" style="69" customWidth="1"/>
    <col min="4370" max="4370" width="3.1640625" style="69" customWidth="1"/>
    <col min="4371" max="4371" width="9.25" style="69" customWidth="1"/>
    <col min="4372" max="4372" width="26.75" style="69" customWidth="1"/>
    <col min="4373" max="4376" width="9.25" style="69" customWidth="1"/>
    <col min="4377" max="4608" width="9" style="69"/>
    <col min="4609" max="4609" width="3.5" style="69" customWidth="1"/>
    <col min="4610" max="4611" width="8.25" style="69" customWidth="1"/>
    <col min="4612" max="4612" width="5.6640625" style="69" customWidth="1"/>
    <col min="4613" max="4614" width="3.83203125" style="69" customWidth="1"/>
    <col min="4615" max="4615" width="4.5" style="69" customWidth="1"/>
    <col min="4616" max="4616" width="4.75" style="69" customWidth="1"/>
    <col min="4617" max="4617" width="6.6640625" style="69" customWidth="1"/>
    <col min="4618" max="4624" width="4.5" style="69" customWidth="1"/>
    <col min="4625" max="4625" width="5.6640625" style="69" customWidth="1"/>
    <col min="4626" max="4626" width="3.1640625" style="69" customWidth="1"/>
    <col min="4627" max="4627" width="9.25" style="69" customWidth="1"/>
    <col min="4628" max="4628" width="26.75" style="69" customWidth="1"/>
    <col min="4629" max="4632" width="9.25" style="69" customWidth="1"/>
    <col min="4633" max="4864" width="9" style="69"/>
    <col min="4865" max="4865" width="3.5" style="69" customWidth="1"/>
    <col min="4866" max="4867" width="8.25" style="69" customWidth="1"/>
    <col min="4868" max="4868" width="5.6640625" style="69" customWidth="1"/>
    <col min="4869" max="4870" width="3.83203125" style="69" customWidth="1"/>
    <col min="4871" max="4871" width="4.5" style="69" customWidth="1"/>
    <col min="4872" max="4872" width="4.75" style="69" customWidth="1"/>
    <col min="4873" max="4873" width="6.6640625" style="69" customWidth="1"/>
    <col min="4874" max="4880" width="4.5" style="69" customWidth="1"/>
    <col min="4881" max="4881" width="5.6640625" style="69" customWidth="1"/>
    <col min="4882" max="4882" width="3.1640625" style="69" customWidth="1"/>
    <col min="4883" max="4883" width="9.25" style="69" customWidth="1"/>
    <col min="4884" max="4884" width="26.75" style="69" customWidth="1"/>
    <col min="4885" max="4888" width="9.25" style="69" customWidth="1"/>
    <col min="4889" max="5120" width="9" style="69"/>
    <col min="5121" max="5121" width="3.5" style="69" customWidth="1"/>
    <col min="5122" max="5123" width="8.25" style="69" customWidth="1"/>
    <col min="5124" max="5124" width="5.6640625" style="69" customWidth="1"/>
    <col min="5125" max="5126" width="3.83203125" style="69" customWidth="1"/>
    <col min="5127" max="5127" width="4.5" style="69" customWidth="1"/>
    <col min="5128" max="5128" width="4.75" style="69" customWidth="1"/>
    <col min="5129" max="5129" width="6.6640625" style="69" customWidth="1"/>
    <col min="5130" max="5136" width="4.5" style="69" customWidth="1"/>
    <col min="5137" max="5137" width="5.6640625" style="69" customWidth="1"/>
    <col min="5138" max="5138" width="3.1640625" style="69" customWidth="1"/>
    <col min="5139" max="5139" width="9.25" style="69" customWidth="1"/>
    <col min="5140" max="5140" width="26.75" style="69" customWidth="1"/>
    <col min="5141" max="5144" width="9.25" style="69" customWidth="1"/>
    <col min="5145" max="5376" width="9" style="69"/>
    <col min="5377" max="5377" width="3.5" style="69" customWidth="1"/>
    <col min="5378" max="5379" width="8.25" style="69" customWidth="1"/>
    <col min="5380" max="5380" width="5.6640625" style="69" customWidth="1"/>
    <col min="5381" max="5382" width="3.83203125" style="69" customWidth="1"/>
    <col min="5383" max="5383" width="4.5" style="69" customWidth="1"/>
    <col min="5384" max="5384" width="4.75" style="69" customWidth="1"/>
    <col min="5385" max="5385" width="6.6640625" style="69" customWidth="1"/>
    <col min="5386" max="5392" width="4.5" style="69" customWidth="1"/>
    <col min="5393" max="5393" width="5.6640625" style="69" customWidth="1"/>
    <col min="5394" max="5394" width="3.1640625" style="69" customWidth="1"/>
    <col min="5395" max="5395" width="9.25" style="69" customWidth="1"/>
    <col min="5396" max="5396" width="26.75" style="69" customWidth="1"/>
    <col min="5397" max="5400" width="9.25" style="69" customWidth="1"/>
    <col min="5401" max="5632" width="9" style="69"/>
    <col min="5633" max="5633" width="3.5" style="69" customWidth="1"/>
    <col min="5634" max="5635" width="8.25" style="69" customWidth="1"/>
    <col min="5636" max="5636" width="5.6640625" style="69" customWidth="1"/>
    <col min="5637" max="5638" width="3.83203125" style="69" customWidth="1"/>
    <col min="5639" max="5639" width="4.5" style="69" customWidth="1"/>
    <col min="5640" max="5640" width="4.75" style="69" customWidth="1"/>
    <col min="5641" max="5641" width="6.6640625" style="69" customWidth="1"/>
    <col min="5642" max="5648" width="4.5" style="69" customWidth="1"/>
    <col min="5649" max="5649" width="5.6640625" style="69" customWidth="1"/>
    <col min="5650" max="5650" width="3.1640625" style="69" customWidth="1"/>
    <col min="5651" max="5651" width="9.25" style="69" customWidth="1"/>
    <col min="5652" max="5652" width="26.75" style="69" customWidth="1"/>
    <col min="5653" max="5656" width="9.25" style="69" customWidth="1"/>
    <col min="5657" max="5888" width="9" style="69"/>
    <col min="5889" max="5889" width="3.5" style="69" customWidth="1"/>
    <col min="5890" max="5891" width="8.25" style="69" customWidth="1"/>
    <col min="5892" max="5892" width="5.6640625" style="69" customWidth="1"/>
    <col min="5893" max="5894" width="3.83203125" style="69" customWidth="1"/>
    <col min="5895" max="5895" width="4.5" style="69" customWidth="1"/>
    <col min="5896" max="5896" width="4.75" style="69" customWidth="1"/>
    <col min="5897" max="5897" width="6.6640625" style="69" customWidth="1"/>
    <col min="5898" max="5904" width="4.5" style="69" customWidth="1"/>
    <col min="5905" max="5905" width="5.6640625" style="69" customWidth="1"/>
    <col min="5906" max="5906" width="3.1640625" style="69" customWidth="1"/>
    <col min="5907" max="5907" width="9.25" style="69" customWidth="1"/>
    <col min="5908" max="5908" width="26.75" style="69" customWidth="1"/>
    <col min="5909" max="5912" width="9.25" style="69" customWidth="1"/>
    <col min="5913" max="6144" width="9" style="69"/>
    <col min="6145" max="6145" width="3.5" style="69" customWidth="1"/>
    <col min="6146" max="6147" width="8.25" style="69" customWidth="1"/>
    <col min="6148" max="6148" width="5.6640625" style="69" customWidth="1"/>
    <col min="6149" max="6150" width="3.83203125" style="69" customWidth="1"/>
    <col min="6151" max="6151" width="4.5" style="69" customWidth="1"/>
    <col min="6152" max="6152" width="4.75" style="69" customWidth="1"/>
    <col min="6153" max="6153" width="6.6640625" style="69" customWidth="1"/>
    <col min="6154" max="6160" width="4.5" style="69" customWidth="1"/>
    <col min="6161" max="6161" width="5.6640625" style="69" customWidth="1"/>
    <col min="6162" max="6162" width="3.1640625" style="69" customWidth="1"/>
    <col min="6163" max="6163" width="9.25" style="69" customWidth="1"/>
    <col min="6164" max="6164" width="26.75" style="69" customWidth="1"/>
    <col min="6165" max="6168" width="9.25" style="69" customWidth="1"/>
    <col min="6169" max="6400" width="9" style="69"/>
    <col min="6401" max="6401" width="3.5" style="69" customWidth="1"/>
    <col min="6402" max="6403" width="8.25" style="69" customWidth="1"/>
    <col min="6404" max="6404" width="5.6640625" style="69" customWidth="1"/>
    <col min="6405" max="6406" width="3.83203125" style="69" customWidth="1"/>
    <col min="6407" max="6407" width="4.5" style="69" customWidth="1"/>
    <col min="6408" max="6408" width="4.75" style="69" customWidth="1"/>
    <col min="6409" max="6409" width="6.6640625" style="69" customWidth="1"/>
    <col min="6410" max="6416" width="4.5" style="69" customWidth="1"/>
    <col min="6417" max="6417" width="5.6640625" style="69" customWidth="1"/>
    <col min="6418" max="6418" width="3.1640625" style="69" customWidth="1"/>
    <col min="6419" max="6419" width="9.25" style="69" customWidth="1"/>
    <col min="6420" max="6420" width="26.75" style="69" customWidth="1"/>
    <col min="6421" max="6424" width="9.25" style="69" customWidth="1"/>
    <col min="6425" max="6656" width="9" style="69"/>
    <col min="6657" max="6657" width="3.5" style="69" customWidth="1"/>
    <col min="6658" max="6659" width="8.25" style="69" customWidth="1"/>
    <col min="6660" max="6660" width="5.6640625" style="69" customWidth="1"/>
    <col min="6661" max="6662" width="3.83203125" style="69" customWidth="1"/>
    <col min="6663" max="6663" width="4.5" style="69" customWidth="1"/>
    <col min="6664" max="6664" width="4.75" style="69" customWidth="1"/>
    <col min="6665" max="6665" width="6.6640625" style="69" customWidth="1"/>
    <col min="6666" max="6672" width="4.5" style="69" customWidth="1"/>
    <col min="6673" max="6673" width="5.6640625" style="69" customWidth="1"/>
    <col min="6674" max="6674" width="3.1640625" style="69" customWidth="1"/>
    <col min="6675" max="6675" width="9.25" style="69" customWidth="1"/>
    <col min="6676" max="6676" width="26.75" style="69" customWidth="1"/>
    <col min="6677" max="6680" width="9.25" style="69" customWidth="1"/>
    <col min="6681" max="6912" width="9" style="69"/>
    <col min="6913" max="6913" width="3.5" style="69" customWidth="1"/>
    <col min="6914" max="6915" width="8.25" style="69" customWidth="1"/>
    <col min="6916" max="6916" width="5.6640625" style="69" customWidth="1"/>
    <col min="6917" max="6918" width="3.83203125" style="69" customWidth="1"/>
    <col min="6919" max="6919" width="4.5" style="69" customWidth="1"/>
    <col min="6920" max="6920" width="4.75" style="69" customWidth="1"/>
    <col min="6921" max="6921" width="6.6640625" style="69" customWidth="1"/>
    <col min="6922" max="6928" width="4.5" style="69" customWidth="1"/>
    <col min="6929" max="6929" width="5.6640625" style="69" customWidth="1"/>
    <col min="6930" max="6930" width="3.1640625" style="69" customWidth="1"/>
    <col min="6931" max="6931" width="9.25" style="69" customWidth="1"/>
    <col min="6932" max="6932" width="26.75" style="69" customWidth="1"/>
    <col min="6933" max="6936" width="9.25" style="69" customWidth="1"/>
    <col min="6937" max="7168" width="9" style="69"/>
    <col min="7169" max="7169" width="3.5" style="69" customWidth="1"/>
    <col min="7170" max="7171" width="8.25" style="69" customWidth="1"/>
    <col min="7172" max="7172" width="5.6640625" style="69" customWidth="1"/>
    <col min="7173" max="7174" width="3.83203125" style="69" customWidth="1"/>
    <col min="7175" max="7175" width="4.5" style="69" customWidth="1"/>
    <col min="7176" max="7176" width="4.75" style="69" customWidth="1"/>
    <col min="7177" max="7177" width="6.6640625" style="69" customWidth="1"/>
    <col min="7178" max="7184" width="4.5" style="69" customWidth="1"/>
    <col min="7185" max="7185" width="5.6640625" style="69" customWidth="1"/>
    <col min="7186" max="7186" width="3.1640625" style="69" customWidth="1"/>
    <col min="7187" max="7187" width="9.25" style="69" customWidth="1"/>
    <col min="7188" max="7188" width="26.75" style="69" customWidth="1"/>
    <col min="7189" max="7192" width="9.25" style="69" customWidth="1"/>
    <col min="7193" max="7424" width="9" style="69"/>
    <col min="7425" max="7425" width="3.5" style="69" customWidth="1"/>
    <col min="7426" max="7427" width="8.25" style="69" customWidth="1"/>
    <col min="7428" max="7428" width="5.6640625" style="69" customWidth="1"/>
    <col min="7429" max="7430" width="3.83203125" style="69" customWidth="1"/>
    <col min="7431" max="7431" width="4.5" style="69" customWidth="1"/>
    <col min="7432" max="7432" width="4.75" style="69" customWidth="1"/>
    <col min="7433" max="7433" width="6.6640625" style="69" customWidth="1"/>
    <col min="7434" max="7440" width="4.5" style="69" customWidth="1"/>
    <col min="7441" max="7441" width="5.6640625" style="69" customWidth="1"/>
    <col min="7442" max="7442" width="3.1640625" style="69" customWidth="1"/>
    <col min="7443" max="7443" width="9.25" style="69" customWidth="1"/>
    <col min="7444" max="7444" width="26.75" style="69" customWidth="1"/>
    <col min="7445" max="7448" width="9.25" style="69" customWidth="1"/>
    <col min="7449" max="7680" width="9" style="69"/>
    <col min="7681" max="7681" width="3.5" style="69" customWidth="1"/>
    <col min="7682" max="7683" width="8.25" style="69" customWidth="1"/>
    <col min="7684" max="7684" width="5.6640625" style="69" customWidth="1"/>
    <col min="7685" max="7686" width="3.83203125" style="69" customWidth="1"/>
    <col min="7687" max="7687" width="4.5" style="69" customWidth="1"/>
    <col min="7688" max="7688" width="4.75" style="69" customWidth="1"/>
    <col min="7689" max="7689" width="6.6640625" style="69" customWidth="1"/>
    <col min="7690" max="7696" width="4.5" style="69" customWidth="1"/>
    <col min="7697" max="7697" width="5.6640625" style="69" customWidth="1"/>
    <col min="7698" max="7698" width="3.1640625" style="69" customWidth="1"/>
    <col min="7699" max="7699" width="9.25" style="69" customWidth="1"/>
    <col min="7700" max="7700" width="26.75" style="69" customWidth="1"/>
    <col min="7701" max="7704" width="9.25" style="69" customWidth="1"/>
    <col min="7705" max="7936" width="9" style="69"/>
    <col min="7937" max="7937" width="3.5" style="69" customWidth="1"/>
    <col min="7938" max="7939" width="8.25" style="69" customWidth="1"/>
    <col min="7940" max="7940" width="5.6640625" style="69" customWidth="1"/>
    <col min="7941" max="7942" width="3.83203125" style="69" customWidth="1"/>
    <col min="7943" max="7943" width="4.5" style="69" customWidth="1"/>
    <col min="7944" max="7944" width="4.75" style="69" customWidth="1"/>
    <col min="7945" max="7945" width="6.6640625" style="69" customWidth="1"/>
    <col min="7946" max="7952" width="4.5" style="69" customWidth="1"/>
    <col min="7953" max="7953" width="5.6640625" style="69" customWidth="1"/>
    <col min="7954" max="7954" width="3.1640625" style="69" customWidth="1"/>
    <col min="7955" max="7955" width="9.25" style="69" customWidth="1"/>
    <col min="7956" max="7956" width="26.75" style="69" customWidth="1"/>
    <col min="7957" max="7960" width="9.25" style="69" customWidth="1"/>
    <col min="7961" max="8192" width="9" style="69"/>
    <col min="8193" max="8193" width="3.5" style="69" customWidth="1"/>
    <col min="8194" max="8195" width="8.25" style="69" customWidth="1"/>
    <col min="8196" max="8196" width="5.6640625" style="69" customWidth="1"/>
    <col min="8197" max="8198" width="3.83203125" style="69" customWidth="1"/>
    <col min="8199" max="8199" width="4.5" style="69" customWidth="1"/>
    <col min="8200" max="8200" width="4.75" style="69" customWidth="1"/>
    <col min="8201" max="8201" width="6.6640625" style="69" customWidth="1"/>
    <col min="8202" max="8208" width="4.5" style="69" customWidth="1"/>
    <col min="8209" max="8209" width="5.6640625" style="69" customWidth="1"/>
    <col min="8210" max="8210" width="3.1640625" style="69" customWidth="1"/>
    <col min="8211" max="8211" width="9.25" style="69" customWidth="1"/>
    <col min="8212" max="8212" width="26.75" style="69" customWidth="1"/>
    <col min="8213" max="8216" width="9.25" style="69" customWidth="1"/>
    <col min="8217" max="8448" width="9" style="69"/>
    <col min="8449" max="8449" width="3.5" style="69" customWidth="1"/>
    <col min="8450" max="8451" width="8.25" style="69" customWidth="1"/>
    <col min="8452" max="8452" width="5.6640625" style="69" customWidth="1"/>
    <col min="8453" max="8454" width="3.83203125" style="69" customWidth="1"/>
    <col min="8455" max="8455" width="4.5" style="69" customWidth="1"/>
    <col min="8456" max="8456" width="4.75" style="69" customWidth="1"/>
    <col min="8457" max="8457" width="6.6640625" style="69" customWidth="1"/>
    <col min="8458" max="8464" width="4.5" style="69" customWidth="1"/>
    <col min="8465" max="8465" width="5.6640625" style="69" customWidth="1"/>
    <col min="8466" max="8466" width="3.1640625" style="69" customWidth="1"/>
    <col min="8467" max="8467" width="9.25" style="69" customWidth="1"/>
    <col min="8468" max="8468" width="26.75" style="69" customWidth="1"/>
    <col min="8469" max="8472" width="9.25" style="69" customWidth="1"/>
    <col min="8473" max="8704" width="9" style="69"/>
    <col min="8705" max="8705" width="3.5" style="69" customWidth="1"/>
    <col min="8706" max="8707" width="8.25" style="69" customWidth="1"/>
    <col min="8708" max="8708" width="5.6640625" style="69" customWidth="1"/>
    <col min="8709" max="8710" width="3.83203125" style="69" customWidth="1"/>
    <col min="8711" max="8711" width="4.5" style="69" customWidth="1"/>
    <col min="8712" max="8712" width="4.75" style="69" customWidth="1"/>
    <col min="8713" max="8713" width="6.6640625" style="69" customWidth="1"/>
    <col min="8714" max="8720" width="4.5" style="69" customWidth="1"/>
    <col min="8721" max="8721" width="5.6640625" style="69" customWidth="1"/>
    <col min="8722" max="8722" width="3.1640625" style="69" customWidth="1"/>
    <col min="8723" max="8723" width="9.25" style="69" customWidth="1"/>
    <col min="8724" max="8724" width="26.75" style="69" customWidth="1"/>
    <col min="8725" max="8728" width="9.25" style="69" customWidth="1"/>
    <col min="8729" max="8960" width="9" style="69"/>
    <col min="8961" max="8961" width="3.5" style="69" customWidth="1"/>
    <col min="8962" max="8963" width="8.25" style="69" customWidth="1"/>
    <col min="8964" max="8964" width="5.6640625" style="69" customWidth="1"/>
    <col min="8965" max="8966" width="3.83203125" style="69" customWidth="1"/>
    <col min="8967" max="8967" width="4.5" style="69" customWidth="1"/>
    <col min="8968" max="8968" width="4.75" style="69" customWidth="1"/>
    <col min="8969" max="8969" width="6.6640625" style="69" customWidth="1"/>
    <col min="8970" max="8976" width="4.5" style="69" customWidth="1"/>
    <col min="8977" max="8977" width="5.6640625" style="69" customWidth="1"/>
    <col min="8978" max="8978" width="3.1640625" style="69" customWidth="1"/>
    <col min="8979" max="8979" width="9.25" style="69" customWidth="1"/>
    <col min="8980" max="8980" width="26.75" style="69" customWidth="1"/>
    <col min="8981" max="8984" width="9.25" style="69" customWidth="1"/>
    <col min="8985" max="9216" width="9" style="69"/>
    <col min="9217" max="9217" width="3.5" style="69" customWidth="1"/>
    <col min="9218" max="9219" width="8.25" style="69" customWidth="1"/>
    <col min="9220" max="9220" width="5.6640625" style="69" customWidth="1"/>
    <col min="9221" max="9222" width="3.83203125" style="69" customWidth="1"/>
    <col min="9223" max="9223" width="4.5" style="69" customWidth="1"/>
    <col min="9224" max="9224" width="4.75" style="69" customWidth="1"/>
    <col min="9225" max="9225" width="6.6640625" style="69" customWidth="1"/>
    <col min="9226" max="9232" width="4.5" style="69" customWidth="1"/>
    <col min="9233" max="9233" width="5.6640625" style="69" customWidth="1"/>
    <col min="9234" max="9234" width="3.1640625" style="69" customWidth="1"/>
    <col min="9235" max="9235" width="9.25" style="69" customWidth="1"/>
    <col min="9236" max="9236" width="26.75" style="69" customWidth="1"/>
    <col min="9237" max="9240" width="9.25" style="69" customWidth="1"/>
    <col min="9241" max="9472" width="9" style="69"/>
    <col min="9473" max="9473" width="3.5" style="69" customWidth="1"/>
    <col min="9474" max="9475" width="8.25" style="69" customWidth="1"/>
    <col min="9476" max="9476" width="5.6640625" style="69" customWidth="1"/>
    <col min="9477" max="9478" width="3.83203125" style="69" customWidth="1"/>
    <col min="9479" max="9479" width="4.5" style="69" customWidth="1"/>
    <col min="9480" max="9480" width="4.75" style="69" customWidth="1"/>
    <col min="9481" max="9481" width="6.6640625" style="69" customWidth="1"/>
    <col min="9482" max="9488" width="4.5" style="69" customWidth="1"/>
    <col min="9489" max="9489" width="5.6640625" style="69" customWidth="1"/>
    <col min="9490" max="9490" width="3.1640625" style="69" customWidth="1"/>
    <col min="9491" max="9491" width="9.25" style="69" customWidth="1"/>
    <col min="9492" max="9492" width="26.75" style="69" customWidth="1"/>
    <col min="9493" max="9496" width="9.25" style="69" customWidth="1"/>
    <col min="9497" max="9728" width="9" style="69"/>
    <col min="9729" max="9729" width="3.5" style="69" customWidth="1"/>
    <col min="9730" max="9731" width="8.25" style="69" customWidth="1"/>
    <col min="9732" max="9732" width="5.6640625" style="69" customWidth="1"/>
    <col min="9733" max="9734" width="3.83203125" style="69" customWidth="1"/>
    <col min="9735" max="9735" width="4.5" style="69" customWidth="1"/>
    <col min="9736" max="9736" width="4.75" style="69" customWidth="1"/>
    <col min="9737" max="9737" width="6.6640625" style="69" customWidth="1"/>
    <col min="9738" max="9744" width="4.5" style="69" customWidth="1"/>
    <col min="9745" max="9745" width="5.6640625" style="69" customWidth="1"/>
    <col min="9746" max="9746" width="3.1640625" style="69" customWidth="1"/>
    <col min="9747" max="9747" width="9.25" style="69" customWidth="1"/>
    <col min="9748" max="9748" width="26.75" style="69" customWidth="1"/>
    <col min="9749" max="9752" width="9.25" style="69" customWidth="1"/>
    <col min="9753" max="9984" width="9" style="69"/>
    <col min="9985" max="9985" width="3.5" style="69" customWidth="1"/>
    <col min="9986" max="9987" width="8.25" style="69" customWidth="1"/>
    <col min="9988" max="9988" width="5.6640625" style="69" customWidth="1"/>
    <col min="9989" max="9990" width="3.83203125" style="69" customWidth="1"/>
    <col min="9991" max="9991" width="4.5" style="69" customWidth="1"/>
    <col min="9992" max="9992" width="4.75" style="69" customWidth="1"/>
    <col min="9993" max="9993" width="6.6640625" style="69" customWidth="1"/>
    <col min="9994" max="10000" width="4.5" style="69" customWidth="1"/>
    <col min="10001" max="10001" width="5.6640625" style="69" customWidth="1"/>
    <col min="10002" max="10002" width="3.1640625" style="69" customWidth="1"/>
    <col min="10003" max="10003" width="9.25" style="69" customWidth="1"/>
    <col min="10004" max="10004" width="26.75" style="69" customWidth="1"/>
    <col min="10005" max="10008" width="9.25" style="69" customWidth="1"/>
    <col min="10009" max="10240" width="9" style="69"/>
    <col min="10241" max="10241" width="3.5" style="69" customWidth="1"/>
    <col min="10242" max="10243" width="8.25" style="69" customWidth="1"/>
    <col min="10244" max="10244" width="5.6640625" style="69" customWidth="1"/>
    <col min="10245" max="10246" width="3.83203125" style="69" customWidth="1"/>
    <col min="10247" max="10247" width="4.5" style="69" customWidth="1"/>
    <col min="10248" max="10248" width="4.75" style="69" customWidth="1"/>
    <col min="10249" max="10249" width="6.6640625" style="69" customWidth="1"/>
    <col min="10250" max="10256" width="4.5" style="69" customWidth="1"/>
    <col min="10257" max="10257" width="5.6640625" style="69" customWidth="1"/>
    <col min="10258" max="10258" width="3.1640625" style="69" customWidth="1"/>
    <col min="10259" max="10259" width="9.25" style="69" customWidth="1"/>
    <col min="10260" max="10260" width="26.75" style="69" customWidth="1"/>
    <col min="10261" max="10264" width="9.25" style="69" customWidth="1"/>
    <col min="10265" max="10496" width="9" style="69"/>
    <col min="10497" max="10497" width="3.5" style="69" customWidth="1"/>
    <col min="10498" max="10499" width="8.25" style="69" customWidth="1"/>
    <col min="10500" max="10500" width="5.6640625" style="69" customWidth="1"/>
    <col min="10501" max="10502" width="3.83203125" style="69" customWidth="1"/>
    <col min="10503" max="10503" width="4.5" style="69" customWidth="1"/>
    <col min="10504" max="10504" width="4.75" style="69" customWidth="1"/>
    <col min="10505" max="10505" width="6.6640625" style="69" customWidth="1"/>
    <col min="10506" max="10512" width="4.5" style="69" customWidth="1"/>
    <col min="10513" max="10513" width="5.6640625" style="69" customWidth="1"/>
    <col min="10514" max="10514" width="3.1640625" style="69" customWidth="1"/>
    <col min="10515" max="10515" width="9.25" style="69" customWidth="1"/>
    <col min="10516" max="10516" width="26.75" style="69" customWidth="1"/>
    <col min="10517" max="10520" width="9.25" style="69" customWidth="1"/>
    <col min="10521" max="10752" width="9" style="69"/>
    <col min="10753" max="10753" width="3.5" style="69" customWidth="1"/>
    <col min="10754" max="10755" width="8.25" style="69" customWidth="1"/>
    <col min="10756" max="10756" width="5.6640625" style="69" customWidth="1"/>
    <col min="10757" max="10758" width="3.83203125" style="69" customWidth="1"/>
    <col min="10759" max="10759" width="4.5" style="69" customWidth="1"/>
    <col min="10760" max="10760" width="4.75" style="69" customWidth="1"/>
    <col min="10761" max="10761" width="6.6640625" style="69" customWidth="1"/>
    <col min="10762" max="10768" width="4.5" style="69" customWidth="1"/>
    <col min="10769" max="10769" width="5.6640625" style="69" customWidth="1"/>
    <col min="10770" max="10770" width="3.1640625" style="69" customWidth="1"/>
    <col min="10771" max="10771" width="9.25" style="69" customWidth="1"/>
    <col min="10772" max="10772" width="26.75" style="69" customWidth="1"/>
    <col min="10773" max="10776" width="9.25" style="69" customWidth="1"/>
    <col min="10777" max="11008" width="9" style="69"/>
    <col min="11009" max="11009" width="3.5" style="69" customWidth="1"/>
    <col min="11010" max="11011" width="8.25" style="69" customWidth="1"/>
    <col min="11012" max="11012" width="5.6640625" style="69" customWidth="1"/>
    <col min="11013" max="11014" width="3.83203125" style="69" customWidth="1"/>
    <col min="11015" max="11015" width="4.5" style="69" customWidth="1"/>
    <col min="11016" max="11016" width="4.75" style="69" customWidth="1"/>
    <col min="11017" max="11017" width="6.6640625" style="69" customWidth="1"/>
    <col min="11018" max="11024" width="4.5" style="69" customWidth="1"/>
    <col min="11025" max="11025" width="5.6640625" style="69" customWidth="1"/>
    <col min="11026" max="11026" width="3.1640625" style="69" customWidth="1"/>
    <col min="11027" max="11027" width="9.25" style="69" customWidth="1"/>
    <col min="11028" max="11028" width="26.75" style="69" customWidth="1"/>
    <col min="11029" max="11032" width="9.25" style="69" customWidth="1"/>
    <col min="11033" max="11264" width="9" style="69"/>
    <col min="11265" max="11265" width="3.5" style="69" customWidth="1"/>
    <col min="11266" max="11267" width="8.25" style="69" customWidth="1"/>
    <col min="11268" max="11268" width="5.6640625" style="69" customWidth="1"/>
    <col min="11269" max="11270" width="3.83203125" style="69" customWidth="1"/>
    <col min="11271" max="11271" width="4.5" style="69" customWidth="1"/>
    <col min="11272" max="11272" width="4.75" style="69" customWidth="1"/>
    <col min="11273" max="11273" width="6.6640625" style="69" customWidth="1"/>
    <col min="11274" max="11280" width="4.5" style="69" customWidth="1"/>
    <col min="11281" max="11281" width="5.6640625" style="69" customWidth="1"/>
    <col min="11282" max="11282" width="3.1640625" style="69" customWidth="1"/>
    <col min="11283" max="11283" width="9.25" style="69" customWidth="1"/>
    <col min="11284" max="11284" width="26.75" style="69" customWidth="1"/>
    <col min="11285" max="11288" width="9.25" style="69" customWidth="1"/>
    <col min="11289" max="11520" width="9" style="69"/>
    <col min="11521" max="11521" width="3.5" style="69" customWidth="1"/>
    <col min="11522" max="11523" width="8.25" style="69" customWidth="1"/>
    <col min="11524" max="11524" width="5.6640625" style="69" customWidth="1"/>
    <col min="11525" max="11526" width="3.83203125" style="69" customWidth="1"/>
    <col min="11527" max="11527" width="4.5" style="69" customWidth="1"/>
    <col min="11528" max="11528" width="4.75" style="69" customWidth="1"/>
    <col min="11529" max="11529" width="6.6640625" style="69" customWidth="1"/>
    <col min="11530" max="11536" width="4.5" style="69" customWidth="1"/>
    <col min="11537" max="11537" width="5.6640625" style="69" customWidth="1"/>
    <col min="11538" max="11538" width="3.1640625" style="69" customWidth="1"/>
    <col min="11539" max="11539" width="9.25" style="69" customWidth="1"/>
    <col min="11540" max="11540" width="26.75" style="69" customWidth="1"/>
    <col min="11541" max="11544" width="9.25" style="69" customWidth="1"/>
    <col min="11545" max="11776" width="9" style="69"/>
    <col min="11777" max="11777" width="3.5" style="69" customWidth="1"/>
    <col min="11778" max="11779" width="8.25" style="69" customWidth="1"/>
    <col min="11780" max="11780" width="5.6640625" style="69" customWidth="1"/>
    <col min="11781" max="11782" width="3.83203125" style="69" customWidth="1"/>
    <col min="11783" max="11783" width="4.5" style="69" customWidth="1"/>
    <col min="11784" max="11784" width="4.75" style="69" customWidth="1"/>
    <col min="11785" max="11785" width="6.6640625" style="69" customWidth="1"/>
    <col min="11786" max="11792" width="4.5" style="69" customWidth="1"/>
    <col min="11793" max="11793" width="5.6640625" style="69" customWidth="1"/>
    <col min="11794" max="11794" width="3.1640625" style="69" customWidth="1"/>
    <col min="11795" max="11795" width="9.25" style="69" customWidth="1"/>
    <col min="11796" max="11796" width="26.75" style="69" customWidth="1"/>
    <col min="11797" max="11800" width="9.25" style="69" customWidth="1"/>
    <col min="11801" max="12032" width="9" style="69"/>
    <col min="12033" max="12033" width="3.5" style="69" customWidth="1"/>
    <col min="12034" max="12035" width="8.25" style="69" customWidth="1"/>
    <col min="12036" max="12036" width="5.6640625" style="69" customWidth="1"/>
    <col min="12037" max="12038" width="3.83203125" style="69" customWidth="1"/>
    <col min="12039" max="12039" width="4.5" style="69" customWidth="1"/>
    <col min="12040" max="12040" width="4.75" style="69" customWidth="1"/>
    <col min="12041" max="12041" width="6.6640625" style="69" customWidth="1"/>
    <col min="12042" max="12048" width="4.5" style="69" customWidth="1"/>
    <col min="12049" max="12049" width="5.6640625" style="69" customWidth="1"/>
    <col min="12050" max="12050" width="3.1640625" style="69" customWidth="1"/>
    <col min="12051" max="12051" width="9.25" style="69" customWidth="1"/>
    <col min="12052" max="12052" width="26.75" style="69" customWidth="1"/>
    <col min="12053" max="12056" width="9.25" style="69" customWidth="1"/>
    <col min="12057" max="12288" width="9" style="69"/>
    <col min="12289" max="12289" width="3.5" style="69" customWidth="1"/>
    <col min="12290" max="12291" width="8.25" style="69" customWidth="1"/>
    <col min="12292" max="12292" width="5.6640625" style="69" customWidth="1"/>
    <col min="12293" max="12294" width="3.83203125" style="69" customWidth="1"/>
    <col min="12295" max="12295" width="4.5" style="69" customWidth="1"/>
    <col min="12296" max="12296" width="4.75" style="69" customWidth="1"/>
    <col min="12297" max="12297" width="6.6640625" style="69" customWidth="1"/>
    <col min="12298" max="12304" width="4.5" style="69" customWidth="1"/>
    <col min="12305" max="12305" width="5.6640625" style="69" customWidth="1"/>
    <col min="12306" max="12306" width="3.1640625" style="69" customWidth="1"/>
    <col min="12307" max="12307" width="9.25" style="69" customWidth="1"/>
    <col min="12308" max="12308" width="26.75" style="69" customWidth="1"/>
    <col min="12309" max="12312" width="9.25" style="69" customWidth="1"/>
    <col min="12313" max="12544" width="9" style="69"/>
    <col min="12545" max="12545" width="3.5" style="69" customWidth="1"/>
    <col min="12546" max="12547" width="8.25" style="69" customWidth="1"/>
    <col min="12548" max="12548" width="5.6640625" style="69" customWidth="1"/>
    <col min="12549" max="12550" width="3.83203125" style="69" customWidth="1"/>
    <col min="12551" max="12551" width="4.5" style="69" customWidth="1"/>
    <col min="12552" max="12552" width="4.75" style="69" customWidth="1"/>
    <col min="12553" max="12553" width="6.6640625" style="69" customWidth="1"/>
    <col min="12554" max="12560" width="4.5" style="69" customWidth="1"/>
    <col min="12561" max="12561" width="5.6640625" style="69" customWidth="1"/>
    <col min="12562" max="12562" width="3.1640625" style="69" customWidth="1"/>
    <col min="12563" max="12563" width="9.25" style="69" customWidth="1"/>
    <col min="12564" max="12564" width="26.75" style="69" customWidth="1"/>
    <col min="12565" max="12568" width="9.25" style="69" customWidth="1"/>
    <col min="12569" max="12800" width="9" style="69"/>
    <col min="12801" max="12801" width="3.5" style="69" customWidth="1"/>
    <col min="12802" max="12803" width="8.25" style="69" customWidth="1"/>
    <col min="12804" max="12804" width="5.6640625" style="69" customWidth="1"/>
    <col min="12805" max="12806" width="3.83203125" style="69" customWidth="1"/>
    <col min="12807" max="12807" width="4.5" style="69" customWidth="1"/>
    <col min="12808" max="12808" width="4.75" style="69" customWidth="1"/>
    <col min="12809" max="12809" width="6.6640625" style="69" customWidth="1"/>
    <col min="12810" max="12816" width="4.5" style="69" customWidth="1"/>
    <col min="12817" max="12817" width="5.6640625" style="69" customWidth="1"/>
    <col min="12818" max="12818" width="3.1640625" style="69" customWidth="1"/>
    <col min="12819" max="12819" width="9.25" style="69" customWidth="1"/>
    <col min="12820" max="12820" width="26.75" style="69" customWidth="1"/>
    <col min="12821" max="12824" width="9.25" style="69" customWidth="1"/>
    <col min="12825" max="13056" width="9" style="69"/>
    <col min="13057" max="13057" width="3.5" style="69" customWidth="1"/>
    <col min="13058" max="13059" width="8.25" style="69" customWidth="1"/>
    <col min="13060" max="13060" width="5.6640625" style="69" customWidth="1"/>
    <col min="13061" max="13062" width="3.83203125" style="69" customWidth="1"/>
    <col min="13063" max="13063" width="4.5" style="69" customWidth="1"/>
    <col min="13064" max="13064" width="4.75" style="69" customWidth="1"/>
    <col min="13065" max="13065" width="6.6640625" style="69" customWidth="1"/>
    <col min="13066" max="13072" width="4.5" style="69" customWidth="1"/>
    <col min="13073" max="13073" width="5.6640625" style="69" customWidth="1"/>
    <col min="13074" max="13074" width="3.1640625" style="69" customWidth="1"/>
    <col min="13075" max="13075" width="9.25" style="69" customWidth="1"/>
    <col min="13076" max="13076" width="26.75" style="69" customWidth="1"/>
    <col min="13077" max="13080" width="9.25" style="69" customWidth="1"/>
    <col min="13081" max="13312" width="9" style="69"/>
    <col min="13313" max="13313" width="3.5" style="69" customWidth="1"/>
    <col min="13314" max="13315" width="8.25" style="69" customWidth="1"/>
    <col min="13316" max="13316" width="5.6640625" style="69" customWidth="1"/>
    <col min="13317" max="13318" width="3.83203125" style="69" customWidth="1"/>
    <col min="13319" max="13319" width="4.5" style="69" customWidth="1"/>
    <col min="13320" max="13320" width="4.75" style="69" customWidth="1"/>
    <col min="13321" max="13321" width="6.6640625" style="69" customWidth="1"/>
    <col min="13322" max="13328" width="4.5" style="69" customWidth="1"/>
    <col min="13329" max="13329" width="5.6640625" style="69" customWidth="1"/>
    <col min="13330" max="13330" width="3.1640625" style="69" customWidth="1"/>
    <col min="13331" max="13331" width="9.25" style="69" customWidth="1"/>
    <col min="13332" max="13332" width="26.75" style="69" customWidth="1"/>
    <col min="13333" max="13336" width="9.25" style="69" customWidth="1"/>
    <col min="13337" max="13568" width="9" style="69"/>
    <col min="13569" max="13569" width="3.5" style="69" customWidth="1"/>
    <col min="13570" max="13571" width="8.25" style="69" customWidth="1"/>
    <col min="13572" max="13572" width="5.6640625" style="69" customWidth="1"/>
    <col min="13573" max="13574" width="3.83203125" style="69" customWidth="1"/>
    <col min="13575" max="13575" width="4.5" style="69" customWidth="1"/>
    <col min="13576" max="13576" width="4.75" style="69" customWidth="1"/>
    <col min="13577" max="13577" width="6.6640625" style="69" customWidth="1"/>
    <col min="13578" max="13584" width="4.5" style="69" customWidth="1"/>
    <col min="13585" max="13585" width="5.6640625" style="69" customWidth="1"/>
    <col min="13586" max="13586" width="3.1640625" style="69" customWidth="1"/>
    <col min="13587" max="13587" width="9.25" style="69" customWidth="1"/>
    <col min="13588" max="13588" width="26.75" style="69" customWidth="1"/>
    <col min="13589" max="13592" width="9.25" style="69" customWidth="1"/>
    <col min="13593" max="13824" width="9" style="69"/>
    <col min="13825" max="13825" width="3.5" style="69" customWidth="1"/>
    <col min="13826" max="13827" width="8.25" style="69" customWidth="1"/>
    <col min="13828" max="13828" width="5.6640625" style="69" customWidth="1"/>
    <col min="13829" max="13830" width="3.83203125" style="69" customWidth="1"/>
    <col min="13831" max="13831" width="4.5" style="69" customWidth="1"/>
    <col min="13832" max="13832" width="4.75" style="69" customWidth="1"/>
    <col min="13833" max="13833" width="6.6640625" style="69" customWidth="1"/>
    <col min="13834" max="13840" width="4.5" style="69" customWidth="1"/>
    <col min="13841" max="13841" width="5.6640625" style="69" customWidth="1"/>
    <col min="13842" max="13842" width="3.1640625" style="69" customWidth="1"/>
    <col min="13843" max="13843" width="9.25" style="69" customWidth="1"/>
    <col min="13844" max="13844" width="26.75" style="69" customWidth="1"/>
    <col min="13845" max="13848" width="9.25" style="69" customWidth="1"/>
    <col min="13849" max="14080" width="9" style="69"/>
    <col min="14081" max="14081" width="3.5" style="69" customWidth="1"/>
    <col min="14082" max="14083" width="8.25" style="69" customWidth="1"/>
    <col min="14084" max="14084" width="5.6640625" style="69" customWidth="1"/>
    <col min="14085" max="14086" width="3.83203125" style="69" customWidth="1"/>
    <col min="14087" max="14087" width="4.5" style="69" customWidth="1"/>
    <col min="14088" max="14088" width="4.75" style="69" customWidth="1"/>
    <col min="14089" max="14089" width="6.6640625" style="69" customWidth="1"/>
    <col min="14090" max="14096" width="4.5" style="69" customWidth="1"/>
    <col min="14097" max="14097" width="5.6640625" style="69" customWidth="1"/>
    <col min="14098" max="14098" width="3.1640625" style="69" customWidth="1"/>
    <col min="14099" max="14099" width="9.25" style="69" customWidth="1"/>
    <col min="14100" max="14100" width="26.75" style="69" customWidth="1"/>
    <col min="14101" max="14104" width="9.25" style="69" customWidth="1"/>
    <col min="14105" max="14336" width="9" style="69"/>
    <col min="14337" max="14337" width="3.5" style="69" customWidth="1"/>
    <col min="14338" max="14339" width="8.25" style="69" customWidth="1"/>
    <col min="14340" max="14340" width="5.6640625" style="69" customWidth="1"/>
    <col min="14341" max="14342" width="3.83203125" style="69" customWidth="1"/>
    <col min="14343" max="14343" width="4.5" style="69" customWidth="1"/>
    <col min="14344" max="14344" width="4.75" style="69" customWidth="1"/>
    <col min="14345" max="14345" width="6.6640625" style="69" customWidth="1"/>
    <col min="14346" max="14352" width="4.5" style="69" customWidth="1"/>
    <col min="14353" max="14353" width="5.6640625" style="69" customWidth="1"/>
    <col min="14354" max="14354" width="3.1640625" style="69" customWidth="1"/>
    <col min="14355" max="14355" width="9.25" style="69" customWidth="1"/>
    <col min="14356" max="14356" width="26.75" style="69" customWidth="1"/>
    <col min="14357" max="14360" width="9.25" style="69" customWidth="1"/>
    <col min="14361" max="14592" width="9" style="69"/>
    <col min="14593" max="14593" width="3.5" style="69" customWidth="1"/>
    <col min="14594" max="14595" width="8.25" style="69" customWidth="1"/>
    <col min="14596" max="14596" width="5.6640625" style="69" customWidth="1"/>
    <col min="14597" max="14598" width="3.83203125" style="69" customWidth="1"/>
    <col min="14599" max="14599" width="4.5" style="69" customWidth="1"/>
    <col min="14600" max="14600" width="4.75" style="69" customWidth="1"/>
    <col min="14601" max="14601" width="6.6640625" style="69" customWidth="1"/>
    <col min="14602" max="14608" width="4.5" style="69" customWidth="1"/>
    <col min="14609" max="14609" width="5.6640625" style="69" customWidth="1"/>
    <col min="14610" max="14610" width="3.1640625" style="69" customWidth="1"/>
    <col min="14611" max="14611" width="9.25" style="69" customWidth="1"/>
    <col min="14612" max="14612" width="26.75" style="69" customWidth="1"/>
    <col min="14613" max="14616" width="9.25" style="69" customWidth="1"/>
    <col min="14617" max="14848" width="9" style="69"/>
    <col min="14849" max="14849" width="3.5" style="69" customWidth="1"/>
    <col min="14850" max="14851" width="8.25" style="69" customWidth="1"/>
    <col min="14852" max="14852" width="5.6640625" style="69" customWidth="1"/>
    <col min="14853" max="14854" width="3.83203125" style="69" customWidth="1"/>
    <col min="14855" max="14855" width="4.5" style="69" customWidth="1"/>
    <col min="14856" max="14856" width="4.75" style="69" customWidth="1"/>
    <col min="14857" max="14857" width="6.6640625" style="69" customWidth="1"/>
    <col min="14858" max="14864" width="4.5" style="69" customWidth="1"/>
    <col min="14865" max="14865" width="5.6640625" style="69" customWidth="1"/>
    <col min="14866" max="14866" width="3.1640625" style="69" customWidth="1"/>
    <col min="14867" max="14867" width="9.25" style="69" customWidth="1"/>
    <col min="14868" max="14868" width="26.75" style="69" customWidth="1"/>
    <col min="14869" max="14872" width="9.25" style="69" customWidth="1"/>
    <col min="14873" max="15104" width="9" style="69"/>
    <col min="15105" max="15105" width="3.5" style="69" customWidth="1"/>
    <col min="15106" max="15107" width="8.25" style="69" customWidth="1"/>
    <col min="15108" max="15108" width="5.6640625" style="69" customWidth="1"/>
    <col min="15109" max="15110" width="3.83203125" style="69" customWidth="1"/>
    <col min="15111" max="15111" width="4.5" style="69" customWidth="1"/>
    <col min="15112" max="15112" width="4.75" style="69" customWidth="1"/>
    <col min="15113" max="15113" width="6.6640625" style="69" customWidth="1"/>
    <col min="15114" max="15120" width="4.5" style="69" customWidth="1"/>
    <col min="15121" max="15121" width="5.6640625" style="69" customWidth="1"/>
    <col min="15122" max="15122" width="3.1640625" style="69" customWidth="1"/>
    <col min="15123" max="15123" width="9.25" style="69" customWidth="1"/>
    <col min="15124" max="15124" width="26.75" style="69" customWidth="1"/>
    <col min="15125" max="15128" width="9.25" style="69" customWidth="1"/>
    <col min="15129" max="15360" width="9" style="69"/>
    <col min="15361" max="15361" width="3.5" style="69" customWidth="1"/>
    <col min="15362" max="15363" width="8.25" style="69" customWidth="1"/>
    <col min="15364" max="15364" width="5.6640625" style="69" customWidth="1"/>
    <col min="15365" max="15366" width="3.83203125" style="69" customWidth="1"/>
    <col min="15367" max="15367" width="4.5" style="69" customWidth="1"/>
    <col min="15368" max="15368" width="4.75" style="69" customWidth="1"/>
    <col min="15369" max="15369" width="6.6640625" style="69" customWidth="1"/>
    <col min="15370" max="15376" width="4.5" style="69" customWidth="1"/>
    <col min="15377" max="15377" width="5.6640625" style="69" customWidth="1"/>
    <col min="15378" max="15378" width="3.1640625" style="69" customWidth="1"/>
    <col min="15379" max="15379" width="9.25" style="69" customWidth="1"/>
    <col min="15380" max="15380" width="26.75" style="69" customWidth="1"/>
    <col min="15381" max="15384" width="9.25" style="69" customWidth="1"/>
    <col min="15385" max="15616" width="9" style="69"/>
    <col min="15617" max="15617" width="3.5" style="69" customWidth="1"/>
    <col min="15618" max="15619" width="8.25" style="69" customWidth="1"/>
    <col min="15620" max="15620" width="5.6640625" style="69" customWidth="1"/>
    <col min="15621" max="15622" width="3.83203125" style="69" customWidth="1"/>
    <col min="15623" max="15623" width="4.5" style="69" customWidth="1"/>
    <col min="15624" max="15624" width="4.75" style="69" customWidth="1"/>
    <col min="15625" max="15625" width="6.6640625" style="69" customWidth="1"/>
    <col min="15626" max="15632" width="4.5" style="69" customWidth="1"/>
    <col min="15633" max="15633" width="5.6640625" style="69" customWidth="1"/>
    <col min="15634" max="15634" width="3.1640625" style="69" customWidth="1"/>
    <col min="15635" max="15635" width="9.25" style="69" customWidth="1"/>
    <col min="15636" max="15636" width="26.75" style="69" customWidth="1"/>
    <col min="15637" max="15640" width="9.25" style="69" customWidth="1"/>
    <col min="15641" max="15872" width="9" style="69"/>
    <col min="15873" max="15873" width="3.5" style="69" customWidth="1"/>
    <col min="15874" max="15875" width="8.25" style="69" customWidth="1"/>
    <col min="15876" max="15876" width="5.6640625" style="69" customWidth="1"/>
    <col min="15877" max="15878" width="3.83203125" style="69" customWidth="1"/>
    <col min="15879" max="15879" width="4.5" style="69" customWidth="1"/>
    <col min="15880" max="15880" width="4.75" style="69" customWidth="1"/>
    <col min="15881" max="15881" width="6.6640625" style="69" customWidth="1"/>
    <col min="15882" max="15888" width="4.5" style="69" customWidth="1"/>
    <col min="15889" max="15889" width="5.6640625" style="69" customWidth="1"/>
    <col min="15890" max="15890" width="3.1640625" style="69" customWidth="1"/>
    <col min="15891" max="15891" width="9.25" style="69" customWidth="1"/>
    <col min="15892" max="15892" width="26.75" style="69" customWidth="1"/>
    <col min="15893" max="15896" width="9.25" style="69" customWidth="1"/>
    <col min="15897" max="16128" width="9" style="69"/>
    <col min="16129" max="16129" width="3.5" style="69" customWidth="1"/>
    <col min="16130" max="16131" width="8.25" style="69" customWidth="1"/>
    <col min="16132" max="16132" width="5.6640625" style="69" customWidth="1"/>
    <col min="16133" max="16134" width="3.83203125" style="69" customWidth="1"/>
    <col min="16135" max="16135" width="4.5" style="69" customWidth="1"/>
    <col min="16136" max="16136" width="4.75" style="69" customWidth="1"/>
    <col min="16137" max="16137" width="6.6640625" style="69" customWidth="1"/>
    <col min="16138" max="16144" width="4.5" style="69" customWidth="1"/>
    <col min="16145" max="16145" width="5.6640625" style="69" customWidth="1"/>
    <col min="16146" max="16146" width="3.1640625" style="69" customWidth="1"/>
    <col min="16147" max="16147" width="9.25" style="69" customWidth="1"/>
    <col min="16148" max="16148" width="26.75" style="69" customWidth="1"/>
    <col min="16149" max="16152" width="9.25" style="69" customWidth="1"/>
    <col min="16153" max="16384" width="9" style="69"/>
  </cols>
  <sheetData>
    <row r="1" spans="1:27" s="55" customFormat="1" ht="15" customHeight="1">
      <c r="B1" s="246"/>
      <c r="C1" s="247"/>
      <c r="D1" s="66"/>
      <c r="E1" s="66"/>
      <c r="F1" s="66"/>
      <c r="G1" s="66"/>
      <c r="H1" s="66"/>
      <c r="I1" s="66"/>
      <c r="J1" s="66"/>
      <c r="K1" s="66"/>
      <c r="L1" s="66"/>
      <c r="M1" s="66"/>
      <c r="N1" s="66"/>
      <c r="O1" s="66"/>
      <c r="P1" s="66"/>
      <c r="Q1" s="66"/>
      <c r="R1" s="66"/>
      <c r="T1" s="66" t="s">
        <v>372</v>
      </c>
      <c r="U1" s="66"/>
      <c r="V1" s="66"/>
      <c r="W1" s="66"/>
      <c r="X1" s="66"/>
      <c r="Y1" s="66"/>
      <c r="Z1" s="66"/>
    </row>
    <row r="2" spans="1:27" ht="15" customHeight="1">
      <c r="A2" s="70" t="s">
        <v>718</v>
      </c>
      <c r="B2" s="68"/>
      <c r="C2" s="68"/>
      <c r="D2" s="61"/>
      <c r="E2" s="61"/>
      <c r="F2" s="61"/>
      <c r="G2" s="61"/>
      <c r="H2" s="61"/>
      <c r="I2" s="61"/>
      <c r="J2" s="61"/>
      <c r="K2" s="61"/>
      <c r="L2" s="61"/>
      <c r="M2" s="61"/>
      <c r="N2" s="206" t="str">
        <f>'SP3-1'!L2</f>
        <v>Spreadsheet release date 14-Apr-2023</v>
      </c>
      <c r="O2" s="61"/>
      <c r="P2" s="61"/>
      <c r="Q2" s="61"/>
      <c r="R2" s="61"/>
      <c r="T2" s="207" t="s">
        <v>373</v>
      </c>
      <c r="U2" s="247"/>
      <c r="V2" s="25"/>
      <c r="W2" s="61"/>
      <c r="X2" s="61"/>
      <c r="Y2" s="61"/>
      <c r="Z2" s="61"/>
    </row>
    <row r="3" spans="1:27" s="62" customFormat="1" ht="15" customHeight="1">
      <c r="A3" s="68" t="s">
        <v>463</v>
      </c>
      <c r="B3" s="68"/>
      <c r="C3" s="68"/>
      <c r="D3" s="61"/>
      <c r="E3" s="61"/>
      <c r="F3" s="61"/>
      <c r="G3" s="61"/>
      <c r="H3" s="61"/>
      <c r="I3" s="61"/>
      <c r="J3" s="61"/>
      <c r="K3" s="61"/>
      <c r="L3" s="61"/>
      <c r="M3" s="61"/>
      <c r="N3" s="61"/>
      <c r="O3" s="61"/>
      <c r="P3" s="61"/>
      <c r="Q3" s="61"/>
      <c r="R3" s="138"/>
      <c r="S3" s="234"/>
      <c r="T3" s="61"/>
      <c r="U3" s="61"/>
      <c r="V3" s="61"/>
      <c r="W3" s="61"/>
      <c r="X3" s="61"/>
      <c r="Y3" s="61"/>
      <c r="Z3" s="61"/>
    </row>
    <row r="4" spans="1:27" s="55" customFormat="1" ht="15" customHeight="1">
      <c r="A4" s="67"/>
      <c r="B4" s="434" t="s">
        <v>464</v>
      </c>
      <c r="C4" s="434"/>
      <c r="D4" s="434"/>
      <c r="E4" s="434"/>
      <c r="F4" s="434"/>
      <c r="G4" s="434"/>
      <c r="H4" s="434"/>
      <c r="I4" s="434"/>
      <c r="J4" s="434"/>
      <c r="K4" s="434"/>
      <c r="L4" s="434"/>
      <c r="M4" s="434"/>
      <c r="N4" s="434"/>
      <c r="O4" s="434"/>
      <c r="P4" s="434"/>
      <c r="Q4" s="434"/>
      <c r="R4" s="66"/>
      <c r="S4" s="66"/>
      <c r="T4" s="66"/>
      <c r="U4" s="66"/>
      <c r="V4" s="66"/>
      <c r="W4" s="66"/>
      <c r="X4" s="66"/>
      <c r="Y4" s="66"/>
      <c r="Z4" s="66"/>
    </row>
    <row r="5" spans="1:27" s="55" customFormat="1" ht="51.75" customHeight="1">
      <c r="A5" s="67"/>
      <c r="B5" s="434"/>
      <c r="C5" s="434"/>
      <c r="D5" s="434"/>
      <c r="E5" s="434"/>
      <c r="F5" s="434"/>
      <c r="G5" s="434"/>
      <c r="H5" s="434"/>
      <c r="I5" s="434"/>
      <c r="J5" s="434"/>
      <c r="K5" s="434"/>
      <c r="L5" s="434"/>
      <c r="M5" s="434"/>
      <c r="N5" s="434"/>
      <c r="O5" s="434"/>
      <c r="P5" s="434"/>
      <c r="Q5" s="434"/>
      <c r="R5" s="66"/>
      <c r="S5" s="66"/>
      <c r="T5" s="66"/>
      <c r="U5" s="66"/>
      <c r="V5" s="66"/>
      <c r="W5" s="66"/>
      <c r="X5" s="66"/>
      <c r="Y5" s="66"/>
      <c r="Z5" s="66"/>
    </row>
    <row r="6" spans="1:27" s="62" customFormat="1" ht="11.25" customHeight="1">
      <c r="A6" s="138"/>
      <c r="B6" s="138"/>
      <c r="C6" s="138"/>
      <c r="D6" s="61"/>
      <c r="E6" s="61"/>
      <c r="F6" s="61"/>
      <c r="G6" s="61"/>
      <c r="H6" s="61"/>
      <c r="I6" s="61"/>
      <c r="J6" s="61"/>
      <c r="K6" s="61"/>
      <c r="L6" s="61"/>
      <c r="M6" s="61"/>
      <c r="N6" s="61"/>
      <c r="O6" s="61"/>
      <c r="P6" s="61"/>
      <c r="Q6" s="61"/>
      <c r="R6" s="138"/>
      <c r="S6" s="234"/>
      <c r="T6" s="61"/>
      <c r="U6" s="61"/>
      <c r="V6" s="61"/>
      <c r="W6" s="61"/>
      <c r="X6" s="61"/>
      <c r="Y6" s="61"/>
      <c r="Z6" s="61"/>
    </row>
    <row r="7" spans="1:27" s="62" customFormat="1" ht="3.75" customHeight="1" thickBot="1">
      <c r="A7" s="225"/>
      <c r="B7" s="225"/>
      <c r="C7" s="225"/>
      <c r="D7" s="63"/>
      <c r="E7" s="63"/>
      <c r="F7" s="63"/>
      <c r="G7" s="63"/>
      <c r="H7" s="63"/>
      <c r="I7" s="63"/>
      <c r="J7" s="63"/>
      <c r="K7" s="63"/>
      <c r="L7" s="63"/>
      <c r="M7" s="63"/>
      <c r="N7" s="63"/>
      <c r="O7" s="63"/>
      <c r="P7" s="63"/>
      <c r="Q7" s="63"/>
      <c r="R7" s="63"/>
      <c r="S7" s="66"/>
      <c r="T7" s="61"/>
      <c r="U7" s="61"/>
      <c r="V7" s="61"/>
      <c r="W7" s="61"/>
      <c r="X7" s="61"/>
      <c r="Y7" s="61"/>
      <c r="Z7" s="61"/>
    </row>
    <row r="8" spans="1:27" ht="19.5" customHeight="1" thickTop="1" thickBot="1">
      <c r="A8" s="211"/>
      <c r="B8" s="210" t="s">
        <v>465</v>
      </c>
      <c r="C8" s="210"/>
      <c r="D8" s="210"/>
      <c r="E8" s="442"/>
      <c r="F8" s="442"/>
      <c r="G8" s="442"/>
      <c r="H8" s="442"/>
      <c r="I8" s="210"/>
      <c r="J8" s="210"/>
      <c r="K8" s="210"/>
      <c r="L8" s="210"/>
      <c r="M8" s="222" t="s">
        <v>467</v>
      </c>
      <c r="N8" s="442"/>
      <c r="O8" s="442"/>
      <c r="P8" s="442"/>
      <c r="Q8" s="442"/>
      <c r="R8" s="225"/>
      <c r="S8" s="234"/>
      <c r="T8" s="61"/>
      <c r="U8" s="61"/>
      <c r="V8" s="61"/>
      <c r="W8" s="61"/>
      <c r="X8" s="61"/>
      <c r="Y8" s="61"/>
      <c r="Z8" s="61"/>
    </row>
    <row r="9" spans="1:27" ht="19.5" customHeight="1" thickTop="1" thickBot="1">
      <c r="A9" s="211">
        <v>1</v>
      </c>
      <c r="B9" s="210" t="s">
        <v>469</v>
      </c>
      <c r="C9" s="210"/>
      <c r="D9" s="210"/>
      <c r="E9" s="442"/>
      <c r="F9" s="442"/>
      <c r="G9" s="442"/>
      <c r="H9" s="442"/>
      <c r="I9" s="210"/>
      <c r="J9" s="210"/>
      <c r="K9" s="210"/>
      <c r="L9" s="210"/>
      <c r="M9" s="222" t="s">
        <v>335</v>
      </c>
      <c r="N9" s="442"/>
      <c r="O9" s="442"/>
      <c r="P9" s="442"/>
      <c r="Q9" s="442"/>
      <c r="R9" s="225"/>
      <c r="S9" s="234"/>
      <c r="T9" s="61"/>
      <c r="U9" s="61"/>
      <c r="V9" s="61"/>
      <c r="W9" s="61"/>
      <c r="X9" s="61"/>
      <c r="Y9" s="61"/>
      <c r="Z9" s="61"/>
    </row>
    <row r="10" spans="1:27" ht="19.5" customHeight="1" thickTop="1" thickBot="1">
      <c r="A10" s="211"/>
      <c r="B10" s="210" t="s">
        <v>470</v>
      </c>
      <c r="C10" s="210"/>
      <c r="D10" s="210"/>
      <c r="E10" s="545"/>
      <c r="F10" s="545"/>
      <c r="G10" s="545"/>
      <c r="H10" s="545"/>
      <c r="I10" s="210"/>
      <c r="J10" s="210"/>
      <c r="K10" s="210"/>
      <c r="L10" s="210"/>
      <c r="M10" s="222" t="s">
        <v>800</v>
      </c>
      <c r="N10" s="509">
        <f>'SP3-1'!I30</f>
        <v>0</v>
      </c>
      <c r="O10" s="509"/>
      <c r="P10" s="509"/>
      <c r="Q10" s="509"/>
      <c r="R10" s="225"/>
      <c r="S10" s="234"/>
      <c r="T10" s="61"/>
      <c r="U10" s="61"/>
      <c r="V10" s="61"/>
      <c r="W10" s="61"/>
      <c r="X10" s="61"/>
      <c r="Y10" s="61"/>
      <c r="Z10" s="61"/>
    </row>
    <row r="11" spans="1:27" ht="19.5" customHeight="1" thickTop="1" thickBot="1">
      <c r="A11" s="211">
        <v>2</v>
      </c>
      <c r="B11" s="210" t="s">
        <v>471</v>
      </c>
      <c r="C11" s="210"/>
      <c r="D11" s="210"/>
      <c r="E11" s="442"/>
      <c r="F11" s="442"/>
      <c r="G11" s="442"/>
      <c r="H11" s="442"/>
      <c r="I11" s="210"/>
      <c r="J11" s="210"/>
      <c r="K11" s="210"/>
      <c r="L11" s="210"/>
      <c r="M11" s="210"/>
      <c r="N11" s="210"/>
      <c r="O11" s="210"/>
      <c r="P11" s="210"/>
      <c r="Q11" s="210"/>
      <c r="R11" s="225"/>
      <c r="S11" s="234"/>
      <c r="T11" s="61"/>
      <c r="U11" s="61"/>
      <c r="V11" s="61"/>
      <c r="W11" s="61"/>
      <c r="X11" s="61"/>
      <c r="Y11" s="61"/>
      <c r="Z11" s="61"/>
      <c r="AA11" s="261"/>
    </row>
    <row r="12" spans="1:27" ht="3.75" customHeight="1" thickTop="1">
      <c r="A12" s="242"/>
      <c r="B12" s="63"/>
      <c r="C12" s="63"/>
      <c r="D12" s="63"/>
      <c r="E12" s="63"/>
      <c r="F12" s="227"/>
      <c r="G12" s="63"/>
      <c r="H12" s="63"/>
      <c r="I12" s="63"/>
      <c r="J12" s="63"/>
      <c r="K12" s="63"/>
      <c r="L12" s="63"/>
      <c r="M12" s="227"/>
      <c r="N12" s="63"/>
      <c r="O12" s="63"/>
      <c r="P12" s="63"/>
      <c r="Q12" s="63"/>
      <c r="R12" s="225"/>
      <c r="S12" s="234"/>
      <c r="T12" s="61"/>
      <c r="U12" s="61"/>
      <c r="V12" s="61"/>
      <c r="W12" s="61"/>
      <c r="X12" s="61"/>
      <c r="Y12" s="61"/>
      <c r="Z12" s="61"/>
      <c r="AA12" s="261"/>
    </row>
    <row r="13" spans="1:27" ht="14.25" customHeight="1">
      <c r="A13" s="242"/>
      <c r="B13" s="540" t="s">
        <v>448</v>
      </c>
      <c r="C13" s="541"/>
      <c r="D13" s="541"/>
      <c r="E13" s="541"/>
      <c r="F13" s="541"/>
      <c r="G13" s="541"/>
      <c r="H13" s="541"/>
      <c r="I13" s="541"/>
      <c r="J13" s="542" t="s">
        <v>473</v>
      </c>
      <c r="K13" s="542"/>
      <c r="L13" s="542"/>
      <c r="M13" s="542"/>
      <c r="N13" s="542"/>
      <c r="O13" s="542"/>
      <c r="P13" s="542"/>
      <c r="Q13" s="542"/>
      <c r="R13" s="225"/>
      <c r="S13" s="234"/>
      <c r="T13" s="543" t="s">
        <v>472</v>
      </c>
      <c r="U13" s="543"/>
      <c r="V13" s="543"/>
      <c r="W13" s="543"/>
      <c r="X13" s="543"/>
      <c r="Y13" s="61"/>
      <c r="Z13" s="61"/>
      <c r="AA13" s="261"/>
    </row>
    <row r="14" spans="1:27" ht="22.5" customHeight="1">
      <c r="A14" s="242"/>
      <c r="B14" s="541"/>
      <c r="C14" s="541"/>
      <c r="D14" s="541"/>
      <c r="E14" s="541"/>
      <c r="F14" s="541"/>
      <c r="G14" s="541"/>
      <c r="H14" s="541"/>
      <c r="I14" s="541"/>
      <c r="J14" s="542" t="s">
        <v>245</v>
      </c>
      <c r="K14" s="542"/>
      <c r="L14" s="542" t="s">
        <v>246</v>
      </c>
      <c r="M14" s="542"/>
      <c r="N14" s="542" t="s">
        <v>247</v>
      </c>
      <c r="O14" s="542"/>
      <c r="P14" s="544" t="s">
        <v>474</v>
      </c>
      <c r="Q14" s="544"/>
      <c r="R14" s="225"/>
      <c r="S14" s="234"/>
      <c r="T14" s="543"/>
      <c r="U14" s="543"/>
      <c r="V14" s="543"/>
      <c r="W14" s="543"/>
      <c r="X14" s="543"/>
      <c r="Y14" s="61"/>
      <c r="Z14" s="61"/>
      <c r="AA14" s="261"/>
    </row>
    <row r="15" spans="1:27" ht="14.25" customHeight="1">
      <c r="A15" s="242">
        <v>3</v>
      </c>
      <c r="B15" s="538" t="s">
        <v>476</v>
      </c>
      <c r="C15" s="538"/>
      <c r="D15" s="538"/>
      <c r="E15" s="538"/>
      <c r="F15" s="538"/>
      <c r="G15" s="538"/>
      <c r="H15" s="538"/>
      <c r="I15" s="538"/>
      <c r="J15" s="539"/>
      <c r="K15" s="539"/>
      <c r="L15" s="539"/>
      <c r="M15" s="539"/>
      <c r="N15" s="539"/>
      <c r="O15" s="539"/>
      <c r="P15" s="539"/>
      <c r="Q15" s="539"/>
      <c r="R15" s="225"/>
      <c r="S15" s="234"/>
      <c r="T15" s="65" t="s">
        <v>475</v>
      </c>
      <c r="U15" s="68"/>
      <c r="V15" s="61"/>
      <c r="W15" s="61"/>
      <c r="X15" s="61"/>
      <c r="Y15" s="61"/>
      <c r="Z15" s="61"/>
      <c r="AA15" s="261"/>
    </row>
    <row r="16" spans="1:27" ht="14.25" customHeight="1">
      <c r="A16" s="242">
        <v>4</v>
      </c>
      <c r="B16" s="538" t="s">
        <v>477</v>
      </c>
      <c r="C16" s="538"/>
      <c r="D16" s="538"/>
      <c r="E16" s="538"/>
      <c r="F16" s="538"/>
      <c r="G16" s="538"/>
      <c r="H16" s="538"/>
      <c r="I16" s="538"/>
      <c r="J16" s="539"/>
      <c r="K16" s="539"/>
      <c r="L16" s="539"/>
      <c r="M16" s="539"/>
      <c r="N16" s="539"/>
      <c r="O16" s="539"/>
      <c r="P16" s="539"/>
      <c r="Q16" s="539"/>
      <c r="R16" s="225"/>
      <c r="S16" s="234"/>
      <c r="T16" s="550"/>
      <c r="U16" s="551"/>
      <c r="V16" s="262" t="s">
        <v>245</v>
      </c>
      <c r="W16" s="262" t="s">
        <v>246</v>
      </c>
      <c r="X16" s="263" t="s">
        <v>247</v>
      </c>
      <c r="Y16" s="61"/>
      <c r="Z16" s="61"/>
      <c r="AA16" s="261"/>
    </row>
    <row r="17" spans="1:27" ht="14.25" customHeight="1">
      <c r="A17" s="242">
        <v>5</v>
      </c>
      <c r="B17" s="538" t="s">
        <v>480</v>
      </c>
      <c r="C17" s="538"/>
      <c r="D17" s="538"/>
      <c r="E17" s="538"/>
      <c r="F17" s="538"/>
      <c r="G17" s="538"/>
      <c r="H17" s="538"/>
      <c r="I17" s="538"/>
      <c r="J17" s="549" t="str">
        <f>IF(E8="","",IF(Tables!G270="",0,Tables!G270))</f>
        <v/>
      </c>
      <c r="K17" s="549"/>
      <c r="L17" s="549" t="str">
        <f>IF(E8="","",IF(Tables!H270="",0,Tables!H270))</f>
        <v/>
      </c>
      <c r="M17" s="549"/>
      <c r="N17" s="552">
        <v>1</v>
      </c>
      <c r="O17" s="552"/>
      <c r="P17" s="552">
        <v>1</v>
      </c>
      <c r="Q17" s="552"/>
      <c r="R17" s="225"/>
      <c r="S17" s="234"/>
      <c r="T17" s="553" t="s">
        <v>478</v>
      </c>
      <c r="U17" s="264" t="s">
        <v>479</v>
      </c>
      <c r="V17" s="546">
        <v>1</v>
      </c>
      <c r="W17" s="546">
        <v>1.5</v>
      </c>
      <c r="X17" s="264">
        <v>4.5</v>
      </c>
      <c r="Y17" s="61"/>
      <c r="Z17" s="61"/>
      <c r="AA17" s="261"/>
    </row>
    <row r="18" spans="1:27" ht="14.25" customHeight="1">
      <c r="A18" s="242">
        <v>6</v>
      </c>
      <c r="B18" s="548" t="s">
        <v>482</v>
      </c>
      <c r="C18" s="548"/>
      <c r="D18" s="548"/>
      <c r="E18" s="548"/>
      <c r="F18" s="548"/>
      <c r="G18" s="548"/>
      <c r="H18" s="548"/>
      <c r="I18" s="548"/>
      <c r="J18" s="549" t="str">
        <f>IF(J17="","",IF(J16="","",IF(L16="","",(L16+J16)*J17)))</f>
        <v/>
      </c>
      <c r="K18" s="549"/>
      <c r="L18" s="549" t="str">
        <f>IF(L17="","",IF(J16="","",IF(L16="","",(L16+J16)*L17)))</f>
        <v/>
      </c>
      <c r="M18" s="549"/>
      <c r="N18" s="549" t="str">
        <f>IF(N16="","",N16*N17)</f>
        <v/>
      </c>
      <c r="O18" s="549"/>
      <c r="P18" s="549" t="str">
        <f>IF(P16="","",P16*P17)</f>
        <v/>
      </c>
      <c r="Q18" s="549"/>
      <c r="R18" s="225"/>
      <c r="S18" s="234"/>
      <c r="T18" s="554"/>
      <c r="U18" s="265" t="s">
        <v>481</v>
      </c>
      <c r="V18" s="547"/>
      <c r="W18" s="547"/>
      <c r="X18" s="265">
        <v>2.75</v>
      </c>
      <c r="Y18" s="61"/>
      <c r="Z18" s="61"/>
      <c r="AA18" s="261"/>
    </row>
    <row r="19" spans="1:27" ht="14.25" customHeight="1">
      <c r="A19" s="242">
        <v>7</v>
      </c>
      <c r="B19" s="538" t="s">
        <v>484</v>
      </c>
      <c r="C19" s="538"/>
      <c r="D19" s="538"/>
      <c r="E19" s="538"/>
      <c r="F19" s="538"/>
      <c r="G19" s="538"/>
      <c r="H19" s="538"/>
      <c r="I19" s="538"/>
      <c r="J19" s="555" t="str">
        <f>IF($J15="","",IF(J18="","",J18/$J15))</f>
        <v/>
      </c>
      <c r="K19" s="555"/>
      <c r="L19" s="555" t="str">
        <f t="shared" ref="L19" si="0">IF($J15="","",IF(L18="","",L18/$J15))</f>
        <v/>
      </c>
      <c r="M19" s="555"/>
      <c r="N19" s="555" t="str">
        <f>IF($J15="","",IF(N18="","",N18/$J15))</f>
        <v/>
      </c>
      <c r="O19" s="555"/>
      <c r="P19" s="555" t="str">
        <f>IF($J15="","",IF(P18="","",P18/$J15))</f>
        <v/>
      </c>
      <c r="Q19" s="555"/>
      <c r="R19" s="225"/>
      <c r="S19" s="234"/>
      <c r="T19" s="554" t="s">
        <v>483</v>
      </c>
      <c r="U19" s="265" t="s">
        <v>479</v>
      </c>
      <c r="V19" s="547">
        <v>1</v>
      </c>
      <c r="W19" s="547">
        <v>1.9</v>
      </c>
      <c r="X19" s="265">
        <v>7.5</v>
      </c>
      <c r="Y19" s="61"/>
      <c r="Z19" s="61"/>
      <c r="AA19" s="261"/>
    </row>
    <row r="20" spans="1:27" ht="14.25" customHeight="1">
      <c r="A20" s="242">
        <v>8</v>
      </c>
      <c r="B20" s="538" t="s">
        <v>485</v>
      </c>
      <c r="C20" s="538"/>
      <c r="D20" s="538"/>
      <c r="E20" s="538"/>
      <c r="F20" s="538"/>
      <c r="G20" s="538"/>
      <c r="H20" s="538"/>
      <c r="I20" s="538"/>
      <c r="J20" s="555">
        <f>IF(E10&lt;A51,_xlfn.XLOOKUP(N10,C50:J50,C51:J51),_xlfn.XLOOKUP(N10,C50:J50,C52:J52))</f>
        <v>0.83</v>
      </c>
      <c r="K20" s="555"/>
      <c r="L20" s="555"/>
      <c r="M20" s="555"/>
      <c r="N20" s="555"/>
      <c r="O20" s="555"/>
      <c r="P20" s="555"/>
      <c r="Q20" s="555"/>
      <c r="R20" s="225"/>
      <c r="S20" s="234"/>
      <c r="T20" s="554"/>
      <c r="U20" s="265" t="s">
        <v>481</v>
      </c>
      <c r="V20" s="547"/>
      <c r="W20" s="547"/>
      <c r="X20" s="265">
        <v>4.5</v>
      </c>
      <c r="Y20" s="61"/>
      <c r="Z20" s="61"/>
      <c r="AA20" s="261"/>
    </row>
    <row r="21" spans="1:27" ht="14.25" customHeight="1">
      <c r="A21" s="242">
        <v>9</v>
      </c>
      <c r="B21" s="538" t="s">
        <v>487</v>
      </c>
      <c r="C21" s="538"/>
      <c r="D21" s="538"/>
      <c r="E21" s="538"/>
      <c r="F21" s="538"/>
      <c r="G21" s="538"/>
      <c r="H21" s="538"/>
      <c r="I21" s="538"/>
      <c r="J21" s="556" t="str">
        <f>IF(J19="","",J19*$J20)</f>
        <v/>
      </c>
      <c r="K21" s="556"/>
      <c r="L21" s="556" t="str">
        <f>IF(L19="","",L19*$J20)</f>
        <v/>
      </c>
      <c r="M21" s="556"/>
      <c r="N21" s="556" t="str">
        <f>IF(N19="","",N19*$J20)</f>
        <v/>
      </c>
      <c r="O21" s="556"/>
      <c r="P21" s="556" t="str">
        <f>IF(P19="","",P19*$J20)</f>
        <v/>
      </c>
      <c r="Q21" s="556"/>
      <c r="R21" s="225"/>
      <c r="S21" s="234"/>
      <c r="T21" s="554" t="s">
        <v>486</v>
      </c>
      <c r="U21" s="265" t="s">
        <v>479</v>
      </c>
      <c r="V21" s="547">
        <v>1</v>
      </c>
      <c r="W21" s="547">
        <v>2.2999999999999998</v>
      </c>
      <c r="X21" s="265">
        <v>13</v>
      </c>
      <c r="Y21" s="61"/>
      <c r="Z21" s="61"/>
      <c r="AA21" s="261"/>
    </row>
    <row r="22" spans="1:27" ht="14.25" customHeight="1">
      <c r="A22" s="242">
        <v>10</v>
      </c>
      <c r="B22" s="538" t="s">
        <v>875</v>
      </c>
      <c r="C22" s="538"/>
      <c r="D22" s="538"/>
      <c r="E22" s="538"/>
      <c r="F22" s="538"/>
      <c r="G22" s="538"/>
      <c r="H22" s="538"/>
      <c r="I22" s="538"/>
      <c r="J22" s="539"/>
      <c r="K22" s="539"/>
      <c r="L22" s="539"/>
      <c r="M22" s="539"/>
      <c r="N22" s="539"/>
      <c r="O22" s="539"/>
      <c r="P22" s="539"/>
      <c r="Q22" s="539"/>
      <c r="R22" s="225"/>
      <c r="S22" s="234"/>
      <c r="T22" s="554"/>
      <c r="U22" s="265" t="s">
        <v>481</v>
      </c>
      <c r="V22" s="547"/>
      <c r="W22" s="547"/>
      <c r="X22" s="265">
        <v>7.5</v>
      </c>
      <c r="Y22" s="61"/>
      <c r="Z22" s="61"/>
      <c r="AA22" s="261"/>
    </row>
    <row r="23" spans="1:27" ht="14.25" customHeight="1">
      <c r="A23" s="242">
        <v>11</v>
      </c>
      <c r="B23" s="538" t="s">
        <v>489</v>
      </c>
      <c r="C23" s="538"/>
      <c r="D23" s="538"/>
      <c r="E23" s="538"/>
      <c r="F23" s="538"/>
      <c r="G23" s="538"/>
      <c r="H23" s="538"/>
      <c r="I23" s="538"/>
      <c r="J23" s="556" t="str">
        <f t="shared" ref="J23" si="1">IF(J21="","",J21*J22)</f>
        <v/>
      </c>
      <c r="K23" s="556"/>
      <c r="L23" s="556" t="str">
        <f t="shared" ref="L23" si="2">IF(L21="","",L21*L22)</f>
        <v/>
      </c>
      <c r="M23" s="556"/>
      <c r="N23" s="556" t="str">
        <f>IF(N21="","",N21*N22)</f>
        <v/>
      </c>
      <c r="O23" s="556"/>
      <c r="P23" s="556" t="str">
        <f>IF(P21="","",P21*P22)</f>
        <v/>
      </c>
      <c r="Q23" s="556"/>
      <c r="R23" s="225"/>
      <c r="S23" s="234"/>
      <c r="T23" s="266" t="s">
        <v>336</v>
      </c>
      <c r="U23" s="265" t="s">
        <v>488</v>
      </c>
      <c r="V23" s="265">
        <v>1</v>
      </c>
      <c r="W23" s="265">
        <v>1.9</v>
      </c>
      <c r="X23" s="265">
        <v>1.9</v>
      </c>
      <c r="Y23" s="61"/>
      <c r="Z23" s="61"/>
      <c r="AA23" s="261"/>
    </row>
    <row r="24" spans="1:27" ht="14.25" customHeight="1">
      <c r="A24" s="242">
        <v>12</v>
      </c>
      <c r="B24" s="538" t="s">
        <v>490</v>
      </c>
      <c r="C24" s="538"/>
      <c r="D24" s="538"/>
      <c r="E24" s="538"/>
      <c r="F24" s="538"/>
      <c r="G24" s="538"/>
      <c r="H24" s="538"/>
      <c r="I24" s="538"/>
      <c r="J24" s="558" t="str">
        <f xml:space="preserve"> IF($N$8="","",IF($E$8="","",Tables!J199))</f>
        <v/>
      </c>
      <c r="K24" s="558"/>
      <c r="L24" s="558" t="str">
        <f xml:space="preserve"> IF($N$8="","",IF($E$8="","",Tables!J216))</f>
        <v/>
      </c>
      <c r="M24" s="558"/>
      <c r="N24" s="558" t="str">
        <f xml:space="preserve"> IF($N$8="","",IF($E$8="","",Tables!J234))</f>
        <v/>
      </c>
      <c r="O24" s="558"/>
      <c r="P24" s="558" t="str">
        <f xml:space="preserve"> IF($N$8="","",IF($E$8="","",Tables!J251))</f>
        <v/>
      </c>
      <c r="Q24" s="558"/>
      <c r="R24" s="225"/>
      <c r="S24" s="234"/>
      <c r="T24" s="266" t="s">
        <v>488</v>
      </c>
      <c r="U24" s="265" t="s">
        <v>488</v>
      </c>
      <c r="V24" s="265">
        <v>1</v>
      </c>
      <c r="W24" s="265">
        <v>1.7</v>
      </c>
      <c r="X24" s="265">
        <v>3.6</v>
      </c>
      <c r="Y24" s="61"/>
      <c r="Z24" s="61"/>
    </row>
    <row r="25" spans="1:27" ht="14.25" customHeight="1">
      <c r="A25" s="242">
        <v>13</v>
      </c>
      <c r="B25" s="538" t="s">
        <v>492</v>
      </c>
      <c r="C25" s="538"/>
      <c r="D25" s="538"/>
      <c r="E25" s="538"/>
      <c r="F25" s="538"/>
      <c r="G25" s="538"/>
      <c r="H25" s="538"/>
      <c r="I25" s="538"/>
      <c r="J25" s="558" t="str">
        <f xml:space="preserve"> IF($N$8="","",IF($E$8="","",Tables!J128))</f>
        <v/>
      </c>
      <c r="K25" s="558"/>
      <c r="L25" s="558" t="str">
        <f xml:space="preserve"> IF($N$8="","",IF($E$8="","",Tables!J145))</f>
        <v/>
      </c>
      <c r="M25" s="558"/>
      <c r="N25" s="558" t="str">
        <f xml:space="preserve"> IF($N$8="","",IF($E$8="","",Tables!J164))</f>
        <v/>
      </c>
      <c r="O25" s="558"/>
      <c r="P25" s="558" t="str">
        <f xml:space="preserve"> IF($N$8="","",IF($E$8="","",Tables!J181))</f>
        <v/>
      </c>
      <c r="Q25" s="558"/>
      <c r="R25" s="225"/>
      <c r="S25" s="234"/>
      <c r="T25" s="557" t="s">
        <v>491</v>
      </c>
      <c r="U25" s="557"/>
      <c r="V25" s="557"/>
      <c r="W25" s="557"/>
      <c r="X25" s="61"/>
      <c r="Y25" s="61"/>
      <c r="Z25" s="61"/>
    </row>
    <row r="26" spans="1:27" ht="14.25" customHeight="1">
      <c r="A26" s="242">
        <v>14</v>
      </c>
      <c r="B26" s="538" t="s">
        <v>493</v>
      </c>
      <c r="C26" s="538"/>
      <c r="D26" s="538"/>
      <c r="E26" s="538"/>
      <c r="F26" s="538"/>
      <c r="G26" s="538"/>
      <c r="H26" s="538"/>
      <c r="I26" s="538"/>
      <c r="J26" s="549">
        <f>(E9-50)/50</f>
        <v>-1</v>
      </c>
      <c r="K26" s="549"/>
      <c r="L26" s="549"/>
      <c r="M26" s="549"/>
      <c r="N26" s="549"/>
      <c r="O26" s="549"/>
      <c r="P26" s="549"/>
      <c r="Q26" s="549"/>
      <c r="R26" s="225"/>
      <c r="S26" s="234"/>
      <c r="T26" s="543"/>
      <c r="U26" s="543"/>
      <c r="V26" s="543"/>
      <c r="W26" s="543"/>
      <c r="X26" s="61"/>
      <c r="Y26" s="61"/>
      <c r="Z26" s="61"/>
    </row>
    <row r="27" spans="1:27" ht="14.25" customHeight="1">
      <c r="A27" s="242">
        <v>15</v>
      </c>
      <c r="B27" s="538" t="s">
        <v>494</v>
      </c>
      <c r="C27" s="538"/>
      <c r="D27" s="538"/>
      <c r="E27" s="538"/>
      <c r="F27" s="538"/>
      <c r="G27" s="538"/>
      <c r="H27" s="538"/>
      <c r="I27" s="538"/>
      <c r="J27" s="558" t="str">
        <f>IF(J24="","",J25+$J26*(J24-J25))</f>
        <v/>
      </c>
      <c r="K27" s="558"/>
      <c r="L27" s="558" t="str">
        <f>IF(L24="","",L25+$J26*(L24-L25))</f>
        <v/>
      </c>
      <c r="M27" s="558"/>
      <c r="N27" s="558" t="str">
        <f>IF(N24="","",N25+$J26*(N24-N25))</f>
        <v/>
      </c>
      <c r="O27" s="558"/>
      <c r="P27" s="559" t="str">
        <f>IF(P24="","",P25+$J26*(P24-P25))</f>
        <v/>
      </c>
      <c r="Q27" s="559"/>
      <c r="R27" s="225"/>
      <c r="S27" s="234"/>
      <c r="T27" s="543"/>
      <c r="U27" s="543"/>
      <c r="V27" s="543"/>
      <c r="W27" s="543"/>
      <c r="X27" s="61"/>
      <c r="Y27" s="61"/>
      <c r="Z27" s="61"/>
    </row>
    <row r="28" spans="1:27" ht="14.25" customHeight="1">
      <c r="A28" s="242">
        <v>16</v>
      </c>
      <c r="B28" s="538" t="s">
        <v>496</v>
      </c>
      <c r="C28" s="538"/>
      <c r="D28" s="538"/>
      <c r="E28" s="538"/>
      <c r="F28" s="538"/>
      <c r="G28" s="538"/>
      <c r="H28" s="538"/>
      <c r="I28" s="538"/>
      <c r="J28" s="558" t="str">
        <f>IF(J23="","",IF(J27="","",J23*J27))</f>
        <v/>
      </c>
      <c r="K28" s="558"/>
      <c r="L28" s="558" t="str">
        <f>IF(L23="","",IF(L27="","",L23*L27))</f>
        <v/>
      </c>
      <c r="M28" s="558"/>
      <c r="N28" s="558" t="str">
        <f>IF(N23="","",IF(N27="","",N23*N27))</f>
        <v/>
      </c>
      <c r="O28" s="558"/>
      <c r="P28" s="559" t="str">
        <f>IF(P23="","",IF(P27="","",P23*P27))</f>
        <v/>
      </c>
      <c r="Q28" s="559"/>
      <c r="R28" s="225"/>
      <c r="S28" s="234"/>
      <c r="T28" s="75" t="s">
        <v>495</v>
      </c>
      <c r="U28" s="61"/>
      <c r="V28" s="61"/>
      <c r="W28" s="61"/>
      <c r="X28" s="61"/>
      <c r="Y28" s="61"/>
      <c r="Z28" s="61"/>
    </row>
    <row r="29" spans="1:27" ht="24.75" customHeight="1">
      <c r="A29" s="242">
        <v>17</v>
      </c>
      <c r="B29" s="548" t="s">
        <v>500</v>
      </c>
      <c r="C29" s="548"/>
      <c r="D29" s="548"/>
      <c r="E29" s="548"/>
      <c r="F29" s="548"/>
      <c r="G29" s="548"/>
      <c r="H29" s="548"/>
      <c r="I29" s="548"/>
      <c r="J29" s="564">
        <f>SUM(J28:Q28)</f>
        <v>0</v>
      </c>
      <c r="K29" s="564"/>
      <c r="L29" s="564"/>
      <c r="M29" s="564"/>
      <c r="N29" s="564"/>
      <c r="O29" s="564"/>
      <c r="P29" s="564"/>
      <c r="Q29" s="564"/>
      <c r="R29" s="225"/>
      <c r="S29" s="234"/>
      <c r="T29" s="267" t="s">
        <v>497</v>
      </c>
      <c r="U29" s="267" t="s">
        <v>498</v>
      </c>
      <c r="V29" s="267" t="s">
        <v>499</v>
      </c>
      <c r="W29" s="267" t="s">
        <v>336</v>
      </c>
      <c r="X29" s="61"/>
      <c r="Y29" s="61"/>
      <c r="Z29" s="61"/>
    </row>
    <row r="30" spans="1:27" ht="16.5" customHeight="1">
      <c r="A30" s="63"/>
      <c r="B30" s="268" t="s">
        <v>449</v>
      </c>
      <c r="C30" s="268"/>
      <c r="D30" s="268"/>
      <c r="E30" s="268"/>
      <c r="F30" s="268"/>
      <c r="G30" s="268"/>
      <c r="H30" s="268"/>
      <c r="I30" s="268"/>
      <c r="J30" s="268"/>
      <c r="K30" s="268"/>
      <c r="L30" s="268"/>
      <c r="M30" s="268"/>
      <c r="N30" s="268"/>
      <c r="O30" s="268"/>
      <c r="P30" s="268"/>
      <c r="Q30" s="268"/>
      <c r="R30" s="225"/>
      <c r="S30" s="234"/>
      <c r="T30" s="269" t="s">
        <v>501</v>
      </c>
      <c r="U30" s="270">
        <v>7</v>
      </c>
      <c r="V30" s="270">
        <v>18.5</v>
      </c>
      <c r="W30" s="270">
        <v>7</v>
      </c>
      <c r="X30" s="61"/>
      <c r="Y30" s="61"/>
      <c r="Z30" s="61"/>
    </row>
    <row r="31" spans="1:27" ht="14.25" customHeight="1">
      <c r="A31" s="242">
        <v>18</v>
      </c>
      <c r="B31" s="538" t="s">
        <v>909</v>
      </c>
      <c r="C31" s="538"/>
      <c r="D31" s="538"/>
      <c r="E31" s="538"/>
      <c r="F31" s="538"/>
      <c r="G31" s="538"/>
      <c r="H31" s="538"/>
      <c r="I31" s="538"/>
      <c r="J31" s="565"/>
      <c r="K31" s="565"/>
      <c r="L31" s="565"/>
      <c r="M31" s="565"/>
      <c r="N31" s="565"/>
      <c r="O31" s="565"/>
      <c r="P31" s="565"/>
      <c r="Q31" s="565"/>
      <c r="R31" s="225"/>
      <c r="S31" s="234"/>
      <c r="T31" s="560" t="s">
        <v>502</v>
      </c>
      <c r="U31" s="561"/>
      <c r="V31" s="561"/>
      <c r="W31" s="561"/>
      <c r="X31" s="562"/>
      <c r="Z31" s="61"/>
    </row>
    <row r="32" spans="1:27" ht="14.25" customHeight="1">
      <c r="A32" s="242">
        <v>19</v>
      </c>
      <c r="B32" s="538" t="s">
        <v>921</v>
      </c>
      <c r="C32" s="538"/>
      <c r="D32" s="538"/>
      <c r="E32" s="538"/>
      <c r="F32" s="538"/>
      <c r="G32" s="538"/>
      <c r="H32" s="538"/>
      <c r="I32" s="538"/>
      <c r="J32" s="563">
        <f>1-J31</f>
        <v>1</v>
      </c>
      <c r="K32" s="549"/>
      <c r="L32" s="563">
        <f t="shared" ref="L32" si="3">1-L31</f>
        <v>1</v>
      </c>
      <c r="M32" s="549"/>
      <c r="N32" s="563">
        <f t="shared" ref="N32" si="4">1-N31</f>
        <v>1</v>
      </c>
      <c r="O32" s="549"/>
      <c r="P32" s="563">
        <f t="shared" ref="P32" si="5">1-P31</f>
        <v>1</v>
      </c>
      <c r="Q32" s="549"/>
      <c r="R32" s="225"/>
      <c r="S32" s="234"/>
      <c r="T32" s="61"/>
      <c r="U32" s="61"/>
      <c r="V32" s="61"/>
      <c r="W32" s="61"/>
      <c r="X32" s="61"/>
      <c r="Y32" s="61"/>
      <c r="Z32" s="61"/>
    </row>
    <row r="33" spans="1:27" ht="14.25" customHeight="1">
      <c r="A33" s="242">
        <v>20</v>
      </c>
      <c r="B33" s="538" t="s">
        <v>503</v>
      </c>
      <c r="C33" s="538"/>
      <c r="D33" s="538"/>
      <c r="E33" s="538"/>
      <c r="F33" s="538"/>
      <c r="G33" s="538"/>
      <c r="H33" s="538"/>
      <c r="I33" s="538"/>
      <c r="J33" s="556" t="str">
        <f>IF(J23="","",J23*J32)</f>
        <v/>
      </c>
      <c r="K33" s="556"/>
      <c r="L33" s="556" t="str">
        <f t="shared" ref="L33" si="6">IF(L23="","",L23*L32)</f>
        <v/>
      </c>
      <c r="M33" s="556"/>
      <c r="N33" s="556" t="str">
        <f t="shared" ref="N33" si="7">IF(N23="","",N23*N32)</f>
        <v/>
      </c>
      <c r="O33" s="556"/>
      <c r="P33" s="556" t="str">
        <f t="shared" ref="P33" si="8">IF(P23="","",P23*P32)</f>
        <v/>
      </c>
      <c r="Q33" s="556"/>
      <c r="R33" s="225"/>
      <c r="S33" s="234"/>
      <c r="T33" s="61"/>
      <c r="U33" s="61"/>
      <c r="V33" s="61"/>
      <c r="W33" s="61"/>
      <c r="X33" s="61"/>
      <c r="Y33" s="61"/>
      <c r="Z33" s="61"/>
    </row>
    <row r="34" spans="1:27" ht="14.25" customHeight="1">
      <c r="A34" s="242">
        <v>21</v>
      </c>
      <c r="B34" s="538" t="s">
        <v>490</v>
      </c>
      <c r="C34" s="538"/>
      <c r="D34" s="538"/>
      <c r="E34" s="538"/>
      <c r="F34" s="538"/>
      <c r="G34" s="538"/>
      <c r="H34" s="538"/>
      <c r="I34" s="538"/>
      <c r="J34" s="558" t="str">
        <f>J24</f>
        <v/>
      </c>
      <c r="K34" s="558"/>
      <c r="L34" s="558" t="str">
        <f>L24</f>
        <v/>
      </c>
      <c r="M34" s="558"/>
      <c r="N34" s="558" t="str">
        <f>N24</f>
        <v/>
      </c>
      <c r="O34" s="558"/>
      <c r="P34" s="558" t="str">
        <f>P24</f>
        <v/>
      </c>
      <c r="Q34" s="558"/>
      <c r="R34" s="225"/>
      <c r="S34" s="234"/>
      <c r="T34" s="61"/>
      <c r="U34" s="61"/>
      <c r="V34" s="61"/>
      <c r="W34" s="61"/>
      <c r="X34" s="61"/>
      <c r="Y34" s="61"/>
      <c r="Z34" s="61"/>
    </row>
    <row r="35" spans="1:27" ht="14.25" customHeight="1">
      <c r="A35" s="242">
        <v>22</v>
      </c>
      <c r="B35" s="538" t="s">
        <v>492</v>
      </c>
      <c r="C35" s="538"/>
      <c r="D35" s="538"/>
      <c r="E35" s="538"/>
      <c r="F35" s="538"/>
      <c r="G35" s="538"/>
      <c r="H35" s="538"/>
      <c r="I35" s="538"/>
      <c r="J35" s="558" t="str">
        <f>J25</f>
        <v/>
      </c>
      <c r="K35" s="558"/>
      <c r="L35" s="558" t="str">
        <f>L25</f>
        <v/>
      </c>
      <c r="M35" s="558"/>
      <c r="N35" s="558" t="str">
        <f>N25</f>
        <v/>
      </c>
      <c r="O35" s="558"/>
      <c r="P35" s="558" t="str">
        <f>P25</f>
        <v/>
      </c>
      <c r="Q35" s="558"/>
      <c r="R35" s="225"/>
      <c r="S35" s="234"/>
      <c r="T35" s="61"/>
      <c r="U35" s="61"/>
      <c r="V35" s="61"/>
      <c r="W35" s="61"/>
      <c r="X35" s="61"/>
      <c r="Y35" s="61"/>
      <c r="Z35" s="61"/>
    </row>
    <row r="36" spans="1:27" ht="14.25" customHeight="1">
      <c r="A36" s="242">
        <v>23</v>
      </c>
      <c r="B36" s="538" t="s">
        <v>504</v>
      </c>
      <c r="C36" s="538"/>
      <c r="D36" s="538"/>
      <c r="E36" s="538"/>
      <c r="F36" s="538"/>
      <c r="G36" s="538"/>
      <c r="H36" s="538"/>
      <c r="I36" s="538"/>
      <c r="J36" s="549">
        <f>(E11-50)/50</f>
        <v>-1</v>
      </c>
      <c r="K36" s="549"/>
      <c r="L36" s="549"/>
      <c r="M36" s="549"/>
      <c r="N36" s="549"/>
      <c r="O36" s="549"/>
      <c r="P36" s="549"/>
      <c r="Q36" s="549"/>
      <c r="R36" s="225"/>
      <c r="S36" s="234"/>
      <c r="T36" s="61"/>
      <c r="U36" s="61"/>
      <c r="V36" s="61"/>
      <c r="W36" s="61"/>
      <c r="X36" s="61"/>
      <c r="Y36" s="61"/>
      <c r="Z36" s="61"/>
    </row>
    <row r="37" spans="1:27" ht="14.25" customHeight="1">
      <c r="A37" s="242">
        <v>24</v>
      </c>
      <c r="B37" s="538" t="s">
        <v>505</v>
      </c>
      <c r="C37" s="538"/>
      <c r="D37" s="538"/>
      <c r="E37" s="538"/>
      <c r="F37" s="538"/>
      <c r="G37" s="538"/>
      <c r="H37" s="538"/>
      <c r="I37" s="538"/>
      <c r="J37" s="558" t="str">
        <f>IF(J34="","",J35+$J36*(J34-J35))</f>
        <v/>
      </c>
      <c r="K37" s="558"/>
      <c r="L37" s="558" t="str">
        <f>IF(L34="","",L35+$J36*(L34-L35))</f>
        <v/>
      </c>
      <c r="M37" s="558"/>
      <c r="N37" s="558" t="str">
        <f>IF(N34="","",N35+$J36*(N34-N35))</f>
        <v/>
      </c>
      <c r="O37" s="558"/>
      <c r="P37" s="558" t="str">
        <f>IF(P34="","",P35+$J36*(P34-P35))</f>
        <v/>
      </c>
      <c r="Q37" s="558"/>
      <c r="R37" s="225"/>
      <c r="S37" s="234"/>
      <c r="T37" s="61"/>
      <c r="U37" s="61"/>
      <c r="V37" s="61"/>
      <c r="W37" s="61"/>
      <c r="X37" s="61"/>
      <c r="Y37" s="61"/>
      <c r="Z37" s="61"/>
    </row>
    <row r="38" spans="1:27" ht="14.25" customHeight="1">
      <c r="A38" s="242">
        <v>25</v>
      </c>
      <c r="B38" s="538" t="s">
        <v>506</v>
      </c>
      <c r="C38" s="538"/>
      <c r="D38" s="538"/>
      <c r="E38" s="538"/>
      <c r="F38" s="538"/>
      <c r="G38" s="538"/>
      <c r="H38" s="538"/>
      <c r="I38" s="538"/>
      <c r="J38" s="558" t="str">
        <f>IF(J37="","",IF(J33="","",J37*J33))</f>
        <v/>
      </c>
      <c r="K38" s="558"/>
      <c r="L38" s="558" t="str">
        <f>IF(L37="","",IF(L33="","",L37*L33))</f>
        <v/>
      </c>
      <c r="M38" s="558"/>
      <c r="N38" s="558" t="str">
        <f>IF(N37="","",IF(N33="","",N37*N33))</f>
        <v/>
      </c>
      <c r="O38" s="558"/>
      <c r="P38" s="558" t="str">
        <f>IF(P37="","",IF(P33="","",P37*P33))</f>
        <v/>
      </c>
      <c r="Q38" s="558"/>
      <c r="R38" s="225"/>
      <c r="S38" s="234"/>
      <c r="T38" s="61"/>
      <c r="U38" s="61"/>
      <c r="V38" s="61"/>
      <c r="W38" s="61"/>
      <c r="X38" s="61"/>
      <c r="Y38" s="61"/>
      <c r="Z38" s="61"/>
    </row>
    <row r="39" spans="1:27" ht="24.75" customHeight="1">
      <c r="A39" s="242">
        <v>26</v>
      </c>
      <c r="B39" s="548" t="s">
        <v>507</v>
      </c>
      <c r="C39" s="548"/>
      <c r="D39" s="548"/>
      <c r="E39" s="548"/>
      <c r="F39" s="548"/>
      <c r="G39" s="548"/>
      <c r="H39" s="548"/>
      <c r="I39" s="548"/>
      <c r="J39" s="564">
        <f>SUM(J38:Q38)</f>
        <v>0</v>
      </c>
      <c r="K39" s="564"/>
      <c r="L39" s="564"/>
      <c r="M39" s="564"/>
      <c r="N39" s="564"/>
      <c r="O39" s="564"/>
      <c r="P39" s="564"/>
      <c r="Q39" s="564"/>
      <c r="R39" s="225"/>
      <c r="S39" s="234"/>
      <c r="V39" s="61"/>
      <c r="W39" s="61"/>
      <c r="X39" s="61"/>
      <c r="Y39" s="61"/>
      <c r="Z39" s="61"/>
    </row>
    <row r="40" spans="1:27" ht="14.25" customHeight="1">
      <c r="A40" s="242">
        <v>27</v>
      </c>
      <c r="B40" s="538" t="s">
        <v>508</v>
      </c>
      <c r="C40" s="538"/>
      <c r="D40" s="538"/>
      <c r="E40" s="538"/>
      <c r="F40" s="538"/>
      <c r="G40" s="538"/>
      <c r="H40" s="538"/>
      <c r="I40" s="538"/>
      <c r="J40" s="564">
        <f>J29-J39</f>
        <v>0</v>
      </c>
      <c r="K40" s="564"/>
      <c r="L40" s="564"/>
      <c r="M40" s="564"/>
      <c r="N40" s="564"/>
      <c r="O40" s="564"/>
      <c r="P40" s="564"/>
      <c r="Q40" s="564"/>
      <c r="R40" s="225"/>
      <c r="S40" s="234"/>
      <c r="V40" s="61"/>
      <c r="W40" s="61"/>
      <c r="X40" s="61"/>
      <c r="Y40" s="61"/>
      <c r="Z40" s="61"/>
    </row>
    <row r="41" spans="1:27" ht="14.25" customHeight="1">
      <c r="A41" s="242">
        <v>28</v>
      </c>
      <c r="B41" s="538" t="s">
        <v>509</v>
      </c>
      <c r="C41" s="538"/>
      <c r="D41" s="538"/>
      <c r="E41" s="538"/>
      <c r="F41" s="538"/>
      <c r="G41" s="538"/>
      <c r="H41" s="538"/>
      <c r="I41" s="538"/>
      <c r="J41" s="564">
        <f>J40*Tables!O8</f>
        <v>0</v>
      </c>
      <c r="K41" s="564"/>
      <c r="L41" s="564"/>
      <c r="M41" s="564"/>
      <c r="N41" s="564"/>
      <c r="O41" s="564"/>
      <c r="P41" s="564"/>
      <c r="Q41" s="564"/>
      <c r="R41" s="242" t="s">
        <v>462</v>
      </c>
      <c r="S41" s="271"/>
      <c r="T41" s="435" t="s">
        <v>511</v>
      </c>
      <c r="U41" s="435"/>
      <c r="V41" s="435"/>
      <c r="W41" s="435"/>
      <c r="X41" s="435"/>
      <c r="Y41" s="61"/>
      <c r="Z41" s="61"/>
    </row>
    <row r="42" spans="1:27" ht="14.25" customHeight="1">
      <c r="A42" s="242"/>
      <c r="B42" s="256"/>
      <c r="C42" s="256"/>
      <c r="D42" s="256"/>
      <c r="E42" s="256"/>
      <c r="F42" s="256"/>
      <c r="G42" s="256"/>
      <c r="H42" s="256"/>
      <c r="I42" s="256"/>
      <c r="J42" s="256"/>
      <c r="K42" s="256"/>
      <c r="L42" s="256"/>
      <c r="M42" s="256"/>
      <c r="N42" s="272"/>
      <c r="O42" s="256"/>
      <c r="P42" s="256"/>
      <c r="Q42" s="227"/>
      <c r="R42" s="225"/>
      <c r="S42" s="234"/>
      <c r="T42" s="61"/>
      <c r="U42" s="61"/>
      <c r="V42" s="61"/>
      <c r="W42" s="61"/>
      <c r="X42" s="61"/>
      <c r="Y42" s="61"/>
      <c r="Z42" s="61"/>
    </row>
    <row r="43" spans="1:27" ht="14.25" customHeight="1">
      <c r="A43" s="64"/>
      <c r="B43" s="72"/>
      <c r="C43" s="72"/>
      <c r="D43" s="72"/>
      <c r="E43" s="72"/>
      <c r="F43" s="72"/>
      <c r="G43" s="72"/>
      <c r="H43" s="72"/>
      <c r="I43" s="72"/>
      <c r="J43" s="72"/>
      <c r="K43" s="72"/>
      <c r="L43" s="72"/>
      <c r="M43" s="72"/>
      <c r="N43" s="73"/>
      <c r="O43" s="72"/>
      <c r="P43" s="72"/>
      <c r="Q43" s="72"/>
      <c r="R43" s="138"/>
      <c r="S43" s="234"/>
      <c r="T43" s="61"/>
      <c r="U43" s="61"/>
      <c r="V43" s="61"/>
      <c r="W43" s="61"/>
      <c r="X43" s="61"/>
      <c r="Y43" s="61"/>
      <c r="Z43" s="61"/>
    </row>
    <row r="44" spans="1:27" ht="14.25" customHeight="1">
      <c r="A44" s="64"/>
      <c r="B44" s="72"/>
      <c r="C44" s="72"/>
      <c r="D44" s="72"/>
      <c r="E44" s="72"/>
      <c r="F44" s="72"/>
      <c r="G44" s="72"/>
      <c r="H44" s="72"/>
      <c r="I44" s="72"/>
      <c r="J44" s="72"/>
      <c r="K44" s="72"/>
      <c r="L44" s="72"/>
      <c r="M44" s="72"/>
      <c r="N44" s="73"/>
      <c r="O44" s="72"/>
      <c r="P44" s="72"/>
      <c r="Q44" s="72"/>
      <c r="R44" s="138"/>
      <c r="S44" s="234"/>
      <c r="T44" s="61"/>
      <c r="U44" s="61"/>
      <c r="V44" s="61"/>
      <c r="W44" s="61"/>
      <c r="X44" s="61"/>
      <c r="Y44" s="61"/>
      <c r="Z44" s="61"/>
    </row>
    <row r="45" spans="1:27" hidden="1">
      <c r="A45" s="64"/>
      <c r="B45" s="61"/>
      <c r="C45" s="61"/>
      <c r="D45" s="61"/>
      <c r="E45" s="61"/>
      <c r="F45" s="61"/>
      <c r="G45" s="61"/>
      <c r="H45" s="61"/>
      <c r="I45" s="61"/>
      <c r="J45" s="61"/>
      <c r="K45" s="61"/>
      <c r="L45" s="61"/>
      <c r="M45" s="61"/>
      <c r="N45" s="61"/>
      <c r="O45" s="61"/>
      <c r="P45" s="61"/>
      <c r="Q45" s="61"/>
      <c r="R45" s="138"/>
      <c r="S45" s="234"/>
      <c r="T45" s="61"/>
      <c r="U45" s="61"/>
      <c r="V45" s="61"/>
      <c r="W45" s="61"/>
      <c r="X45" s="61"/>
      <c r="Y45" s="61"/>
      <c r="Z45" s="61"/>
    </row>
    <row r="46" spans="1:27" ht="10.5" hidden="1" customHeight="1">
      <c r="A46" s="61"/>
      <c r="B46" s="61"/>
      <c r="C46" s="61"/>
      <c r="D46" s="61"/>
      <c r="E46" s="61"/>
      <c r="F46" s="61"/>
      <c r="G46" s="61"/>
      <c r="H46" s="61"/>
      <c r="I46" s="61"/>
      <c r="J46" s="61"/>
      <c r="K46" s="61"/>
      <c r="L46" s="61"/>
      <c r="M46" s="61"/>
      <c r="N46" s="61"/>
      <c r="O46" s="61"/>
      <c r="P46" s="61"/>
      <c r="Q46" s="61"/>
      <c r="R46" s="61"/>
      <c r="S46" s="66"/>
      <c r="T46" s="61"/>
      <c r="U46" s="61"/>
      <c r="V46" s="61"/>
      <c r="W46" s="61"/>
      <c r="X46" s="61"/>
      <c r="Y46" s="61"/>
      <c r="Z46" s="61"/>
    </row>
    <row r="47" spans="1:27" hidden="1">
      <c r="A47" s="65"/>
      <c r="B47" s="61"/>
      <c r="C47" s="61"/>
      <c r="D47" s="61"/>
      <c r="E47" s="61"/>
      <c r="F47" s="61"/>
      <c r="G47" s="61"/>
      <c r="H47" s="61"/>
      <c r="I47" s="61"/>
      <c r="J47" s="61"/>
      <c r="K47" s="61"/>
      <c r="L47" s="61"/>
      <c r="M47" s="61"/>
      <c r="N47" s="61"/>
      <c r="O47" s="61"/>
      <c r="P47" s="61"/>
      <c r="Q47" s="61"/>
      <c r="R47" s="61"/>
      <c r="S47" s="66"/>
      <c r="T47" s="61"/>
      <c r="U47" s="61"/>
      <c r="V47" s="61"/>
      <c r="W47" s="61"/>
      <c r="X47" s="61"/>
      <c r="Y47" s="61"/>
      <c r="Z47" s="61"/>
    </row>
    <row r="48" spans="1:27" ht="15.5" hidden="1">
      <c r="A48" s="65"/>
      <c r="B48" s="129" t="s">
        <v>891</v>
      </c>
      <c r="C48"/>
      <c r="D48"/>
      <c r="E48"/>
      <c r="F48"/>
      <c r="G48"/>
      <c r="H48"/>
      <c r="I48"/>
      <c r="J48"/>
      <c r="K48" s="61"/>
      <c r="L48" s="61"/>
      <c r="M48" s="61"/>
      <c r="N48" s="61"/>
      <c r="O48" s="61"/>
      <c r="P48" s="61"/>
      <c r="Q48" s="61"/>
      <c r="R48" s="61"/>
      <c r="S48" s="66"/>
      <c r="T48" s="61"/>
      <c r="U48" s="61"/>
      <c r="V48" s="61"/>
      <c r="W48" s="61"/>
      <c r="X48" s="61"/>
      <c r="Y48" s="61"/>
      <c r="Z48" s="61"/>
      <c r="AA48" s="61"/>
    </row>
    <row r="49" spans="1:27" ht="15" hidden="1" customHeight="1" thickBot="1">
      <c r="A49" s="65"/>
      <c r="B49" s="566" t="s">
        <v>512</v>
      </c>
      <c r="C49" s="567" t="s">
        <v>513</v>
      </c>
      <c r="D49" s="567"/>
      <c r="E49" s="567"/>
      <c r="F49" s="567"/>
      <c r="G49" s="567"/>
      <c r="H49" s="567"/>
      <c r="I49" s="567"/>
      <c r="J49" s="567"/>
      <c r="K49" s="61"/>
      <c r="L49" s="61"/>
      <c r="M49" s="61"/>
      <c r="N49" s="61"/>
      <c r="O49" s="61"/>
      <c r="P49" s="61"/>
      <c r="Q49" s="61"/>
      <c r="R49" s="61"/>
      <c r="S49" s="66"/>
      <c r="T49" s="61"/>
      <c r="U49" s="61"/>
      <c r="V49" s="61"/>
      <c r="W49" s="61"/>
      <c r="X49" s="61"/>
      <c r="Y49" s="61"/>
      <c r="Z49" s="61"/>
      <c r="AA49" s="61"/>
    </row>
    <row r="50" spans="1:27" ht="14.5" hidden="1" thickBot="1">
      <c r="A50" s="65"/>
      <c r="B50" s="567"/>
      <c r="C50" s="347">
        <v>0</v>
      </c>
      <c r="D50" s="347">
        <v>0.01</v>
      </c>
      <c r="E50" s="347">
        <v>0.02</v>
      </c>
      <c r="F50" s="347">
        <v>0.03</v>
      </c>
      <c r="G50" s="347">
        <v>0.04</v>
      </c>
      <c r="H50" s="347">
        <v>0.05</v>
      </c>
      <c r="I50" s="347">
        <v>0.06</v>
      </c>
      <c r="J50" s="347">
        <v>7.0000000000000007E-2</v>
      </c>
      <c r="K50" s="61"/>
      <c r="L50" s="61"/>
      <c r="M50" s="61"/>
      <c r="N50" s="61"/>
      <c r="O50" s="61"/>
      <c r="P50" s="61"/>
      <c r="Q50" s="61"/>
      <c r="R50" s="61"/>
      <c r="S50" s="61"/>
      <c r="T50" s="61"/>
      <c r="U50" s="61"/>
      <c r="V50" s="61"/>
      <c r="W50" s="61"/>
      <c r="X50" s="61"/>
      <c r="Y50" s="61"/>
      <c r="Z50" s="61"/>
      <c r="AA50" s="61"/>
    </row>
    <row r="51" spans="1:27" ht="28.5" hidden="1" thickBot="1">
      <c r="A51" s="65">
        <v>70</v>
      </c>
      <c r="B51" s="130" t="s">
        <v>892</v>
      </c>
      <c r="C51" s="130">
        <v>0.83</v>
      </c>
      <c r="D51" s="130">
        <v>0.86</v>
      </c>
      <c r="E51" s="130">
        <v>0.9</v>
      </c>
      <c r="F51" s="130">
        <v>0.93</v>
      </c>
      <c r="G51" s="130">
        <v>0.96</v>
      </c>
      <c r="H51" s="130">
        <v>0.99</v>
      </c>
      <c r="I51" s="130">
        <v>1.03</v>
      </c>
      <c r="J51" s="130">
        <v>1.06</v>
      </c>
      <c r="K51" s="61"/>
      <c r="L51" s="61"/>
      <c r="M51" s="61"/>
      <c r="N51" s="61"/>
      <c r="O51" s="61"/>
      <c r="P51" s="61"/>
      <c r="Q51" s="61"/>
      <c r="R51" s="61"/>
      <c r="S51" s="61"/>
      <c r="T51" s="61"/>
      <c r="U51" s="61"/>
      <c r="V51" s="61"/>
      <c r="W51" s="61"/>
      <c r="X51" s="61"/>
      <c r="Y51" s="61"/>
      <c r="Z51" s="61"/>
      <c r="AA51" s="61"/>
    </row>
    <row r="52" spans="1:27" ht="42.5" hidden="1" thickBot="1">
      <c r="A52" s="65"/>
      <c r="B52" s="130" t="s">
        <v>893</v>
      </c>
      <c r="C52" s="130">
        <v>0.95</v>
      </c>
      <c r="D52" s="130">
        <v>0.98</v>
      </c>
      <c r="E52" s="130">
        <v>1.02</v>
      </c>
      <c r="F52" s="130">
        <v>1.06</v>
      </c>
      <c r="G52" s="130">
        <v>1.1000000000000001</v>
      </c>
      <c r="H52" s="130">
        <v>1.1399999999999999</v>
      </c>
      <c r="I52" s="130">
        <v>1.17</v>
      </c>
      <c r="J52" s="130">
        <v>1.21</v>
      </c>
      <c r="K52" s="61"/>
      <c r="L52" s="61"/>
      <c r="M52" s="61"/>
      <c r="N52" s="61"/>
      <c r="O52" s="61"/>
      <c r="P52" s="61"/>
      <c r="Q52" s="61"/>
      <c r="R52" s="61"/>
      <c r="S52" s="61"/>
      <c r="T52" s="61"/>
      <c r="U52" s="61"/>
      <c r="V52" s="61"/>
      <c r="W52" s="61"/>
      <c r="X52" s="61"/>
      <c r="Y52" s="61"/>
      <c r="Z52" s="61"/>
      <c r="AA52" s="61"/>
    </row>
    <row r="53" spans="1:27" hidden="1">
      <c r="A53" s="65"/>
      <c r="B53" s="61"/>
      <c r="C53" s="61"/>
      <c r="D53" s="61"/>
      <c r="E53" s="61"/>
      <c r="F53" s="61"/>
      <c r="G53" s="61"/>
      <c r="H53" s="61"/>
      <c r="I53" s="61"/>
      <c r="J53" s="61"/>
      <c r="K53" s="61"/>
      <c r="L53" s="61"/>
      <c r="M53" s="61"/>
      <c r="N53" s="61"/>
      <c r="O53" s="61"/>
      <c r="P53" s="61"/>
      <c r="Q53" s="61"/>
      <c r="R53" s="61"/>
      <c r="S53" s="66"/>
      <c r="T53" s="61"/>
      <c r="U53" s="61"/>
      <c r="V53" s="61"/>
      <c r="W53" s="61"/>
      <c r="X53" s="61"/>
      <c r="Y53" s="61"/>
      <c r="Z53" s="61"/>
    </row>
    <row r="54" spans="1:27">
      <c r="A54" s="65"/>
      <c r="B54" s="61"/>
      <c r="C54" s="61"/>
      <c r="D54" s="61"/>
      <c r="E54" s="61"/>
      <c r="F54" s="61"/>
      <c r="G54" s="61"/>
      <c r="H54" s="61"/>
      <c r="I54" s="61"/>
      <c r="J54" s="61"/>
      <c r="K54" s="61"/>
      <c r="L54" s="61"/>
      <c r="M54" s="61"/>
      <c r="N54" s="61"/>
      <c r="O54" s="61"/>
      <c r="P54" s="61"/>
      <c r="Q54" s="61"/>
      <c r="R54" s="61"/>
      <c r="S54" s="66"/>
      <c r="T54" s="61"/>
      <c r="U54" s="61"/>
      <c r="V54" s="61"/>
      <c r="W54" s="61"/>
      <c r="X54" s="61"/>
      <c r="Y54" s="61"/>
      <c r="Z54" s="61"/>
    </row>
  </sheetData>
  <sheetProtection algorithmName="SHA-512" hashValue="PnPrw/0Y/7A3AycWs4gFLNtbxr35j7f+s2bsQ/bkA6dyCHC/84Y0J+7y2HgyLzWvkDJv2vpLcZ7z/y1uNv56ww==" saltValue="hFD/GDWYHzHzuBqk8UihmA==" spinCount="100000" sheet="1"/>
  <protectedRanges>
    <protectedRange sqref="E40:F44" name="Range15_1"/>
    <protectedRange sqref="L42:M44" name="Range14_1"/>
    <protectedRange sqref="C8:D9 M12:M13 R28:S28 J8 K8:M9 I9:J9 R8:S13" name="Range1_1"/>
    <protectedRange sqref="R22:S22" name="Range3_1"/>
    <protectedRange sqref="R24:S27 R31:S31 F28:I28 G33:I33" name="Range5_1"/>
    <protectedRange sqref="E37:G37" name="Range10_1"/>
    <protectedRange sqref="O8:Q9" name="Range1_1_1_1"/>
    <protectedRange sqref="E8:H11" name="Range1_1_1_2"/>
  </protectedRanges>
  <mergeCells count="136">
    <mergeCell ref="B49:B50"/>
    <mergeCell ref="C49:J49"/>
    <mergeCell ref="T41:X41"/>
    <mergeCell ref="B39:I39"/>
    <mergeCell ref="J39:Q39"/>
    <mergeCell ref="B40:I40"/>
    <mergeCell ref="J40:Q40"/>
    <mergeCell ref="B41:I41"/>
    <mergeCell ref="J41:Q41"/>
    <mergeCell ref="B37:I37"/>
    <mergeCell ref="J37:K37"/>
    <mergeCell ref="L37:M37"/>
    <mergeCell ref="N37:O37"/>
    <mergeCell ref="P37:Q37"/>
    <mergeCell ref="B38:I38"/>
    <mergeCell ref="J38:K38"/>
    <mergeCell ref="L38:M38"/>
    <mergeCell ref="N38:O38"/>
    <mergeCell ref="P38:Q38"/>
    <mergeCell ref="B35:I35"/>
    <mergeCell ref="J35:K35"/>
    <mergeCell ref="L35:M35"/>
    <mergeCell ref="N35:O35"/>
    <mergeCell ref="P35:Q35"/>
    <mergeCell ref="B36:I36"/>
    <mergeCell ref="J36:Q36"/>
    <mergeCell ref="B33:I33"/>
    <mergeCell ref="J33:K33"/>
    <mergeCell ref="L33:M33"/>
    <mergeCell ref="N33:O33"/>
    <mergeCell ref="P33:Q33"/>
    <mergeCell ref="B34:I34"/>
    <mergeCell ref="J34:K34"/>
    <mergeCell ref="L34:M34"/>
    <mergeCell ref="N34:O34"/>
    <mergeCell ref="P34:Q34"/>
    <mergeCell ref="T31:X31"/>
    <mergeCell ref="B32:I32"/>
    <mergeCell ref="J32:K32"/>
    <mergeCell ref="L32:M32"/>
    <mergeCell ref="N32:O32"/>
    <mergeCell ref="P32:Q32"/>
    <mergeCell ref="B29:I29"/>
    <mergeCell ref="J29:Q29"/>
    <mergeCell ref="B31:I31"/>
    <mergeCell ref="J31:K31"/>
    <mergeCell ref="L31:M31"/>
    <mergeCell ref="N31:O31"/>
    <mergeCell ref="P31:Q31"/>
    <mergeCell ref="B28:I28"/>
    <mergeCell ref="J28:K28"/>
    <mergeCell ref="L28:M28"/>
    <mergeCell ref="N28:O28"/>
    <mergeCell ref="P28:Q28"/>
    <mergeCell ref="B25:I25"/>
    <mergeCell ref="J25:K25"/>
    <mergeCell ref="L25:M25"/>
    <mergeCell ref="N25:O25"/>
    <mergeCell ref="P25:Q25"/>
    <mergeCell ref="T25:W27"/>
    <mergeCell ref="B26:I26"/>
    <mergeCell ref="J26:Q26"/>
    <mergeCell ref="B27:I27"/>
    <mergeCell ref="J27:K27"/>
    <mergeCell ref="B23:I23"/>
    <mergeCell ref="J23:K23"/>
    <mergeCell ref="L23:M23"/>
    <mergeCell ref="N23:O23"/>
    <mergeCell ref="P23:Q23"/>
    <mergeCell ref="B24:I24"/>
    <mergeCell ref="J24:K24"/>
    <mergeCell ref="L24:M24"/>
    <mergeCell ref="N24:O24"/>
    <mergeCell ref="P24:Q24"/>
    <mergeCell ref="L27:M27"/>
    <mergeCell ref="N27:O27"/>
    <mergeCell ref="P27:Q27"/>
    <mergeCell ref="V21:V22"/>
    <mergeCell ref="W21:W22"/>
    <mergeCell ref="B22:I22"/>
    <mergeCell ref="J22:K22"/>
    <mergeCell ref="L22:M22"/>
    <mergeCell ref="N22:O22"/>
    <mergeCell ref="P22:Q22"/>
    <mergeCell ref="V19:V20"/>
    <mergeCell ref="W19:W20"/>
    <mergeCell ref="B20:I20"/>
    <mergeCell ref="J20:Q20"/>
    <mergeCell ref="B21:I21"/>
    <mergeCell ref="J21:K21"/>
    <mergeCell ref="L21:M21"/>
    <mergeCell ref="N21:O21"/>
    <mergeCell ref="P21:Q21"/>
    <mergeCell ref="T21:T22"/>
    <mergeCell ref="B19:I19"/>
    <mergeCell ref="J19:K19"/>
    <mergeCell ref="L19:M19"/>
    <mergeCell ref="N19:O19"/>
    <mergeCell ref="P19:Q19"/>
    <mergeCell ref="T19:T20"/>
    <mergeCell ref="V17:V18"/>
    <mergeCell ref="W17:W18"/>
    <mergeCell ref="B18:I18"/>
    <mergeCell ref="J18:K18"/>
    <mergeCell ref="L18:M18"/>
    <mergeCell ref="N18:O18"/>
    <mergeCell ref="P18:Q18"/>
    <mergeCell ref="T16:U16"/>
    <mergeCell ref="B17:I17"/>
    <mergeCell ref="J17:K17"/>
    <mergeCell ref="L17:M17"/>
    <mergeCell ref="N17:O17"/>
    <mergeCell ref="P17:Q17"/>
    <mergeCell ref="T17:T18"/>
    <mergeCell ref="T13:X14"/>
    <mergeCell ref="J14:K14"/>
    <mergeCell ref="L14:M14"/>
    <mergeCell ref="N14:O14"/>
    <mergeCell ref="P14:Q14"/>
    <mergeCell ref="B4:Q5"/>
    <mergeCell ref="E8:H8"/>
    <mergeCell ref="N8:Q8"/>
    <mergeCell ref="E9:H9"/>
    <mergeCell ref="N9:Q9"/>
    <mergeCell ref="E10:H10"/>
    <mergeCell ref="N10:Q10"/>
    <mergeCell ref="B15:I15"/>
    <mergeCell ref="J15:Q15"/>
    <mergeCell ref="B16:I16"/>
    <mergeCell ref="J16:K16"/>
    <mergeCell ref="L16:M16"/>
    <mergeCell ref="N16:O16"/>
    <mergeCell ref="P16:Q16"/>
    <mergeCell ref="E11:H11"/>
    <mergeCell ref="B13:I14"/>
    <mergeCell ref="J13:Q13"/>
  </mergeCells>
  <dataValidations disablePrompts="1" count="3">
    <dataValidation type="list" allowBlank="1" showInputMessage="1" showErrorMessage="1" sqref="N65516:Q65516 WVV983020:WVY983020 WLZ983020:WMC983020 WCD983020:WCG983020 VSH983020:VSK983020 VIL983020:VIO983020 UYP983020:UYS983020 UOT983020:UOW983020 UEX983020:UFA983020 TVB983020:TVE983020 TLF983020:TLI983020 TBJ983020:TBM983020 SRN983020:SRQ983020 SHR983020:SHU983020 RXV983020:RXY983020 RNZ983020:ROC983020 RED983020:REG983020 QUH983020:QUK983020 QKL983020:QKO983020 QAP983020:QAS983020 PQT983020:PQW983020 PGX983020:PHA983020 OXB983020:OXE983020 ONF983020:ONI983020 ODJ983020:ODM983020 NTN983020:NTQ983020 NJR983020:NJU983020 MZV983020:MZY983020 MPZ983020:MQC983020 MGD983020:MGG983020 LWH983020:LWK983020 LML983020:LMO983020 LCP983020:LCS983020 KST983020:KSW983020 KIX983020:KJA983020 JZB983020:JZE983020 JPF983020:JPI983020 JFJ983020:JFM983020 IVN983020:IVQ983020 ILR983020:ILU983020 IBV983020:IBY983020 HRZ983020:HSC983020 HID983020:HIG983020 GYH983020:GYK983020 GOL983020:GOO983020 GEP983020:GES983020 FUT983020:FUW983020 FKX983020:FLA983020 FBB983020:FBE983020 ERF983020:ERI983020 EHJ983020:EHM983020 DXN983020:DXQ983020 DNR983020:DNU983020 DDV983020:DDY983020 CTZ983020:CUC983020 CKD983020:CKG983020 CAH983020:CAK983020 BQL983020:BQO983020 BGP983020:BGS983020 AWT983020:AWW983020 AMX983020:ANA983020 ADB983020:ADE983020 TF983020:TI983020 JJ983020:JM983020 N983020:Q983020 WVV917484:WVY917484 WLZ917484:WMC917484 WCD917484:WCG917484 VSH917484:VSK917484 VIL917484:VIO917484 UYP917484:UYS917484 UOT917484:UOW917484 UEX917484:UFA917484 TVB917484:TVE917484 TLF917484:TLI917484 TBJ917484:TBM917484 SRN917484:SRQ917484 SHR917484:SHU917484 RXV917484:RXY917484 RNZ917484:ROC917484 RED917484:REG917484 QUH917484:QUK917484 QKL917484:QKO917484 QAP917484:QAS917484 PQT917484:PQW917484 PGX917484:PHA917484 OXB917484:OXE917484 ONF917484:ONI917484 ODJ917484:ODM917484 NTN917484:NTQ917484 NJR917484:NJU917484 MZV917484:MZY917484 MPZ917484:MQC917484 MGD917484:MGG917484 LWH917484:LWK917484 LML917484:LMO917484 LCP917484:LCS917484 KST917484:KSW917484 KIX917484:KJA917484 JZB917484:JZE917484 JPF917484:JPI917484 JFJ917484:JFM917484 IVN917484:IVQ917484 ILR917484:ILU917484 IBV917484:IBY917484 HRZ917484:HSC917484 HID917484:HIG917484 GYH917484:GYK917484 GOL917484:GOO917484 GEP917484:GES917484 FUT917484:FUW917484 FKX917484:FLA917484 FBB917484:FBE917484 ERF917484:ERI917484 EHJ917484:EHM917484 DXN917484:DXQ917484 DNR917484:DNU917484 DDV917484:DDY917484 CTZ917484:CUC917484 CKD917484:CKG917484 CAH917484:CAK917484 BQL917484:BQO917484 BGP917484:BGS917484 AWT917484:AWW917484 AMX917484:ANA917484 ADB917484:ADE917484 TF917484:TI917484 JJ917484:JM917484 N917484:Q917484 WVV851948:WVY851948 WLZ851948:WMC851948 WCD851948:WCG851948 VSH851948:VSK851948 VIL851948:VIO851948 UYP851948:UYS851948 UOT851948:UOW851948 UEX851948:UFA851948 TVB851948:TVE851948 TLF851948:TLI851948 TBJ851948:TBM851948 SRN851948:SRQ851948 SHR851948:SHU851948 RXV851948:RXY851948 RNZ851948:ROC851948 RED851948:REG851948 QUH851948:QUK851948 QKL851948:QKO851948 QAP851948:QAS851948 PQT851948:PQW851948 PGX851948:PHA851948 OXB851948:OXE851948 ONF851948:ONI851948 ODJ851948:ODM851948 NTN851948:NTQ851948 NJR851948:NJU851948 MZV851948:MZY851948 MPZ851948:MQC851948 MGD851948:MGG851948 LWH851948:LWK851948 LML851948:LMO851948 LCP851948:LCS851948 KST851948:KSW851948 KIX851948:KJA851948 JZB851948:JZE851948 JPF851948:JPI851948 JFJ851948:JFM851948 IVN851948:IVQ851948 ILR851948:ILU851948 IBV851948:IBY851948 HRZ851948:HSC851948 HID851948:HIG851948 GYH851948:GYK851948 GOL851948:GOO851948 GEP851948:GES851948 FUT851948:FUW851948 FKX851948:FLA851948 FBB851948:FBE851948 ERF851948:ERI851948 EHJ851948:EHM851948 DXN851948:DXQ851948 DNR851948:DNU851948 DDV851948:DDY851948 CTZ851948:CUC851948 CKD851948:CKG851948 CAH851948:CAK851948 BQL851948:BQO851948 BGP851948:BGS851948 AWT851948:AWW851948 AMX851948:ANA851948 ADB851948:ADE851948 TF851948:TI851948 JJ851948:JM851948 N851948:Q851948 WVV786412:WVY786412 WLZ786412:WMC786412 WCD786412:WCG786412 VSH786412:VSK786412 VIL786412:VIO786412 UYP786412:UYS786412 UOT786412:UOW786412 UEX786412:UFA786412 TVB786412:TVE786412 TLF786412:TLI786412 TBJ786412:TBM786412 SRN786412:SRQ786412 SHR786412:SHU786412 RXV786412:RXY786412 RNZ786412:ROC786412 RED786412:REG786412 QUH786412:QUK786412 QKL786412:QKO786412 QAP786412:QAS786412 PQT786412:PQW786412 PGX786412:PHA786412 OXB786412:OXE786412 ONF786412:ONI786412 ODJ786412:ODM786412 NTN786412:NTQ786412 NJR786412:NJU786412 MZV786412:MZY786412 MPZ786412:MQC786412 MGD786412:MGG786412 LWH786412:LWK786412 LML786412:LMO786412 LCP786412:LCS786412 KST786412:KSW786412 KIX786412:KJA786412 JZB786412:JZE786412 JPF786412:JPI786412 JFJ786412:JFM786412 IVN786412:IVQ786412 ILR786412:ILU786412 IBV786412:IBY786412 HRZ786412:HSC786412 HID786412:HIG786412 GYH786412:GYK786412 GOL786412:GOO786412 GEP786412:GES786412 FUT786412:FUW786412 FKX786412:FLA786412 FBB786412:FBE786412 ERF786412:ERI786412 EHJ786412:EHM786412 DXN786412:DXQ786412 DNR786412:DNU786412 DDV786412:DDY786412 CTZ786412:CUC786412 CKD786412:CKG786412 CAH786412:CAK786412 BQL786412:BQO786412 BGP786412:BGS786412 AWT786412:AWW786412 AMX786412:ANA786412 ADB786412:ADE786412 TF786412:TI786412 JJ786412:JM786412 N786412:Q786412 WVV720876:WVY720876 WLZ720876:WMC720876 WCD720876:WCG720876 VSH720876:VSK720876 VIL720876:VIO720876 UYP720876:UYS720876 UOT720876:UOW720876 UEX720876:UFA720876 TVB720876:TVE720876 TLF720876:TLI720876 TBJ720876:TBM720876 SRN720876:SRQ720876 SHR720876:SHU720876 RXV720876:RXY720876 RNZ720876:ROC720876 RED720876:REG720876 QUH720876:QUK720876 QKL720876:QKO720876 QAP720876:QAS720876 PQT720876:PQW720876 PGX720876:PHA720876 OXB720876:OXE720876 ONF720876:ONI720876 ODJ720876:ODM720876 NTN720876:NTQ720876 NJR720876:NJU720876 MZV720876:MZY720876 MPZ720876:MQC720876 MGD720876:MGG720876 LWH720876:LWK720876 LML720876:LMO720876 LCP720876:LCS720876 KST720876:KSW720876 KIX720876:KJA720876 JZB720876:JZE720876 JPF720876:JPI720876 JFJ720876:JFM720876 IVN720876:IVQ720876 ILR720876:ILU720876 IBV720876:IBY720876 HRZ720876:HSC720876 HID720876:HIG720876 GYH720876:GYK720876 GOL720876:GOO720876 GEP720876:GES720876 FUT720876:FUW720876 FKX720876:FLA720876 FBB720876:FBE720876 ERF720876:ERI720876 EHJ720876:EHM720876 DXN720876:DXQ720876 DNR720876:DNU720876 DDV720876:DDY720876 CTZ720876:CUC720876 CKD720876:CKG720876 CAH720876:CAK720876 BQL720876:BQO720876 BGP720876:BGS720876 AWT720876:AWW720876 AMX720876:ANA720876 ADB720876:ADE720876 TF720876:TI720876 JJ720876:JM720876 N720876:Q720876 WVV655340:WVY655340 WLZ655340:WMC655340 WCD655340:WCG655340 VSH655340:VSK655340 VIL655340:VIO655340 UYP655340:UYS655340 UOT655340:UOW655340 UEX655340:UFA655340 TVB655340:TVE655340 TLF655340:TLI655340 TBJ655340:TBM655340 SRN655340:SRQ655340 SHR655340:SHU655340 RXV655340:RXY655340 RNZ655340:ROC655340 RED655340:REG655340 QUH655340:QUK655340 QKL655340:QKO655340 QAP655340:QAS655340 PQT655340:PQW655340 PGX655340:PHA655340 OXB655340:OXE655340 ONF655340:ONI655340 ODJ655340:ODM655340 NTN655340:NTQ655340 NJR655340:NJU655340 MZV655340:MZY655340 MPZ655340:MQC655340 MGD655340:MGG655340 LWH655340:LWK655340 LML655340:LMO655340 LCP655340:LCS655340 KST655340:KSW655340 KIX655340:KJA655340 JZB655340:JZE655340 JPF655340:JPI655340 JFJ655340:JFM655340 IVN655340:IVQ655340 ILR655340:ILU655340 IBV655340:IBY655340 HRZ655340:HSC655340 HID655340:HIG655340 GYH655340:GYK655340 GOL655340:GOO655340 GEP655340:GES655340 FUT655340:FUW655340 FKX655340:FLA655340 FBB655340:FBE655340 ERF655340:ERI655340 EHJ655340:EHM655340 DXN655340:DXQ655340 DNR655340:DNU655340 DDV655340:DDY655340 CTZ655340:CUC655340 CKD655340:CKG655340 CAH655340:CAK655340 BQL655340:BQO655340 BGP655340:BGS655340 AWT655340:AWW655340 AMX655340:ANA655340 ADB655340:ADE655340 TF655340:TI655340 JJ655340:JM655340 N655340:Q655340 WVV589804:WVY589804 WLZ589804:WMC589804 WCD589804:WCG589804 VSH589804:VSK589804 VIL589804:VIO589804 UYP589804:UYS589804 UOT589804:UOW589804 UEX589804:UFA589804 TVB589804:TVE589804 TLF589804:TLI589804 TBJ589804:TBM589804 SRN589804:SRQ589804 SHR589804:SHU589804 RXV589804:RXY589804 RNZ589804:ROC589804 RED589804:REG589804 QUH589804:QUK589804 QKL589804:QKO589804 QAP589804:QAS589804 PQT589804:PQW589804 PGX589804:PHA589804 OXB589804:OXE589804 ONF589804:ONI589804 ODJ589804:ODM589804 NTN589804:NTQ589804 NJR589804:NJU589804 MZV589804:MZY589804 MPZ589804:MQC589804 MGD589804:MGG589804 LWH589804:LWK589804 LML589804:LMO589804 LCP589804:LCS589804 KST589804:KSW589804 KIX589804:KJA589804 JZB589804:JZE589804 JPF589804:JPI589804 JFJ589804:JFM589804 IVN589804:IVQ589804 ILR589804:ILU589804 IBV589804:IBY589804 HRZ589804:HSC589804 HID589804:HIG589804 GYH589804:GYK589804 GOL589804:GOO589804 GEP589804:GES589804 FUT589804:FUW589804 FKX589804:FLA589804 FBB589804:FBE589804 ERF589804:ERI589804 EHJ589804:EHM589804 DXN589804:DXQ589804 DNR589804:DNU589804 DDV589804:DDY589804 CTZ589804:CUC589804 CKD589804:CKG589804 CAH589804:CAK589804 BQL589804:BQO589804 BGP589804:BGS589804 AWT589804:AWW589804 AMX589804:ANA589804 ADB589804:ADE589804 TF589804:TI589804 JJ589804:JM589804 N589804:Q589804 WVV524268:WVY524268 WLZ524268:WMC524268 WCD524268:WCG524268 VSH524268:VSK524268 VIL524268:VIO524268 UYP524268:UYS524268 UOT524268:UOW524268 UEX524268:UFA524268 TVB524268:TVE524268 TLF524268:TLI524268 TBJ524268:TBM524268 SRN524268:SRQ524268 SHR524268:SHU524268 RXV524268:RXY524268 RNZ524268:ROC524268 RED524268:REG524268 QUH524268:QUK524268 QKL524268:QKO524268 QAP524268:QAS524268 PQT524268:PQW524268 PGX524268:PHA524268 OXB524268:OXE524268 ONF524268:ONI524268 ODJ524268:ODM524268 NTN524268:NTQ524268 NJR524268:NJU524268 MZV524268:MZY524268 MPZ524268:MQC524268 MGD524268:MGG524268 LWH524268:LWK524268 LML524268:LMO524268 LCP524268:LCS524268 KST524268:KSW524268 KIX524268:KJA524268 JZB524268:JZE524268 JPF524268:JPI524268 JFJ524268:JFM524268 IVN524268:IVQ524268 ILR524268:ILU524268 IBV524268:IBY524268 HRZ524268:HSC524268 HID524268:HIG524268 GYH524268:GYK524268 GOL524268:GOO524268 GEP524268:GES524268 FUT524268:FUW524268 FKX524268:FLA524268 FBB524268:FBE524268 ERF524268:ERI524268 EHJ524268:EHM524268 DXN524268:DXQ524268 DNR524268:DNU524268 DDV524268:DDY524268 CTZ524268:CUC524268 CKD524268:CKG524268 CAH524268:CAK524268 BQL524268:BQO524268 BGP524268:BGS524268 AWT524268:AWW524268 AMX524268:ANA524268 ADB524268:ADE524268 TF524268:TI524268 JJ524268:JM524268 N524268:Q524268 WVV458732:WVY458732 WLZ458732:WMC458732 WCD458732:WCG458732 VSH458732:VSK458732 VIL458732:VIO458732 UYP458732:UYS458732 UOT458732:UOW458732 UEX458732:UFA458732 TVB458732:TVE458732 TLF458732:TLI458732 TBJ458732:TBM458732 SRN458732:SRQ458732 SHR458732:SHU458732 RXV458732:RXY458732 RNZ458732:ROC458732 RED458732:REG458732 QUH458732:QUK458732 QKL458732:QKO458732 QAP458732:QAS458732 PQT458732:PQW458732 PGX458732:PHA458732 OXB458732:OXE458732 ONF458732:ONI458732 ODJ458732:ODM458732 NTN458732:NTQ458732 NJR458732:NJU458732 MZV458732:MZY458732 MPZ458732:MQC458732 MGD458732:MGG458732 LWH458732:LWK458732 LML458732:LMO458732 LCP458732:LCS458732 KST458732:KSW458732 KIX458732:KJA458732 JZB458732:JZE458732 JPF458732:JPI458732 JFJ458732:JFM458732 IVN458732:IVQ458732 ILR458732:ILU458732 IBV458732:IBY458732 HRZ458732:HSC458732 HID458732:HIG458732 GYH458732:GYK458732 GOL458732:GOO458732 GEP458732:GES458732 FUT458732:FUW458732 FKX458732:FLA458732 FBB458732:FBE458732 ERF458732:ERI458732 EHJ458732:EHM458732 DXN458732:DXQ458732 DNR458732:DNU458732 DDV458732:DDY458732 CTZ458732:CUC458732 CKD458732:CKG458732 CAH458732:CAK458732 BQL458732:BQO458732 BGP458732:BGS458732 AWT458732:AWW458732 AMX458732:ANA458732 ADB458732:ADE458732 TF458732:TI458732 JJ458732:JM458732 N458732:Q458732 WVV393196:WVY393196 WLZ393196:WMC393196 WCD393196:WCG393196 VSH393196:VSK393196 VIL393196:VIO393196 UYP393196:UYS393196 UOT393196:UOW393196 UEX393196:UFA393196 TVB393196:TVE393196 TLF393196:TLI393196 TBJ393196:TBM393196 SRN393196:SRQ393196 SHR393196:SHU393196 RXV393196:RXY393196 RNZ393196:ROC393196 RED393196:REG393196 QUH393196:QUK393196 QKL393196:QKO393196 QAP393196:QAS393196 PQT393196:PQW393196 PGX393196:PHA393196 OXB393196:OXE393196 ONF393196:ONI393196 ODJ393196:ODM393196 NTN393196:NTQ393196 NJR393196:NJU393196 MZV393196:MZY393196 MPZ393196:MQC393196 MGD393196:MGG393196 LWH393196:LWK393196 LML393196:LMO393196 LCP393196:LCS393196 KST393196:KSW393196 KIX393196:KJA393196 JZB393196:JZE393196 JPF393196:JPI393196 JFJ393196:JFM393196 IVN393196:IVQ393196 ILR393196:ILU393196 IBV393196:IBY393196 HRZ393196:HSC393196 HID393196:HIG393196 GYH393196:GYK393196 GOL393196:GOO393196 GEP393196:GES393196 FUT393196:FUW393196 FKX393196:FLA393196 FBB393196:FBE393196 ERF393196:ERI393196 EHJ393196:EHM393196 DXN393196:DXQ393196 DNR393196:DNU393196 DDV393196:DDY393196 CTZ393196:CUC393196 CKD393196:CKG393196 CAH393196:CAK393196 BQL393196:BQO393196 BGP393196:BGS393196 AWT393196:AWW393196 AMX393196:ANA393196 ADB393196:ADE393196 TF393196:TI393196 JJ393196:JM393196 N393196:Q393196 WVV327660:WVY327660 WLZ327660:WMC327660 WCD327660:WCG327660 VSH327660:VSK327660 VIL327660:VIO327660 UYP327660:UYS327660 UOT327660:UOW327660 UEX327660:UFA327660 TVB327660:TVE327660 TLF327660:TLI327660 TBJ327660:TBM327660 SRN327660:SRQ327660 SHR327660:SHU327660 RXV327660:RXY327660 RNZ327660:ROC327660 RED327660:REG327660 QUH327660:QUK327660 QKL327660:QKO327660 QAP327660:QAS327660 PQT327660:PQW327660 PGX327660:PHA327660 OXB327660:OXE327660 ONF327660:ONI327660 ODJ327660:ODM327660 NTN327660:NTQ327660 NJR327660:NJU327660 MZV327660:MZY327660 MPZ327660:MQC327660 MGD327660:MGG327660 LWH327660:LWK327660 LML327660:LMO327660 LCP327660:LCS327660 KST327660:KSW327660 KIX327660:KJA327660 JZB327660:JZE327660 JPF327660:JPI327660 JFJ327660:JFM327660 IVN327660:IVQ327660 ILR327660:ILU327660 IBV327660:IBY327660 HRZ327660:HSC327660 HID327660:HIG327660 GYH327660:GYK327660 GOL327660:GOO327660 GEP327660:GES327660 FUT327660:FUW327660 FKX327660:FLA327660 FBB327660:FBE327660 ERF327660:ERI327660 EHJ327660:EHM327660 DXN327660:DXQ327660 DNR327660:DNU327660 DDV327660:DDY327660 CTZ327660:CUC327660 CKD327660:CKG327660 CAH327660:CAK327660 BQL327660:BQO327660 BGP327660:BGS327660 AWT327660:AWW327660 AMX327660:ANA327660 ADB327660:ADE327660 TF327660:TI327660 JJ327660:JM327660 N327660:Q327660 WVV262124:WVY262124 WLZ262124:WMC262124 WCD262124:WCG262124 VSH262124:VSK262124 VIL262124:VIO262124 UYP262124:UYS262124 UOT262124:UOW262124 UEX262124:UFA262124 TVB262124:TVE262124 TLF262124:TLI262124 TBJ262124:TBM262124 SRN262124:SRQ262124 SHR262124:SHU262124 RXV262124:RXY262124 RNZ262124:ROC262124 RED262124:REG262124 QUH262124:QUK262124 QKL262124:QKO262124 QAP262124:QAS262124 PQT262124:PQW262124 PGX262124:PHA262124 OXB262124:OXE262124 ONF262124:ONI262124 ODJ262124:ODM262124 NTN262124:NTQ262124 NJR262124:NJU262124 MZV262124:MZY262124 MPZ262124:MQC262124 MGD262124:MGG262124 LWH262124:LWK262124 LML262124:LMO262124 LCP262124:LCS262124 KST262124:KSW262124 KIX262124:KJA262124 JZB262124:JZE262124 JPF262124:JPI262124 JFJ262124:JFM262124 IVN262124:IVQ262124 ILR262124:ILU262124 IBV262124:IBY262124 HRZ262124:HSC262124 HID262124:HIG262124 GYH262124:GYK262124 GOL262124:GOO262124 GEP262124:GES262124 FUT262124:FUW262124 FKX262124:FLA262124 FBB262124:FBE262124 ERF262124:ERI262124 EHJ262124:EHM262124 DXN262124:DXQ262124 DNR262124:DNU262124 DDV262124:DDY262124 CTZ262124:CUC262124 CKD262124:CKG262124 CAH262124:CAK262124 BQL262124:BQO262124 BGP262124:BGS262124 AWT262124:AWW262124 AMX262124:ANA262124 ADB262124:ADE262124 TF262124:TI262124 JJ262124:JM262124 N262124:Q262124 WVV196588:WVY196588 WLZ196588:WMC196588 WCD196588:WCG196588 VSH196588:VSK196588 VIL196588:VIO196588 UYP196588:UYS196588 UOT196588:UOW196588 UEX196588:UFA196588 TVB196588:TVE196588 TLF196588:TLI196588 TBJ196588:TBM196588 SRN196588:SRQ196588 SHR196588:SHU196588 RXV196588:RXY196588 RNZ196588:ROC196588 RED196588:REG196588 QUH196588:QUK196588 QKL196588:QKO196588 QAP196588:QAS196588 PQT196588:PQW196588 PGX196588:PHA196588 OXB196588:OXE196588 ONF196588:ONI196588 ODJ196588:ODM196588 NTN196588:NTQ196588 NJR196588:NJU196588 MZV196588:MZY196588 MPZ196588:MQC196588 MGD196588:MGG196588 LWH196588:LWK196588 LML196588:LMO196588 LCP196588:LCS196588 KST196588:KSW196588 KIX196588:KJA196588 JZB196588:JZE196588 JPF196588:JPI196588 JFJ196588:JFM196588 IVN196588:IVQ196588 ILR196588:ILU196588 IBV196588:IBY196588 HRZ196588:HSC196588 HID196588:HIG196588 GYH196588:GYK196588 GOL196588:GOO196588 GEP196588:GES196588 FUT196588:FUW196588 FKX196588:FLA196588 FBB196588:FBE196588 ERF196588:ERI196588 EHJ196588:EHM196588 DXN196588:DXQ196588 DNR196588:DNU196588 DDV196588:DDY196588 CTZ196588:CUC196588 CKD196588:CKG196588 CAH196588:CAK196588 BQL196588:BQO196588 BGP196588:BGS196588 AWT196588:AWW196588 AMX196588:ANA196588 ADB196588:ADE196588 TF196588:TI196588 JJ196588:JM196588 N196588:Q196588 WVV131052:WVY131052 WLZ131052:WMC131052 WCD131052:WCG131052 VSH131052:VSK131052 VIL131052:VIO131052 UYP131052:UYS131052 UOT131052:UOW131052 UEX131052:UFA131052 TVB131052:TVE131052 TLF131052:TLI131052 TBJ131052:TBM131052 SRN131052:SRQ131052 SHR131052:SHU131052 RXV131052:RXY131052 RNZ131052:ROC131052 RED131052:REG131052 QUH131052:QUK131052 QKL131052:QKO131052 QAP131052:QAS131052 PQT131052:PQW131052 PGX131052:PHA131052 OXB131052:OXE131052 ONF131052:ONI131052 ODJ131052:ODM131052 NTN131052:NTQ131052 NJR131052:NJU131052 MZV131052:MZY131052 MPZ131052:MQC131052 MGD131052:MGG131052 LWH131052:LWK131052 LML131052:LMO131052 LCP131052:LCS131052 KST131052:KSW131052 KIX131052:KJA131052 JZB131052:JZE131052 JPF131052:JPI131052 JFJ131052:JFM131052 IVN131052:IVQ131052 ILR131052:ILU131052 IBV131052:IBY131052 HRZ131052:HSC131052 HID131052:HIG131052 GYH131052:GYK131052 GOL131052:GOO131052 GEP131052:GES131052 FUT131052:FUW131052 FKX131052:FLA131052 FBB131052:FBE131052 ERF131052:ERI131052 EHJ131052:EHM131052 DXN131052:DXQ131052 DNR131052:DNU131052 DDV131052:DDY131052 CTZ131052:CUC131052 CKD131052:CKG131052 CAH131052:CAK131052 BQL131052:BQO131052 BGP131052:BGS131052 AWT131052:AWW131052 AMX131052:ANA131052 ADB131052:ADE131052 TF131052:TI131052 JJ131052:JM131052 N131052:Q131052 WVV65516:WVY65516 WLZ65516:WMC65516 WCD65516:WCG65516 VSH65516:VSK65516 VIL65516:VIO65516 UYP65516:UYS65516 UOT65516:UOW65516 UEX65516:UFA65516 TVB65516:TVE65516 TLF65516:TLI65516 TBJ65516:TBM65516 SRN65516:SRQ65516 SHR65516:SHU65516 RXV65516:RXY65516 RNZ65516:ROC65516 RED65516:REG65516 QUH65516:QUK65516 QKL65516:QKO65516 QAP65516:QAS65516 PQT65516:PQW65516 PGX65516:PHA65516 OXB65516:OXE65516 ONF65516:ONI65516 ODJ65516:ODM65516 NTN65516:NTQ65516 NJR65516:NJU65516 MZV65516:MZY65516 MPZ65516:MQC65516 MGD65516:MGG65516 LWH65516:LWK65516 LML65516:LMO65516 LCP65516:LCS65516 KST65516:KSW65516 KIX65516:KJA65516 JZB65516:JZE65516 JPF65516:JPI65516 JFJ65516:JFM65516 IVN65516:IVQ65516 ILR65516:ILU65516 IBV65516:IBY65516 HRZ65516:HSC65516 HID65516:HIG65516 GYH65516:GYK65516 GOL65516:GOO65516 GEP65516:GES65516 FUT65516:FUW65516 FKX65516:FLA65516 FBB65516:FBE65516 ERF65516:ERI65516 EHJ65516:EHM65516 DXN65516:DXQ65516 DNR65516:DNU65516 DDV65516:DDY65516 CTZ65516:CUC65516 CKD65516:CKG65516 CAH65516:CAK65516 BQL65516:BQO65516 BGP65516:BGS65516 AWT65516:AWW65516 AMX65516:ANA65516 ADB65516:ADE65516 TF65516:TI65516 JJ65516:JM65516 WVV9:WVY9 WLZ9:WMC9 WCD9:WCG9 VSH9:VSK9 VIL9:VIO9 UYP9:UYS9 UOT9:UOW9 UEX9:UFA9 TVB9:TVE9 TLF9:TLI9 TBJ9:TBM9 SRN9:SRQ9 SHR9:SHU9 RXV9:RXY9 RNZ9:ROC9 RED9:REG9 QUH9:QUK9 QKL9:QKO9 QAP9:QAS9 PQT9:PQW9 PGX9:PHA9 OXB9:OXE9 ONF9:ONI9 ODJ9:ODM9 NTN9:NTQ9 NJR9:NJU9 MZV9:MZY9 MPZ9:MQC9 MGD9:MGG9 LWH9:LWK9 LML9:LMO9 LCP9:LCS9 KST9:KSW9 KIX9:KJA9 JZB9:JZE9 JPF9:JPI9 JFJ9:JFM9 IVN9:IVQ9 ILR9:ILU9 IBV9:IBY9 HRZ9:HSC9 HID9:HIG9 GYH9:GYK9 GOL9:GOO9 GEP9:GES9 FUT9:FUW9 FKX9:FLA9 FBB9:FBE9 ERF9:ERI9 EHJ9:EHM9 DXN9:DXQ9 DNR9:DNU9 DDV9:DDY9 CTZ9:CUC9 CKD9:CKG9 CAH9:CAK9 BQL9:BQO9 BGP9:BGS9 AWT9:AWW9 AMX9:ANA9 ADB9:ADE9 TF9:TI9 JJ9:JM9" xr:uid="{241B3E34-5795-4474-8724-4630177A1AC6}">
      <formula1>#REF!</formula1>
    </dataValidation>
    <dataValidation type="list" allowBlank="1" showErrorMessage="1" errorTitle="The Category is incorrect" error="Please click the arrow and select your category" prompt="Choose your movement category by clicking the arrow and selecting your category" sqref="E65515:H65515 WVM983019:WVP983019 WLQ983019:WLT983019 WBU983019:WBX983019 VRY983019:VSB983019 VIC983019:VIF983019 UYG983019:UYJ983019 UOK983019:UON983019 UEO983019:UER983019 TUS983019:TUV983019 TKW983019:TKZ983019 TBA983019:TBD983019 SRE983019:SRH983019 SHI983019:SHL983019 RXM983019:RXP983019 RNQ983019:RNT983019 RDU983019:RDX983019 QTY983019:QUB983019 QKC983019:QKF983019 QAG983019:QAJ983019 PQK983019:PQN983019 PGO983019:PGR983019 OWS983019:OWV983019 OMW983019:OMZ983019 ODA983019:ODD983019 NTE983019:NTH983019 NJI983019:NJL983019 MZM983019:MZP983019 MPQ983019:MPT983019 MFU983019:MFX983019 LVY983019:LWB983019 LMC983019:LMF983019 LCG983019:LCJ983019 KSK983019:KSN983019 KIO983019:KIR983019 JYS983019:JYV983019 JOW983019:JOZ983019 JFA983019:JFD983019 IVE983019:IVH983019 ILI983019:ILL983019 IBM983019:IBP983019 HRQ983019:HRT983019 HHU983019:HHX983019 GXY983019:GYB983019 GOC983019:GOF983019 GEG983019:GEJ983019 FUK983019:FUN983019 FKO983019:FKR983019 FAS983019:FAV983019 EQW983019:EQZ983019 EHA983019:EHD983019 DXE983019:DXH983019 DNI983019:DNL983019 DDM983019:DDP983019 CTQ983019:CTT983019 CJU983019:CJX983019 BZY983019:CAB983019 BQC983019:BQF983019 BGG983019:BGJ983019 AWK983019:AWN983019 AMO983019:AMR983019 ACS983019:ACV983019 SW983019:SZ983019 JA983019:JD983019 E983019:H983019 WVM917483:WVP917483 WLQ917483:WLT917483 WBU917483:WBX917483 VRY917483:VSB917483 VIC917483:VIF917483 UYG917483:UYJ917483 UOK917483:UON917483 UEO917483:UER917483 TUS917483:TUV917483 TKW917483:TKZ917483 TBA917483:TBD917483 SRE917483:SRH917483 SHI917483:SHL917483 RXM917483:RXP917483 RNQ917483:RNT917483 RDU917483:RDX917483 QTY917483:QUB917483 QKC917483:QKF917483 QAG917483:QAJ917483 PQK917483:PQN917483 PGO917483:PGR917483 OWS917483:OWV917483 OMW917483:OMZ917483 ODA917483:ODD917483 NTE917483:NTH917483 NJI917483:NJL917483 MZM917483:MZP917483 MPQ917483:MPT917483 MFU917483:MFX917483 LVY917483:LWB917483 LMC917483:LMF917483 LCG917483:LCJ917483 KSK917483:KSN917483 KIO917483:KIR917483 JYS917483:JYV917483 JOW917483:JOZ917483 JFA917483:JFD917483 IVE917483:IVH917483 ILI917483:ILL917483 IBM917483:IBP917483 HRQ917483:HRT917483 HHU917483:HHX917483 GXY917483:GYB917483 GOC917483:GOF917483 GEG917483:GEJ917483 FUK917483:FUN917483 FKO917483:FKR917483 FAS917483:FAV917483 EQW917483:EQZ917483 EHA917483:EHD917483 DXE917483:DXH917483 DNI917483:DNL917483 DDM917483:DDP917483 CTQ917483:CTT917483 CJU917483:CJX917483 BZY917483:CAB917483 BQC917483:BQF917483 BGG917483:BGJ917483 AWK917483:AWN917483 AMO917483:AMR917483 ACS917483:ACV917483 SW917483:SZ917483 JA917483:JD917483 E917483:H917483 WVM851947:WVP851947 WLQ851947:WLT851947 WBU851947:WBX851947 VRY851947:VSB851947 VIC851947:VIF851947 UYG851947:UYJ851947 UOK851947:UON851947 UEO851947:UER851947 TUS851947:TUV851947 TKW851947:TKZ851947 TBA851947:TBD851947 SRE851947:SRH851947 SHI851947:SHL851947 RXM851947:RXP851947 RNQ851947:RNT851947 RDU851947:RDX851947 QTY851947:QUB851947 QKC851947:QKF851947 QAG851947:QAJ851947 PQK851947:PQN851947 PGO851947:PGR851947 OWS851947:OWV851947 OMW851947:OMZ851947 ODA851947:ODD851947 NTE851947:NTH851947 NJI851947:NJL851947 MZM851947:MZP851947 MPQ851947:MPT851947 MFU851947:MFX851947 LVY851947:LWB851947 LMC851947:LMF851947 LCG851947:LCJ851947 KSK851947:KSN851947 KIO851947:KIR851947 JYS851947:JYV851947 JOW851947:JOZ851947 JFA851947:JFD851947 IVE851947:IVH851947 ILI851947:ILL851947 IBM851947:IBP851947 HRQ851947:HRT851947 HHU851947:HHX851947 GXY851947:GYB851947 GOC851947:GOF851947 GEG851947:GEJ851947 FUK851947:FUN851947 FKO851947:FKR851947 FAS851947:FAV851947 EQW851947:EQZ851947 EHA851947:EHD851947 DXE851947:DXH851947 DNI851947:DNL851947 DDM851947:DDP851947 CTQ851947:CTT851947 CJU851947:CJX851947 BZY851947:CAB851947 BQC851947:BQF851947 BGG851947:BGJ851947 AWK851947:AWN851947 AMO851947:AMR851947 ACS851947:ACV851947 SW851947:SZ851947 JA851947:JD851947 E851947:H851947 WVM786411:WVP786411 WLQ786411:WLT786411 WBU786411:WBX786411 VRY786411:VSB786411 VIC786411:VIF786411 UYG786411:UYJ786411 UOK786411:UON786411 UEO786411:UER786411 TUS786411:TUV786411 TKW786411:TKZ786411 TBA786411:TBD786411 SRE786411:SRH786411 SHI786411:SHL786411 RXM786411:RXP786411 RNQ786411:RNT786411 RDU786411:RDX786411 QTY786411:QUB786411 QKC786411:QKF786411 QAG786411:QAJ786411 PQK786411:PQN786411 PGO786411:PGR786411 OWS786411:OWV786411 OMW786411:OMZ786411 ODA786411:ODD786411 NTE786411:NTH786411 NJI786411:NJL786411 MZM786411:MZP786411 MPQ786411:MPT786411 MFU786411:MFX786411 LVY786411:LWB786411 LMC786411:LMF786411 LCG786411:LCJ786411 KSK786411:KSN786411 KIO786411:KIR786411 JYS786411:JYV786411 JOW786411:JOZ786411 JFA786411:JFD786411 IVE786411:IVH786411 ILI786411:ILL786411 IBM786411:IBP786411 HRQ786411:HRT786411 HHU786411:HHX786411 GXY786411:GYB786411 GOC786411:GOF786411 GEG786411:GEJ786411 FUK786411:FUN786411 FKO786411:FKR786411 FAS786411:FAV786411 EQW786411:EQZ786411 EHA786411:EHD786411 DXE786411:DXH786411 DNI786411:DNL786411 DDM786411:DDP786411 CTQ786411:CTT786411 CJU786411:CJX786411 BZY786411:CAB786411 BQC786411:BQF786411 BGG786411:BGJ786411 AWK786411:AWN786411 AMO786411:AMR786411 ACS786411:ACV786411 SW786411:SZ786411 JA786411:JD786411 E786411:H786411 WVM720875:WVP720875 WLQ720875:WLT720875 WBU720875:WBX720875 VRY720875:VSB720875 VIC720875:VIF720875 UYG720875:UYJ720875 UOK720875:UON720875 UEO720875:UER720875 TUS720875:TUV720875 TKW720875:TKZ720875 TBA720875:TBD720875 SRE720875:SRH720875 SHI720875:SHL720875 RXM720875:RXP720875 RNQ720875:RNT720875 RDU720875:RDX720875 QTY720875:QUB720875 QKC720875:QKF720875 QAG720875:QAJ720875 PQK720875:PQN720875 PGO720875:PGR720875 OWS720875:OWV720875 OMW720875:OMZ720875 ODA720875:ODD720875 NTE720875:NTH720875 NJI720875:NJL720875 MZM720875:MZP720875 MPQ720875:MPT720875 MFU720875:MFX720875 LVY720875:LWB720875 LMC720875:LMF720875 LCG720875:LCJ720875 KSK720875:KSN720875 KIO720875:KIR720875 JYS720875:JYV720875 JOW720875:JOZ720875 JFA720875:JFD720875 IVE720875:IVH720875 ILI720875:ILL720875 IBM720875:IBP720875 HRQ720875:HRT720875 HHU720875:HHX720875 GXY720875:GYB720875 GOC720875:GOF720875 GEG720875:GEJ720875 FUK720875:FUN720875 FKO720875:FKR720875 FAS720875:FAV720875 EQW720875:EQZ720875 EHA720875:EHD720875 DXE720875:DXH720875 DNI720875:DNL720875 DDM720875:DDP720875 CTQ720875:CTT720875 CJU720875:CJX720875 BZY720875:CAB720875 BQC720875:BQF720875 BGG720875:BGJ720875 AWK720875:AWN720875 AMO720875:AMR720875 ACS720875:ACV720875 SW720875:SZ720875 JA720875:JD720875 E720875:H720875 WVM655339:WVP655339 WLQ655339:WLT655339 WBU655339:WBX655339 VRY655339:VSB655339 VIC655339:VIF655339 UYG655339:UYJ655339 UOK655339:UON655339 UEO655339:UER655339 TUS655339:TUV655339 TKW655339:TKZ655339 TBA655339:TBD655339 SRE655339:SRH655339 SHI655339:SHL655339 RXM655339:RXP655339 RNQ655339:RNT655339 RDU655339:RDX655339 QTY655339:QUB655339 QKC655339:QKF655339 QAG655339:QAJ655339 PQK655339:PQN655339 PGO655339:PGR655339 OWS655339:OWV655339 OMW655339:OMZ655339 ODA655339:ODD655339 NTE655339:NTH655339 NJI655339:NJL655339 MZM655339:MZP655339 MPQ655339:MPT655339 MFU655339:MFX655339 LVY655339:LWB655339 LMC655339:LMF655339 LCG655339:LCJ655339 KSK655339:KSN655339 KIO655339:KIR655339 JYS655339:JYV655339 JOW655339:JOZ655339 JFA655339:JFD655339 IVE655339:IVH655339 ILI655339:ILL655339 IBM655339:IBP655339 HRQ655339:HRT655339 HHU655339:HHX655339 GXY655339:GYB655339 GOC655339:GOF655339 GEG655339:GEJ655339 FUK655339:FUN655339 FKO655339:FKR655339 FAS655339:FAV655339 EQW655339:EQZ655339 EHA655339:EHD655339 DXE655339:DXH655339 DNI655339:DNL655339 DDM655339:DDP655339 CTQ655339:CTT655339 CJU655339:CJX655339 BZY655339:CAB655339 BQC655339:BQF655339 BGG655339:BGJ655339 AWK655339:AWN655339 AMO655339:AMR655339 ACS655339:ACV655339 SW655339:SZ655339 JA655339:JD655339 E655339:H655339 WVM589803:WVP589803 WLQ589803:WLT589803 WBU589803:WBX589803 VRY589803:VSB589803 VIC589803:VIF589803 UYG589803:UYJ589803 UOK589803:UON589803 UEO589803:UER589803 TUS589803:TUV589803 TKW589803:TKZ589803 TBA589803:TBD589803 SRE589803:SRH589803 SHI589803:SHL589803 RXM589803:RXP589803 RNQ589803:RNT589803 RDU589803:RDX589803 QTY589803:QUB589803 QKC589803:QKF589803 QAG589803:QAJ589803 PQK589803:PQN589803 PGO589803:PGR589803 OWS589803:OWV589803 OMW589803:OMZ589803 ODA589803:ODD589803 NTE589803:NTH589803 NJI589803:NJL589803 MZM589803:MZP589803 MPQ589803:MPT589803 MFU589803:MFX589803 LVY589803:LWB589803 LMC589803:LMF589803 LCG589803:LCJ589803 KSK589803:KSN589803 KIO589803:KIR589803 JYS589803:JYV589803 JOW589803:JOZ589803 JFA589803:JFD589803 IVE589803:IVH589803 ILI589803:ILL589803 IBM589803:IBP589803 HRQ589803:HRT589803 HHU589803:HHX589803 GXY589803:GYB589803 GOC589803:GOF589803 GEG589803:GEJ589803 FUK589803:FUN589803 FKO589803:FKR589803 FAS589803:FAV589803 EQW589803:EQZ589803 EHA589803:EHD589803 DXE589803:DXH589803 DNI589803:DNL589803 DDM589803:DDP589803 CTQ589803:CTT589803 CJU589803:CJX589803 BZY589803:CAB589803 BQC589803:BQF589803 BGG589803:BGJ589803 AWK589803:AWN589803 AMO589803:AMR589803 ACS589803:ACV589803 SW589803:SZ589803 JA589803:JD589803 E589803:H589803 WVM524267:WVP524267 WLQ524267:WLT524267 WBU524267:WBX524267 VRY524267:VSB524267 VIC524267:VIF524267 UYG524267:UYJ524267 UOK524267:UON524267 UEO524267:UER524267 TUS524267:TUV524267 TKW524267:TKZ524267 TBA524267:TBD524267 SRE524267:SRH524267 SHI524267:SHL524267 RXM524267:RXP524267 RNQ524267:RNT524267 RDU524267:RDX524267 QTY524267:QUB524267 QKC524267:QKF524267 QAG524267:QAJ524267 PQK524267:PQN524267 PGO524267:PGR524267 OWS524267:OWV524267 OMW524267:OMZ524267 ODA524267:ODD524267 NTE524267:NTH524267 NJI524267:NJL524267 MZM524267:MZP524267 MPQ524267:MPT524267 MFU524267:MFX524267 LVY524267:LWB524267 LMC524267:LMF524267 LCG524267:LCJ524267 KSK524267:KSN524267 KIO524267:KIR524267 JYS524267:JYV524267 JOW524267:JOZ524267 JFA524267:JFD524267 IVE524267:IVH524267 ILI524267:ILL524267 IBM524267:IBP524267 HRQ524267:HRT524267 HHU524267:HHX524267 GXY524267:GYB524267 GOC524267:GOF524267 GEG524267:GEJ524267 FUK524267:FUN524267 FKO524267:FKR524267 FAS524267:FAV524267 EQW524267:EQZ524267 EHA524267:EHD524267 DXE524267:DXH524267 DNI524267:DNL524267 DDM524267:DDP524267 CTQ524267:CTT524267 CJU524267:CJX524267 BZY524267:CAB524267 BQC524267:BQF524267 BGG524267:BGJ524267 AWK524267:AWN524267 AMO524267:AMR524267 ACS524267:ACV524267 SW524267:SZ524267 JA524267:JD524267 E524267:H524267 WVM458731:WVP458731 WLQ458731:WLT458731 WBU458731:WBX458731 VRY458731:VSB458731 VIC458731:VIF458731 UYG458731:UYJ458731 UOK458731:UON458731 UEO458731:UER458731 TUS458731:TUV458731 TKW458731:TKZ458731 TBA458731:TBD458731 SRE458731:SRH458731 SHI458731:SHL458731 RXM458731:RXP458731 RNQ458731:RNT458731 RDU458731:RDX458731 QTY458731:QUB458731 QKC458731:QKF458731 QAG458731:QAJ458731 PQK458731:PQN458731 PGO458731:PGR458731 OWS458731:OWV458731 OMW458731:OMZ458731 ODA458731:ODD458731 NTE458731:NTH458731 NJI458731:NJL458731 MZM458731:MZP458731 MPQ458731:MPT458731 MFU458731:MFX458731 LVY458731:LWB458731 LMC458731:LMF458731 LCG458731:LCJ458731 KSK458731:KSN458731 KIO458731:KIR458731 JYS458731:JYV458731 JOW458731:JOZ458731 JFA458731:JFD458731 IVE458731:IVH458731 ILI458731:ILL458731 IBM458731:IBP458731 HRQ458731:HRT458731 HHU458731:HHX458731 GXY458731:GYB458731 GOC458731:GOF458731 GEG458731:GEJ458731 FUK458731:FUN458731 FKO458731:FKR458731 FAS458731:FAV458731 EQW458731:EQZ458731 EHA458731:EHD458731 DXE458731:DXH458731 DNI458731:DNL458731 DDM458731:DDP458731 CTQ458731:CTT458731 CJU458731:CJX458731 BZY458731:CAB458731 BQC458731:BQF458731 BGG458731:BGJ458731 AWK458731:AWN458731 AMO458731:AMR458731 ACS458731:ACV458731 SW458731:SZ458731 JA458731:JD458731 E458731:H458731 WVM393195:WVP393195 WLQ393195:WLT393195 WBU393195:WBX393195 VRY393195:VSB393195 VIC393195:VIF393195 UYG393195:UYJ393195 UOK393195:UON393195 UEO393195:UER393195 TUS393195:TUV393195 TKW393195:TKZ393195 TBA393195:TBD393195 SRE393195:SRH393195 SHI393195:SHL393195 RXM393195:RXP393195 RNQ393195:RNT393195 RDU393195:RDX393195 QTY393195:QUB393195 QKC393195:QKF393195 QAG393195:QAJ393195 PQK393195:PQN393195 PGO393195:PGR393195 OWS393195:OWV393195 OMW393195:OMZ393195 ODA393195:ODD393195 NTE393195:NTH393195 NJI393195:NJL393195 MZM393195:MZP393195 MPQ393195:MPT393195 MFU393195:MFX393195 LVY393195:LWB393195 LMC393195:LMF393195 LCG393195:LCJ393195 KSK393195:KSN393195 KIO393195:KIR393195 JYS393195:JYV393195 JOW393195:JOZ393195 JFA393195:JFD393195 IVE393195:IVH393195 ILI393195:ILL393195 IBM393195:IBP393195 HRQ393195:HRT393195 HHU393195:HHX393195 GXY393195:GYB393195 GOC393195:GOF393195 GEG393195:GEJ393195 FUK393195:FUN393195 FKO393195:FKR393195 FAS393195:FAV393195 EQW393195:EQZ393195 EHA393195:EHD393195 DXE393195:DXH393195 DNI393195:DNL393195 DDM393195:DDP393195 CTQ393195:CTT393195 CJU393195:CJX393195 BZY393195:CAB393195 BQC393195:BQF393195 BGG393195:BGJ393195 AWK393195:AWN393195 AMO393195:AMR393195 ACS393195:ACV393195 SW393195:SZ393195 JA393195:JD393195 E393195:H393195 WVM327659:WVP327659 WLQ327659:WLT327659 WBU327659:WBX327659 VRY327659:VSB327659 VIC327659:VIF327659 UYG327659:UYJ327659 UOK327659:UON327659 UEO327659:UER327659 TUS327659:TUV327659 TKW327659:TKZ327659 TBA327659:TBD327659 SRE327659:SRH327659 SHI327659:SHL327659 RXM327659:RXP327659 RNQ327659:RNT327659 RDU327659:RDX327659 QTY327659:QUB327659 QKC327659:QKF327659 QAG327659:QAJ327659 PQK327659:PQN327659 PGO327659:PGR327659 OWS327659:OWV327659 OMW327659:OMZ327659 ODA327659:ODD327659 NTE327659:NTH327659 NJI327659:NJL327659 MZM327659:MZP327659 MPQ327659:MPT327659 MFU327659:MFX327659 LVY327659:LWB327659 LMC327659:LMF327659 LCG327659:LCJ327659 KSK327659:KSN327659 KIO327659:KIR327659 JYS327659:JYV327659 JOW327659:JOZ327659 JFA327659:JFD327659 IVE327659:IVH327659 ILI327659:ILL327659 IBM327659:IBP327659 HRQ327659:HRT327659 HHU327659:HHX327659 GXY327659:GYB327659 GOC327659:GOF327659 GEG327659:GEJ327659 FUK327659:FUN327659 FKO327659:FKR327659 FAS327659:FAV327659 EQW327659:EQZ327659 EHA327659:EHD327659 DXE327659:DXH327659 DNI327659:DNL327659 DDM327659:DDP327659 CTQ327659:CTT327659 CJU327659:CJX327659 BZY327659:CAB327659 BQC327659:BQF327659 BGG327659:BGJ327659 AWK327659:AWN327659 AMO327659:AMR327659 ACS327659:ACV327659 SW327659:SZ327659 JA327659:JD327659 E327659:H327659 WVM262123:WVP262123 WLQ262123:WLT262123 WBU262123:WBX262123 VRY262123:VSB262123 VIC262123:VIF262123 UYG262123:UYJ262123 UOK262123:UON262123 UEO262123:UER262123 TUS262123:TUV262123 TKW262123:TKZ262123 TBA262123:TBD262123 SRE262123:SRH262123 SHI262123:SHL262123 RXM262123:RXP262123 RNQ262123:RNT262123 RDU262123:RDX262123 QTY262123:QUB262123 QKC262123:QKF262123 QAG262123:QAJ262123 PQK262123:PQN262123 PGO262123:PGR262123 OWS262123:OWV262123 OMW262123:OMZ262123 ODA262123:ODD262123 NTE262123:NTH262123 NJI262123:NJL262123 MZM262123:MZP262123 MPQ262123:MPT262123 MFU262123:MFX262123 LVY262123:LWB262123 LMC262123:LMF262123 LCG262123:LCJ262123 KSK262123:KSN262123 KIO262123:KIR262123 JYS262123:JYV262123 JOW262123:JOZ262123 JFA262123:JFD262123 IVE262123:IVH262123 ILI262123:ILL262123 IBM262123:IBP262123 HRQ262123:HRT262123 HHU262123:HHX262123 GXY262123:GYB262123 GOC262123:GOF262123 GEG262123:GEJ262123 FUK262123:FUN262123 FKO262123:FKR262123 FAS262123:FAV262123 EQW262123:EQZ262123 EHA262123:EHD262123 DXE262123:DXH262123 DNI262123:DNL262123 DDM262123:DDP262123 CTQ262123:CTT262123 CJU262123:CJX262123 BZY262123:CAB262123 BQC262123:BQF262123 BGG262123:BGJ262123 AWK262123:AWN262123 AMO262123:AMR262123 ACS262123:ACV262123 SW262123:SZ262123 JA262123:JD262123 E262123:H262123 WVM196587:WVP196587 WLQ196587:WLT196587 WBU196587:WBX196587 VRY196587:VSB196587 VIC196587:VIF196587 UYG196587:UYJ196587 UOK196587:UON196587 UEO196587:UER196587 TUS196587:TUV196587 TKW196587:TKZ196587 TBA196587:TBD196587 SRE196587:SRH196587 SHI196587:SHL196587 RXM196587:RXP196587 RNQ196587:RNT196587 RDU196587:RDX196587 QTY196587:QUB196587 QKC196587:QKF196587 QAG196587:QAJ196587 PQK196587:PQN196587 PGO196587:PGR196587 OWS196587:OWV196587 OMW196587:OMZ196587 ODA196587:ODD196587 NTE196587:NTH196587 NJI196587:NJL196587 MZM196587:MZP196587 MPQ196587:MPT196587 MFU196587:MFX196587 LVY196587:LWB196587 LMC196587:LMF196587 LCG196587:LCJ196587 KSK196587:KSN196587 KIO196587:KIR196587 JYS196587:JYV196587 JOW196587:JOZ196587 JFA196587:JFD196587 IVE196587:IVH196587 ILI196587:ILL196587 IBM196587:IBP196587 HRQ196587:HRT196587 HHU196587:HHX196587 GXY196587:GYB196587 GOC196587:GOF196587 GEG196587:GEJ196587 FUK196587:FUN196587 FKO196587:FKR196587 FAS196587:FAV196587 EQW196587:EQZ196587 EHA196587:EHD196587 DXE196587:DXH196587 DNI196587:DNL196587 DDM196587:DDP196587 CTQ196587:CTT196587 CJU196587:CJX196587 BZY196587:CAB196587 BQC196587:BQF196587 BGG196587:BGJ196587 AWK196587:AWN196587 AMO196587:AMR196587 ACS196587:ACV196587 SW196587:SZ196587 JA196587:JD196587 E196587:H196587 WVM131051:WVP131051 WLQ131051:WLT131051 WBU131051:WBX131051 VRY131051:VSB131051 VIC131051:VIF131051 UYG131051:UYJ131051 UOK131051:UON131051 UEO131051:UER131051 TUS131051:TUV131051 TKW131051:TKZ131051 TBA131051:TBD131051 SRE131051:SRH131051 SHI131051:SHL131051 RXM131051:RXP131051 RNQ131051:RNT131051 RDU131051:RDX131051 QTY131051:QUB131051 QKC131051:QKF131051 QAG131051:QAJ131051 PQK131051:PQN131051 PGO131051:PGR131051 OWS131051:OWV131051 OMW131051:OMZ131051 ODA131051:ODD131051 NTE131051:NTH131051 NJI131051:NJL131051 MZM131051:MZP131051 MPQ131051:MPT131051 MFU131051:MFX131051 LVY131051:LWB131051 LMC131051:LMF131051 LCG131051:LCJ131051 KSK131051:KSN131051 KIO131051:KIR131051 JYS131051:JYV131051 JOW131051:JOZ131051 JFA131051:JFD131051 IVE131051:IVH131051 ILI131051:ILL131051 IBM131051:IBP131051 HRQ131051:HRT131051 HHU131051:HHX131051 GXY131051:GYB131051 GOC131051:GOF131051 GEG131051:GEJ131051 FUK131051:FUN131051 FKO131051:FKR131051 FAS131051:FAV131051 EQW131051:EQZ131051 EHA131051:EHD131051 DXE131051:DXH131051 DNI131051:DNL131051 DDM131051:DDP131051 CTQ131051:CTT131051 CJU131051:CJX131051 BZY131051:CAB131051 BQC131051:BQF131051 BGG131051:BGJ131051 AWK131051:AWN131051 AMO131051:AMR131051 ACS131051:ACV131051 SW131051:SZ131051 JA131051:JD131051 E131051:H131051 WVM65515:WVP65515 WLQ65515:WLT65515 WBU65515:WBX65515 VRY65515:VSB65515 VIC65515:VIF65515 UYG65515:UYJ65515 UOK65515:UON65515 UEO65515:UER65515 TUS65515:TUV65515 TKW65515:TKZ65515 TBA65515:TBD65515 SRE65515:SRH65515 SHI65515:SHL65515 RXM65515:RXP65515 RNQ65515:RNT65515 RDU65515:RDX65515 QTY65515:QUB65515 QKC65515:QKF65515 QAG65515:QAJ65515 PQK65515:PQN65515 PGO65515:PGR65515 OWS65515:OWV65515 OMW65515:OMZ65515 ODA65515:ODD65515 NTE65515:NTH65515 NJI65515:NJL65515 MZM65515:MZP65515 MPQ65515:MPT65515 MFU65515:MFX65515 LVY65515:LWB65515 LMC65515:LMF65515 LCG65515:LCJ65515 KSK65515:KSN65515 KIO65515:KIR65515 JYS65515:JYV65515 JOW65515:JOZ65515 JFA65515:JFD65515 IVE65515:IVH65515 ILI65515:ILL65515 IBM65515:IBP65515 HRQ65515:HRT65515 HHU65515:HHX65515 GXY65515:GYB65515 GOC65515:GOF65515 GEG65515:GEJ65515 FUK65515:FUN65515 FKO65515:FKR65515 FAS65515:FAV65515 EQW65515:EQZ65515 EHA65515:EHD65515 DXE65515:DXH65515 DNI65515:DNL65515 DDM65515:DDP65515 CTQ65515:CTT65515 CJU65515:CJX65515 BZY65515:CAB65515 BQC65515:BQF65515 BGG65515:BGJ65515 AWK65515:AWN65515 AMO65515:AMR65515 ACS65515:ACV65515 SW65515:SZ65515 JA65515:JD65515 WVM8:WVP8 WLQ8:WLT8 WBU8:WBX8 VRY8:VSB8 VIC8:VIF8 UYG8:UYJ8 UOK8:UON8 UEO8:UER8 TUS8:TUV8 TKW8:TKZ8 TBA8:TBD8 SRE8:SRH8 SHI8:SHL8 RXM8:RXP8 RNQ8:RNT8 RDU8:RDX8 QTY8:QUB8 QKC8:QKF8 QAG8:QAJ8 PQK8:PQN8 PGO8:PGR8 OWS8:OWV8 OMW8:OMZ8 ODA8:ODD8 NTE8:NTH8 NJI8:NJL8 MZM8:MZP8 MPQ8:MPT8 MFU8:MFX8 LVY8:LWB8 LMC8:LMF8 LCG8:LCJ8 KSK8:KSN8 KIO8:KIR8 JYS8:JYV8 JOW8:JOZ8 JFA8:JFD8 IVE8:IVH8 ILI8:ILL8 IBM8:IBP8 HRQ8:HRT8 HHU8:HHX8 GXY8:GYB8 GOC8:GOF8 GEG8:GEJ8 FUK8:FUN8 FKO8:FKR8 FAS8:FAV8 EQW8:EQZ8 EHA8:EHD8 DXE8:DXH8 DNI8:DNL8 DDM8:DDP8 CTQ8:CTT8 CJU8:CJX8 BZY8:CAB8 BQC8:BQF8 BGG8:BGJ8 AWK8:AWN8 AMO8:AMR8 ACS8:ACV8 SW8:SZ8 JA8:JD8" xr:uid="{A4959EA2-2659-4D4C-888F-61F03C543154}">
      <formula1>#REF!</formula1>
    </dataValidation>
    <dataValidation type="list" allowBlank="1" showErrorMessage="1" errorTitle="Your input was incorrect" error="Choose your vehicle by clicking the arrow and selecting the correct vehicle" prompt="Choose your vehicle by clicking the arrow and selecting your vehicle" sqref="N65515:Q65515 WVV983019:WVY983019 WLZ983019:WMC983019 WCD983019:WCG983019 VSH983019:VSK983019 VIL983019:VIO983019 UYP983019:UYS983019 UOT983019:UOW983019 UEX983019:UFA983019 TVB983019:TVE983019 TLF983019:TLI983019 TBJ983019:TBM983019 SRN983019:SRQ983019 SHR983019:SHU983019 RXV983019:RXY983019 RNZ983019:ROC983019 RED983019:REG983019 QUH983019:QUK983019 QKL983019:QKO983019 QAP983019:QAS983019 PQT983019:PQW983019 PGX983019:PHA983019 OXB983019:OXE983019 ONF983019:ONI983019 ODJ983019:ODM983019 NTN983019:NTQ983019 NJR983019:NJU983019 MZV983019:MZY983019 MPZ983019:MQC983019 MGD983019:MGG983019 LWH983019:LWK983019 LML983019:LMO983019 LCP983019:LCS983019 KST983019:KSW983019 KIX983019:KJA983019 JZB983019:JZE983019 JPF983019:JPI983019 JFJ983019:JFM983019 IVN983019:IVQ983019 ILR983019:ILU983019 IBV983019:IBY983019 HRZ983019:HSC983019 HID983019:HIG983019 GYH983019:GYK983019 GOL983019:GOO983019 GEP983019:GES983019 FUT983019:FUW983019 FKX983019:FLA983019 FBB983019:FBE983019 ERF983019:ERI983019 EHJ983019:EHM983019 DXN983019:DXQ983019 DNR983019:DNU983019 DDV983019:DDY983019 CTZ983019:CUC983019 CKD983019:CKG983019 CAH983019:CAK983019 BQL983019:BQO983019 BGP983019:BGS983019 AWT983019:AWW983019 AMX983019:ANA983019 ADB983019:ADE983019 TF983019:TI983019 JJ983019:JM983019 N983019:Q983019 WVV917483:WVY917483 WLZ917483:WMC917483 WCD917483:WCG917483 VSH917483:VSK917483 VIL917483:VIO917483 UYP917483:UYS917483 UOT917483:UOW917483 UEX917483:UFA917483 TVB917483:TVE917483 TLF917483:TLI917483 TBJ917483:TBM917483 SRN917483:SRQ917483 SHR917483:SHU917483 RXV917483:RXY917483 RNZ917483:ROC917483 RED917483:REG917483 QUH917483:QUK917483 QKL917483:QKO917483 QAP917483:QAS917483 PQT917483:PQW917483 PGX917483:PHA917483 OXB917483:OXE917483 ONF917483:ONI917483 ODJ917483:ODM917483 NTN917483:NTQ917483 NJR917483:NJU917483 MZV917483:MZY917483 MPZ917483:MQC917483 MGD917483:MGG917483 LWH917483:LWK917483 LML917483:LMO917483 LCP917483:LCS917483 KST917483:KSW917483 KIX917483:KJA917483 JZB917483:JZE917483 JPF917483:JPI917483 JFJ917483:JFM917483 IVN917483:IVQ917483 ILR917483:ILU917483 IBV917483:IBY917483 HRZ917483:HSC917483 HID917483:HIG917483 GYH917483:GYK917483 GOL917483:GOO917483 GEP917483:GES917483 FUT917483:FUW917483 FKX917483:FLA917483 FBB917483:FBE917483 ERF917483:ERI917483 EHJ917483:EHM917483 DXN917483:DXQ917483 DNR917483:DNU917483 DDV917483:DDY917483 CTZ917483:CUC917483 CKD917483:CKG917483 CAH917483:CAK917483 BQL917483:BQO917483 BGP917483:BGS917483 AWT917483:AWW917483 AMX917483:ANA917483 ADB917483:ADE917483 TF917483:TI917483 JJ917483:JM917483 N917483:Q917483 WVV851947:WVY851947 WLZ851947:WMC851947 WCD851947:WCG851947 VSH851947:VSK851947 VIL851947:VIO851947 UYP851947:UYS851947 UOT851947:UOW851947 UEX851947:UFA851947 TVB851947:TVE851947 TLF851947:TLI851947 TBJ851947:TBM851947 SRN851947:SRQ851947 SHR851947:SHU851947 RXV851947:RXY851947 RNZ851947:ROC851947 RED851947:REG851947 QUH851947:QUK851947 QKL851947:QKO851947 QAP851947:QAS851947 PQT851947:PQW851947 PGX851947:PHA851947 OXB851947:OXE851947 ONF851947:ONI851947 ODJ851947:ODM851947 NTN851947:NTQ851947 NJR851947:NJU851947 MZV851947:MZY851947 MPZ851947:MQC851947 MGD851947:MGG851947 LWH851947:LWK851947 LML851947:LMO851947 LCP851947:LCS851947 KST851947:KSW851947 KIX851947:KJA851947 JZB851947:JZE851947 JPF851947:JPI851947 JFJ851947:JFM851947 IVN851947:IVQ851947 ILR851947:ILU851947 IBV851947:IBY851947 HRZ851947:HSC851947 HID851947:HIG851947 GYH851947:GYK851947 GOL851947:GOO851947 GEP851947:GES851947 FUT851947:FUW851947 FKX851947:FLA851947 FBB851947:FBE851947 ERF851947:ERI851947 EHJ851947:EHM851947 DXN851947:DXQ851947 DNR851947:DNU851947 DDV851947:DDY851947 CTZ851947:CUC851947 CKD851947:CKG851947 CAH851947:CAK851947 BQL851947:BQO851947 BGP851947:BGS851947 AWT851947:AWW851947 AMX851947:ANA851947 ADB851947:ADE851947 TF851947:TI851947 JJ851947:JM851947 N851947:Q851947 WVV786411:WVY786411 WLZ786411:WMC786411 WCD786411:WCG786411 VSH786411:VSK786411 VIL786411:VIO786411 UYP786411:UYS786411 UOT786411:UOW786411 UEX786411:UFA786411 TVB786411:TVE786411 TLF786411:TLI786411 TBJ786411:TBM786411 SRN786411:SRQ786411 SHR786411:SHU786411 RXV786411:RXY786411 RNZ786411:ROC786411 RED786411:REG786411 QUH786411:QUK786411 QKL786411:QKO786411 QAP786411:QAS786411 PQT786411:PQW786411 PGX786411:PHA786411 OXB786411:OXE786411 ONF786411:ONI786411 ODJ786411:ODM786411 NTN786411:NTQ786411 NJR786411:NJU786411 MZV786411:MZY786411 MPZ786411:MQC786411 MGD786411:MGG786411 LWH786411:LWK786411 LML786411:LMO786411 LCP786411:LCS786411 KST786411:KSW786411 KIX786411:KJA786411 JZB786411:JZE786411 JPF786411:JPI786411 JFJ786411:JFM786411 IVN786411:IVQ786411 ILR786411:ILU786411 IBV786411:IBY786411 HRZ786411:HSC786411 HID786411:HIG786411 GYH786411:GYK786411 GOL786411:GOO786411 GEP786411:GES786411 FUT786411:FUW786411 FKX786411:FLA786411 FBB786411:FBE786411 ERF786411:ERI786411 EHJ786411:EHM786411 DXN786411:DXQ786411 DNR786411:DNU786411 DDV786411:DDY786411 CTZ786411:CUC786411 CKD786411:CKG786411 CAH786411:CAK786411 BQL786411:BQO786411 BGP786411:BGS786411 AWT786411:AWW786411 AMX786411:ANA786411 ADB786411:ADE786411 TF786411:TI786411 JJ786411:JM786411 N786411:Q786411 WVV720875:WVY720875 WLZ720875:WMC720875 WCD720875:WCG720875 VSH720875:VSK720875 VIL720875:VIO720875 UYP720875:UYS720875 UOT720875:UOW720875 UEX720875:UFA720875 TVB720875:TVE720875 TLF720875:TLI720875 TBJ720875:TBM720875 SRN720875:SRQ720875 SHR720875:SHU720875 RXV720875:RXY720875 RNZ720875:ROC720875 RED720875:REG720875 QUH720875:QUK720875 QKL720875:QKO720875 QAP720875:QAS720875 PQT720875:PQW720875 PGX720875:PHA720875 OXB720875:OXE720875 ONF720875:ONI720875 ODJ720875:ODM720875 NTN720875:NTQ720875 NJR720875:NJU720875 MZV720875:MZY720875 MPZ720875:MQC720875 MGD720875:MGG720875 LWH720875:LWK720875 LML720875:LMO720875 LCP720875:LCS720875 KST720875:KSW720875 KIX720875:KJA720875 JZB720875:JZE720875 JPF720875:JPI720875 JFJ720875:JFM720875 IVN720875:IVQ720875 ILR720875:ILU720875 IBV720875:IBY720875 HRZ720875:HSC720875 HID720875:HIG720875 GYH720875:GYK720875 GOL720875:GOO720875 GEP720875:GES720875 FUT720875:FUW720875 FKX720875:FLA720875 FBB720875:FBE720875 ERF720875:ERI720875 EHJ720875:EHM720875 DXN720875:DXQ720875 DNR720875:DNU720875 DDV720875:DDY720875 CTZ720875:CUC720875 CKD720875:CKG720875 CAH720875:CAK720875 BQL720875:BQO720875 BGP720875:BGS720875 AWT720875:AWW720875 AMX720875:ANA720875 ADB720875:ADE720875 TF720875:TI720875 JJ720875:JM720875 N720875:Q720875 WVV655339:WVY655339 WLZ655339:WMC655339 WCD655339:WCG655339 VSH655339:VSK655339 VIL655339:VIO655339 UYP655339:UYS655339 UOT655339:UOW655339 UEX655339:UFA655339 TVB655339:TVE655339 TLF655339:TLI655339 TBJ655339:TBM655339 SRN655339:SRQ655339 SHR655339:SHU655339 RXV655339:RXY655339 RNZ655339:ROC655339 RED655339:REG655339 QUH655339:QUK655339 QKL655339:QKO655339 QAP655339:QAS655339 PQT655339:PQW655339 PGX655339:PHA655339 OXB655339:OXE655339 ONF655339:ONI655339 ODJ655339:ODM655339 NTN655339:NTQ655339 NJR655339:NJU655339 MZV655339:MZY655339 MPZ655339:MQC655339 MGD655339:MGG655339 LWH655339:LWK655339 LML655339:LMO655339 LCP655339:LCS655339 KST655339:KSW655339 KIX655339:KJA655339 JZB655339:JZE655339 JPF655339:JPI655339 JFJ655339:JFM655339 IVN655339:IVQ655339 ILR655339:ILU655339 IBV655339:IBY655339 HRZ655339:HSC655339 HID655339:HIG655339 GYH655339:GYK655339 GOL655339:GOO655339 GEP655339:GES655339 FUT655339:FUW655339 FKX655339:FLA655339 FBB655339:FBE655339 ERF655339:ERI655339 EHJ655339:EHM655339 DXN655339:DXQ655339 DNR655339:DNU655339 DDV655339:DDY655339 CTZ655339:CUC655339 CKD655339:CKG655339 CAH655339:CAK655339 BQL655339:BQO655339 BGP655339:BGS655339 AWT655339:AWW655339 AMX655339:ANA655339 ADB655339:ADE655339 TF655339:TI655339 JJ655339:JM655339 N655339:Q655339 WVV589803:WVY589803 WLZ589803:WMC589803 WCD589803:WCG589803 VSH589803:VSK589803 VIL589803:VIO589803 UYP589803:UYS589803 UOT589803:UOW589803 UEX589803:UFA589803 TVB589803:TVE589803 TLF589803:TLI589803 TBJ589803:TBM589803 SRN589803:SRQ589803 SHR589803:SHU589803 RXV589803:RXY589803 RNZ589803:ROC589803 RED589803:REG589803 QUH589803:QUK589803 QKL589803:QKO589803 QAP589803:QAS589803 PQT589803:PQW589803 PGX589803:PHA589803 OXB589803:OXE589803 ONF589803:ONI589803 ODJ589803:ODM589803 NTN589803:NTQ589803 NJR589803:NJU589803 MZV589803:MZY589803 MPZ589803:MQC589803 MGD589803:MGG589803 LWH589803:LWK589803 LML589803:LMO589803 LCP589803:LCS589803 KST589803:KSW589803 KIX589803:KJA589803 JZB589803:JZE589803 JPF589803:JPI589803 JFJ589803:JFM589803 IVN589803:IVQ589803 ILR589803:ILU589803 IBV589803:IBY589803 HRZ589803:HSC589803 HID589803:HIG589803 GYH589803:GYK589803 GOL589803:GOO589803 GEP589803:GES589803 FUT589803:FUW589803 FKX589803:FLA589803 FBB589803:FBE589803 ERF589803:ERI589803 EHJ589803:EHM589803 DXN589803:DXQ589803 DNR589803:DNU589803 DDV589803:DDY589803 CTZ589803:CUC589803 CKD589803:CKG589803 CAH589803:CAK589803 BQL589803:BQO589803 BGP589803:BGS589803 AWT589803:AWW589803 AMX589803:ANA589803 ADB589803:ADE589803 TF589803:TI589803 JJ589803:JM589803 N589803:Q589803 WVV524267:WVY524267 WLZ524267:WMC524267 WCD524267:WCG524267 VSH524267:VSK524267 VIL524267:VIO524267 UYP524267:UYS524267 UOT524267:UOW524267 UEX524267:UFA524267 TVB524267:TVE524267 TLF524267:TLI524267 TBJ524267:TBM524267 SRN524267:SRQ524267 SHR524267:SHU524267 RXV524267:RXY524267 RNZ524267:ROC524267 RED524267:REG524267 QUH524267:QUK524267 QKL524267:QKO524267 QAP524267:QAS524267 PQT524267:PQW524267 PGX524267:PHA524267 OXB524267:OXE524267 ONF524267:ONI524267 ODJ524267:ODM524267 NTN524267:NTQ524267 NJR524267:NJU524267 MZV524267:MZY524267 MPZ524267:MQC524267 MGD524267:MGG524267 LWH524267:LWK524267 LML524267:LMO524267 LCP524267:LCS524267 KST524267:KSW524267 KIX524267:KJA524267 JZB524267:JZE524267 JPF524267:JPI524267 JFJ524267:JFM524267 IVN524267:IVQ524267 ILR524267:ILU524267 IBV524267:IBY524267 HRZ524267:HSC524267 HID524267:HIG524267 GYH524267:GYK524267 GOL524267:GOO524267 GEP524267:GES524267 FUT524267:FUW524267 FKX524267:FLA524267 FBB524267:FBE524267 ERF524267:ERI524267 EHJ524267:EHM524267 DXN524267:DXQ524267 DNR524267:DNU524267 DDV524267:DDY524267 CTZ524267:CUC524267 CKD524267:CKG524267 CAH524267:CAK524267 BQL524267:BQO524267 BGP524267:BGS524267 AWT524267:AWW524267 AMX524267:ANA524267 ADB524267:ADE524267 TF524267:TI524267 JJ524267:JM524267 N524267:Q524267 WVV458731:WVY458731 WLZ458731:WMC458731 WCD458731:WCG458731 VSH458731:VSK458731 VIL458731:VIO458731 UYP458731:UYS458731 UOT458731:UOW458731 UEX458731:UFA458731 TVB458731:TVE458731 TLF458731:TLI458731 TBJ458731:TBM458731 SRN458731:SRQ458731 SHR458731:SHU458731 RXV458731:RXY458731 RNZ458731:ROC458731 RED458731:REG458731 QUH458731:QUK458731 QKL458731:QKO458731 QAP458731:QAS458731 PQT458731:PQW458731 PGX458731:PHA458731 OXB458731:OXE458731 ONF458731:ONI458731 ODJ458731:ODM458731 NTN458731:NTQ458731 NJR458731:NJU458731 MZV458731:MZY458731 MPZ458731:MQC458731 MGD458731:MGG458731 LWH458731:LWK458731 LML458731:LMO458731 LCP458731:LCS458731 KST458731:KSW458731 KIX458731:KJA458731 JZB458731:JZE458731 JPF458731:JPI458731 JFJ458731:JFM458731 IVN458731:IVQ458731 ILR458731:ILU458731 IBV458731:IBY458731 HRZ458731:HSC458731 HID458731:HIG458731 GYH458731:GYK458731 GOL458731:GOO458731 GEP458731:GES458731 FUT458731:FUW458731 FKX458731:FLA458731 FBB458731:FBE458731 ERF458731:ERI458731 EHJ458731:EHM458731 DXN458731:DXQ458731 DNR458731:DNU458731 DDV458731:DDY458731 CTZ458731:CUC458731 CKD458731:CKG458731 CAH458731:CAK458731 BQL458731:BQO458731 BGP458731:BGS458731 AWT458731:AWW458731 AMX458731:ANA458731 ADB458731:ADE458731 TF458731:TI458731 JJ458731:JM458731 N458731:Q458731 WVV393195:WVY393195 WLZ393195:WMC393195 WCD393195:WCG393195 VSH393195:VSK393195 VIL393195:VIO393195 UYP393195:UYS393195 UOT393195:UOW393195 UEX393195:UFA393195 TVB393195:TVE393195 TLF393195:TLI393195 TBJ393195:TBM393195 SRN393195:SRQ393195 SHR393195:SHU393195 RXV393195:RXY393195 RNZ393195:ROC393195 RED393195:REG393195 QUH393195:QUK393195 QKL393195:QKO393195 QAP393195:QAS393195 PQT393195:PQW393195 PGX393195:PHA393195 OXB393195:OXE393195 ONF393195:ONI393195 ODJ393195:ODM393195 NTN393195:NTQ393195 NJR393195:NJU393195 MZV393195:MZY393195 MPZ393195:MQC393195 MGD393195:MGG393195 LWH393195:LWK393195 LML393195:LMO393195 LCP393195:LCS393195 KST393195:KSW393195 KIX393195:KJA393195 JZB393195:JZE393195 JPF393195:JPI393195 JFJ393195:JFM393195 IVN393195:IVQ393195 ILR393195:ILU393195 IBV393195:IBY393195 HRZ393195:HSC393195 HID393195:HIG393195 GYH393195:GYK393195 GOL393195:GOO393195 GEP393195:GES393195 FUT393195:FUW393195 FKX393195:FLA393195 FBB393195:FBE393195 ERF393195:ERI393195 EHJ393195:EHM393195 DXN393195:DXQ393195 DNR393195:DNU393195 DDV393195:DDY393195 CTZ393195:CUC393195 CKD393195:CKG393195 CAH393195:CAK393195 BQL393195:BQO393195 BGP393195:BGS393195 AWT393195:AWW393195 AMX393195:ANA393195 ADB393195:ADE393195 TF393195:TI393195 JJ393195:JM393195 N393195:Q393195 WVV327659:WVY327659 WLZ327659:WMC327659 WCD327659:WCG327659 VSH327659:VSK327659 VIL327659:VIO327659 UYP327659:UYS327659 UOT327659:UOW327659 UEX327659:UFA327659 TVB327659:TVE327659 TLF327659:TLI327659 TBJ327659:TBM327659 SRN327659:SRQ327659 SHR327659:SHU327659 RXV327659:RXY327659 RNZ327659:ROC327659 RED327659:REG327659 QUH327659:QUK327659 QKL327659:QKO327659 QAP327659:QAS327659 PQT327659:PQW327659 PGX327659:PHA327659 OXB327659:OXE327659 ONF327659:ONI327659 ODJ327659:ODM327659 NTN327659:NTQ327659 NJR327659:NJU327659 MZV327659:MZY327659 MPZ327659:MQC327659 MGD327659:MGG327659 LWH327659:LWK327659 LML327659:LMO327659 LCP327659:LCS327659 KST327659:KSW327659 KIX327659:KJA327659 JZB327659:JZE327659 JPF327659:JPI327659 JFJ327659:JFM327659 IVN327659:IVQ327659 ILR327659:ILU327659 IBV327659:IBY327659 HRZ327659:HSC327659 HID327659:HIG327659 GYH327659:GYK327659 GOL327659:GOO327659 GEP327659:GES327659 FUT327659:FUW327659 FKX327659:FLA327659 FBB327659:FBE327659 ERF327659:ERI327659 EHJ327659:EHM327659 DXN327659:DXQ327659 DNR327659:DNU327659 DDV327659:DDY327659 CTZ327659:CUC327659 CKD327659:CKG327659 CAH327659:CAK327659 BQL327659:BQO327659 BGP327659:BGS327659 AWT327659:AWW327659 AMX327659:ANA327659 ADB327659:ADE327659 TF327659:TI327659 JJ327659:JM327659 N327659:Q327659 WVV262123:WVY262123 WLZ262123:WMC262123 WCD262123:WCG262123 VSH262123:VSK262123 VIL262123:VIO262123 UYP262123:UYS262123 UOT262123:UOW262123 UEX262123:UFA262123 TVB262123:TVE262123 TLF262123:TLI262123 TBJ262123:TBM262123 SRN262123:SRQ262123 SHR262123:SHU262123 RXV262123:RXY262123 RNZ262123:ROC262123 RED262123:REG262123 QUH262123:QUK262123 QKL262123:QKO262123 QAP262123:QAS262123 PQT262123:PQW262123 PGX262123:PHA262123 OXB262123:OXE262123 ONF262123:ONI262123 ODJ262123:ODM262123 NTN262123:NTQ262123 NJR262123:NJU262123 MZV262123:MZY262123 MPZ262123:MQC262123 MGD262123:MGG262123 LWH262123:LWK262123 LML262123:LMO262123 LCP262123:LCS262123 KST262123:KSW262123 KIX262123:KJA262123 JZB262123:JZE262123 JPF262123:JPI262123 JFJ262123:JFM262123 IVN262123:IVQ262123 ILR262123:ILU262123 IBV262123:IBY262123 HRZ262123:HSC262123 HID262123:HIG262123 GYH262123:GYK262123 GOL262123:GOO262123 GEP262123:GES262123 FUT262123:FUW262123 FKX262123:FLA262123 FBB262123:FBE262123 ERF262123:ERI262123 EHJ262123:EHM262123 DXN262123:DXQ262123 DNR262123:DNU262123 DDV262123:DDY262123 CTZ262123:CUC262123 CKD262123:CKG262123 CAH262123:CAK262123 BQL262123:BQO262123 BGP262123:BGS262123 AWT262123:AWW262123 AMX262123:ANA262123 ADB262123:ADE262123 TF262123:TI262123 JJ262123:JM262123 N262123:Q262123 WVV196587:WVY196587 WLZ196587:WMC196587 WCD196587:WCG196587 VSH196587:VSK196587 VIL196587:VIO196587 UYP196587:UYS196587 UOT196587:UOW196587 UEX196587:UFA196587 TVB196587:TVE196587 TLF196587:TLI196587 TBJ196587:TBM196587 SRN196587:SRQ196587 SHR196587:SHU196587 RXV196587:RXY196587 RNZ196587:ROC196587 RED196587:REG196587 QUH196587:QUK196587 QKL196587:QKO196587 QAP196587:QAS196587 PQT196587:PQW196587 PGX196587:PHA196587 OXB196587:OXE196587 ONF196587:ONI196587 ODJ196587:ODM196587 NTN196587:NTQ196587 NJR196587:NJU196587 MZV196587:MZY196587 MPZ196587:MQC196587 MGD196587:MGG196587 LWH196587:LWK196587 LML196587:LMO196587 LCP196587:LCS196587 KST196587:KSW196587 KIX196587:KJA196587 JZB196587:JZE196587 JPF196587:JPI196587 JFJ196587:JFM196587 IVN196587:IVQ196587 ILR196587:ILU196587 IBV196587:IBY196587 HRZ196587:HSC196587 HID196587:HIG196587 GYH196587:GYK196587 GOL196587:GOO196587 GEP196587:GES196587 FUT196587:FUW196587 FKX196587:FLA196587 FBB196587:FBE196587 ERF196587:ERI196587 EHJ196587:EHM196587 DXN196587:DXQ196587 DNR196587:DNU196587 DDV196587:DDY196587 CTZ196587:CUC196587 CKD196587:CKG196587 CAH196587:CAK196587 BQL196587:BQO196587 BGP196587:BGS196587 AWT196587:AWW196587 AMX196587:ANA196587 ADB196587:ADE196587 TF196587:TI196587 JJ196587:JM196587 N196587:Q196587 WVV131051:WVY131051 WLZ131051:WMC131051 WCD131051:WCG131051 VSH131051:VSK131051 VIL131051:VIO131051 UYP131051:UYS131051 UOT131051:UOW131051 UEX131051:UFA131051 TVB131051:TVE131051 TLF131051:TLI131051 TBJ131051:TBM131051 SRN131051:SRQ131051 SHR131051:SHU131051 RXV131051:RXY131051 RNZ131051:ROC131051 RED131051:REG131051 QUH131051:QUK131051 QKL131051:QKO131051 QAP131051:QAS131051 PQT131051:PQW131051 PGX131051:PHA131051 OXB131051:OXE131051 ONF131051:ONI131051 ODJ131051:ODM131051 NTN131051:NTQ131051 NJR131051:NJU131051 MZV131051:MZY131051 MPZ131051:MQC131051 MGD131051:MGG131051 LWH131051:LWK131051 LML131051:LMO131051 LCP131051:LCS131051 KST131051:KSW131051 KIX131051:KJA131051 JZB131051:JZE131051 JPF131051:JPI131051 JFJ131051:JFM131051 IVN131051:IVQ131051 ILR131051:ILU131051 IBV131051:IBY131051 HRZ131051:HSC131051 HID131051:HIG131051 GYH131051:GYK131051 GOL131051:GOO131051 GEP131051:GES131051 FUT131051:FUW131051 FKX131051:FLA131051 FBB131051:FBE131051 ERF131051:ERI131051 EHJ131051:EHM131051 DXN131051:DXQ131051 DNR131051:DNU131051 DDV131051:DDY131051 CTZ131051:CUC131051 CKD131051:CKG131051 CAH131051:CAK131051 BQL131051:BQO131051 BGP131051:BGS131051 AWT131051:AWW131051 AMX131051:ANA131051 ADB131051:ADE131051 TF131051:TI131051 JJ131051:JM131051 N131051:Q131051 WVV65515:WVY65515 WLZ65515:WMC65515 WCD65515:WCG65515 VSH65515:VSK65515 VIL65515:VIO65515 UYP65515:UYS65515 UOT65515:UOW65515 UEX65515:UFA65515 TVB65515:TVE65515 TLF65515:TLI65515 TBJ65515:TBM65515 SRN65515:SRQ65515 SHR65515:SHU65515 RXV65515:RXY65515 RNZ65515:ROC65515 RED65515:REG65515 QUH65515:QUK65515 QKL65515:QKO65515 QAP65515:QAS65515 PQT65515:PQW65515 PGX65515:PHA65515 OXB65515:OXE65515 ONF65515:ONI65515 ODJ65515:ODM65515 NTN65515:NTQ65515 NJR65515:NJU65515 MZV65515:MZY65515 MPZ65515:MQC65515 MGD65515:MGG65515 LWH65515:LWK65515 LML65515:LMO65515 LCP65515:LCS65515 KST65515:KSW65515 KIX65515:KJA65515 JZB65515:JZE65515 JPF65515:JPI65515 JFJ65515:JFM65515 IVN65515:IVQ65515 ILR65515:ILU65515 IBV65515:IBY65515 HRZ65515:HSC65515 HID65515:HIG65515 GYH65515:GYK65515 GOL65515:GOO65515 GEP65515:GES65515 FUT65515:FUW65515 FKX65515:FLA65515 FBB65515:FBE65515 ERF65515:ERI65515 EHJ65515:EHM65515 DXN65515:DXQ65515 DNR65515:DNU65515 DDV65515:DDY65515 CTZ65515:CUC65515 CKD65515:CKG65515 CAH65515:CAK65515 BQL65515:BQO65515 BGP65515:BGS65515 AWT65515:AWW65515 AMX65515:ANA65515 ADB65515:ADE65515 TF65515:TI65515 JJ65515:JM65515 WVV8:WVY8 WLZ8:WMC8 WCD8:WCG8 VSH8:VSK8 VIL8:VIO8 UYP8:UYS8 UOT8:UOW8 UEX8:UFA8 TVB8:TVE8 TLF8:TLI8 TBJ8:TBM8 SRN8:SRQ8 SHR8:SHU8 RXV8:RXY8 RNZ8:ROC8 RED8:REG8 QUH8:QUK8 QKL8:QKO8 QAP8:QAS8 PQT8:PQW8 PGX8:PHA8 OXB8:OXE8 ONF8:ONI8 ODJ8:ODM8 NTN8:NTQ8 NJR8:NJU8 MZV8:MZY8 MPZ8:MQC8 MGD8:MGG8 LWH8:LWK8 LML8:LMO8 LCP8:LCS8 KST8:KSW8 KIX8:KJA8 JZB8:JZE8 JPF8:JPI8 JFJ8:JFM8 IVN8:IVQ8 ILR8:ILU8 IBV8:IBY8 HRZ8:HSC8 HID8:HIG8 GYH8:GYK8 GOL8:GOO8 GEP8:GES8 FUT8:FUW8 FKX8:FLA8 FBB8:FBE8 ERF8:ERI8 EHJ8:EHM8 DXN8:DXQ8 DNR8:DNU8 DDV8:DDY8 CTZ8:CUC8 CKD8:CKG8 CAH8:CAK8 BQL8:BQO8 BGP8:BGS8 AWT8:AWW8 AMX8:ANA8 ADB8:ADE8 TF8:TI8 JJ8:JM8" xr:uid="{D451E25E-CE90-4387-A4AB-9F7594C9DCDD}">
      <formula1>#REF!</formula1>
    </dataValidation>
  </dataValidations>
  <hyperlinks>
    <hyperlink ref="T31:X31" r:id="rId1" display="Crash Estimation Compendium (Crash Estimation Compendium)" xr:uid="{7878FFFA-547D-4FCD-ABE4-D5E1942C07EC}"/>
  </hyperlinks>
  <printOptions horizontalCentered="1"/>
  <pageMargins left="0.74803149606299213" right="0.70866141732283472" top="0.74803149606299213" bottom="0.9055118110236221" header="0.39370078740157483" footer="0.39370078740157483"/>
  <pageSetup paperSize="9" scale="87" orientation="portrait" r:id="rId2"/>
  <headerFooter scaleWithDoc="0" alignWithMargins="0">
    <oddHeader xml:space="preserve">&amp;L&amp;"-,Regular"&amp;8&amp;F&amp;R&amp;"-,Regular"&amp;8&amp;A
_________________________________________________________________________________________________
</oddHeader>
    <oddFooter>&amp;L&amp;"-,Regular"&amp;8_________________________________________________________________________________________________
NZ Transport Agency’s Economic evaluation manual 
Effective from Jul 2013</oddFooter>
  </headerFooter>
  <legacyDrawing r:id="rId3"/>
  <extLst>
    <ext xmlns:x14="http://schemas.microsoft.com/office/spreadsheetml/2009/9/main" uri="{CCE6A557-97BC-4b89-ADB6-D9C93CAAB3DF}">
      <x14:dataValidations xmlns:xm="http://schemas.microsoft.com/office/excel/2006/main" disablePrompts="1" count="3">
        <x14:dataValidation type="list" allowBlank="1" showErrorMessage="1" errorTitle="The Category is incorrect" error="Please click the arrow and select your category" prompt="Choose your movement category by clicking the arrow and selecting your category" xr:uid="{D975C811-0AEE-44AF-B2BF-6D904C80C269}">
          <x14:formula1>
            <xm:f>Tables!$K$127:$K$139</xm:f>
          </x14:formula1>
          <xm:sqref>E8:H8</xm:sqref>
        </x14:dataValidation>
        <x14:dataValidation type="list" allowBlank="1" showErrorMessage="1" errorTitle="Your input was incorrect" error="Choose your vehicle by clicking the arrow and selecting the correct vehicle" prompt="Choose your vehicle by clicking the arrow and selecting your vehicle" xr:uid="{E3D05A53-B72F-4AD1-AC46-34BE37949ED2}">
          <x14:formula1>
            <xm:f>Tables!$C$232:$H$232</xm:f>
          </x14:formula1>
          <xm:sqref>N8:Q8</xm:sqref>
        </x14:dataValidation>
        <x14:dataValidation type="list" allowBlank="1" showInputMessage="1" showErrorMessage="1" xr:uid="{EE21ED94-ED63-4E9C-A71F-3783CCCB0233}">
          <x14:formula1>
            <xm:f>Tables!$N$18:$N$21</xm:f>
          </x14:formula1>
          <xm:sqref>N9:Q9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CC86-EB77-4706-85FE-2275AE8EEFAA}">
  <sheetPr codeName="Sheet13">
    <pageSetUpPr fitToPage="1"/>
  </sheetPr>
  <dimension ref="A1:AA81"/>
  <sheetViews>
    <sheetView zoomScaleNormal="100" workbookViewId="0">
      <selection activeCell="G11" sqref="G11:H11"/>
    </sheetView>
  </sheetViews>
  <sheetFormatPr defaultRowHeight="13.5"/>
  <cols>
    <col min="1" max="20" width="4.75" style="69" customWidth="1"/>
    <col min="21" max="21" width="9.25" style="69" customWidth="1"/>
    <col min="22" max="22" width="26.75" style="69" customWidth="1"/>
    <col min="23" max="27" width="9.25" style="69" customWidth="1"/>
    <col min="28" max="256" width="9" style="69"/>
    <col min="257" max="276" width="4.75" style="69" customWidth="1"/>
    <col min="277" max="277" width="9.25" style="69" customWidth="1"/>
    <col min="278" max="278" width="26.75" style="69" customWidth="1"/>
    <col min="279" max="283" width="9.25" style="69" customWidth="1"/>
    <col min="284" max="512" width="9" style="69"/>
    <col min="513" max="532" width="4.75" style="69" customWidth="1"/>
    <col min="533" max="533" width="9.25" style="69" customWidth="1"/>
    <col min="534" max="534" width="26.75" style="69" customWidth="1"/>
    <col min="535" max="539" width="9.25" style="69" customWidth="1"/>
    <col min="540" max="768" width="9" style="69"/>
    <col min="769" max="788" width="4.75" style="69" customWidth="1"/>
    <col min="789" max="789" width="9.25" style="69" customWidth="1"/>
    <col min="790" max="790" width="26.75" style="69" customWidth="1"/>
    <col min="791" max="795" width="9.25" style="69" customWidth="1"/>
    <col min="796" max="1024" width="9" style="69"/>
    <col min="1025" max="1044" width="4.75" style="69" customWidth="1"/>
    <col min="1045" max="1045" width="9.25" style="69" customWidth="1"/>
    <col min="1046" max="1046" width="26.75" style="69" customWidth="1"/>
    <col min="1047" max="1051" width="9.25" style="69" customWidth="1"/>
    <col min="1052" max="1280" width="9" style="69"/>
    <col min="1281" max="1300" width="4.75" style="69" customWidth="1"/>
    <col min="1301" max="1301" width="9.25" style="69" customWidth="1"/>
    <col min="1302" max="1302" width="26.75" style="69" customWidth="1"/>
    <col min="1303" max="1307" width="9.25" style="69" customWidth="1"/>
    <col min="1308" max="1536" width="9" style="69"/>
    <col min="1537" max="1556" width="4.75" style="69" customWidth="1"/>
    <col min="1557" max="1557" width="9.25" style="69" customWidth="1"/>
    <col min="1558" max="1558" width="26.75" style="69" customWidth="1"/>
    <col min="1559" max="1563" width="9.25" style="69" customWidth="1"/>
    <col min="1564" max="1792" width="9" style="69"/>
    <col min="1793" max="1812" width="4.75" style="69" customWidth="1"/>
    <col min="1813" max="1813" width="9.25" style="69" customWidth="1"/>
    <col min="1814" max="1814" width="26.75" style="69" customWidth="1"/>
    <col min="1815" max="1819" width="9.25" style="69" customWidth="1"/>
    <col min="1820" max="2048" width="9" style="69"/>
    <col min="2049" max="2068" width="4.75" style="69" customWidth="1"/>
    <col min="2069" max="2069" width="9.25" style="69" customWidth="1"/>
    <col min="2070" max="2070" width="26.75" style="69" customWidth="1"/>
    <col min="2071" max="2075" width="9.25" style="69" customWidth="1"/>
    <col min="2076" max="2304" width="9" style="69"/>
    <col min="2305" max="2324" width="4.75" style="69" customWidth="1"/>
    <col min="2325" max="2325" width="9.25" style="69" customWidth="1"/>
    <col min="2326" max="2326" width="26.75" style="69" customWidth="1"/>
    <col min="2327" max="2331" width="9.25" style="69" customWidth="1"/>
    <col min="2332" max="2560" width="9" style="69"/>
    <col min="2561" max="2580" width="4.75" style="69" customWidth="1"/>
    <col min="2581" max="2581" width="9.25" style="69" customWidth="1"/>
    <col min="2582" max="2582" width="26.75" style="69" customWidth="1"/>
    <col min="2583" max="2587" width="9.25" style="69" customWidth="1"/>
    <col min="2588" max="2816" width="9" style="69"/>
    <col min="2817" max="2836" width="4.75" style="69" customWidth="1"/>
    <col min="2837" max="2837" width="9.25" style="69" customWidth="1"/>
    <col min="2838" max="2838" width="26.75" style="69" customWidth="1"/>
    <col min="2839" max="2843" width="9.25" style="69" customWidth="1"/>
    <col min="2844" max="3072" width="9" style="69"/>
    <col min="3073" max="3092" width="4.75" style="69" customWidth="1"/>
    <col min="3093" max="3093" width="9.25" style="69" customWidth="1"/>
    <col min="3094" max="3094" width="26.75" style="69" customWidth="1"/>
    <col min="3095" max="3099" width="9.25" style="69" customWidth="1"/>
    <col min="3100" max="3328" width="9" style="69"/>
    <col min="3329" max="3348" width="4.75" style="69" customWidth="1"/>
    <col min="3349" max="3349" width="9.25" style="69" customWidth="1"/>
    <col min="3350" max="3350" width="26.75" style="69" customWidth="1"/>
    <col min="3351" max="3355" width="9.25" style="69" customWidth="1"/>
    <col min="3356" max="3584" width="9" style="69"/>
    <col min="3585" max="3604" width="4.75" style="69" customWidth="1"/>
    <col min="3605" max="3605" width="9.25" style="69" customWidth="1"/>
    <col min="3606" max="3606" width="26.75" style="69" customWidth="1"/>
    <col min="3607" max="3611" width="9.25" style="69" customWidth="1"/>
    <col min="3612" max="3840" width="9" style="69"/>
    <col min="3841" max="3860" width="4.75" style="69" customWidth="1"/>
    <col min="3861" max="3861" width="9.25" style="69" customWidth="1"/>
    <col min="3862" max="3862" width="26.75" style="69" customWidth="1"/>
    <col min="3863" max="3867" width="9.25" style="69" customWidth="1"/>
    <col min="3868" max="4096" width="9" style="69"/>
    <col min="4097" max="4116" width="4.75" style="69" customWidth="1"/>
    <col min="4117" max="4117" width="9.25" style="69" customWidth="1"/>
    <col min="4118" max="4118" width="26.75" style="69" customWidth="1"/>
    <col min="4119" max="4123" width="9.25" style="69" customWidth="1"/>
    <col min="4124" max="4352" width="9" style="69"/>
    <col min="4353" max="4372" width="4.75" style="69" customWidth="1"/>
    <col min="4373" max="4373" width="9.25" style="69" customWidth="1"/>
    <col min="4374" max="4374" width="26.75" style="69" customWidth="1"/>
    <col min="4375" max="4379" width="9.25" style="69" customWidth="1"/>
    <col min="4380" max="4608" width="9" style="69"/>
    <col min="4609" max="4628" width="4.75" style="69" customWidth="1"/>
    <col min="4629" max="4629" width="9.25" style="69" customWidth="1"/>
    <col min="4630" max="4630" width="26.75" style="69" customWidth="1"/>
    <col min="4631" max="4635" width="9.25" style="69" customWidth="1"/>
    <col min="4636" max="4864" width="9" style="69"/>
    <col min="4865" max="4884" width="4.75" style="69" customWidth="1"/>
    <col min="4885" max="4885" width="9.25" style="69" customWidth="1"/>
    <col min="4886" max="4886" width="26.75" style="69" customWidth="1"/>
    <col min="4887" max="4891" width="9.25" style="69" customWidth="1"/>
    <col min="4892" max="5120" width="9" style="69"/>
    <col min="5121" max="5140" width="4.75" style="69" customWidth="1"/>
    <col min="5141" max="5141" width="9.25" style="69" customWidth="1"/>
    <col min="5142" max="5142" width="26.75" style="69" customWidth="1"/>
    <col min="5143" max="5147" width="9.25" style="69" customWidth="1"/>
    <col min="5148" max="5376" width="9" style="69"/>
    <col min="5377" max="5396" width="4.75" style="69" customWidth="1"/>
    <col min="5397" max="5397" width="9.25" style="69" customWidth="1"/>
    <col min="5398" max="5398" width="26.75" style="69" customWidth="1"/>
    <col min="5399" max="5403" width="9.25" style="69" customWidth="1"/>
    <col min="5404" max="5632" width="9" style="69"/>
    <col min="5633" max="5652" width="4.75" style="69" customWidth="1"/>
    <col min="5653" max="5653" width="9.25" style="69" customWidth="1"/>
    <col min="5654" max="5654" width="26.75" style="69" customWidth="1"/>
    <col min="5655" max="5659" width="9.25" style="69" customWidth="1"/>
    <col min="5660" max="5888" width="9" style="69"/>
    <col min="5889" max="5908" width="4.75" style="69" customWidth="1"/>
    <col min="5909" max="5909" width="9.25" style="69" customWidth="1"/>
    <col min="5910" max="5910" width="26.75" style="69" customWidth="1"/>
    <col min="5911" max="5915" width="9.25" style="69" customWidth="1"/>
    <col min="5916" max="6144" width="9" style="69"/>
    <col min="6145" max="6164" width="4.75" style="69" customWidth="1"/>
    <col min="6165" max="6165" width="9.25" style="69" customWidth="1"/>
    <col min="6166" max="6166" width="26.75" style="69" customWidth="1"/>
    <col min="6167" max="6171" width="9.25" style="69" customWidth="1"/>
    <col min="6172" max="6400" width="9" style="69"/>
    <col min="6401" max="6420" width="4.75" style="69" customWidth="1"/>
    <col min="6421" max="6421" width="9.25" style="69" customWidth="1"/>
    <col min="6422" max="6422" width="26.75" style="69" customWidth="1"/>
    <col min="6423" max="6427" width="9.25" style="69" customWidth="1"/>
    <col min="6428" max="6656" width="9" style="69"/>
    <col min="6657" max="6676" width="4.75" style="69" customWidth="1"/>
    <col min="6677" max="6677" width="9.25" style="69" customWidth="1"/>
    <col min="6678" max="6678" width="26.75" style="69" customWidth="1"/>
    <col min="6679" max="6683" width="9.25" style="69" customWidth="1"/>
    <col min="6684" max="6912" width="9" style="69"/>
    <col min="6913" max="6932" width="4.75" style="69" customWidth="1"/>
    <col min="6933" max="6933" width="9.25" style="69" customWidth="1"/>
    <col min="6934" max="6934" width="26.75" style="69" customWidth="1"/>
    <col min="6935" max="6939" width="9.25" style="69" customWidth="1"/>
    <col min="6940" max="7168" width="9" style="69"/>
    <col min="7169" max="7188" width="4.75" style="69" customWidth="1"/>
    <col min="7189" max="7189" width="9.25" style="69" customWidth="1"/>
    <col min="7190" max="7190" width="26.75" style="69" customWidth="1"/>
    <col min="7191" max="7195" width="9.25" style="69" customWidth="1"/>
    <col min="7196" max="7424" width="9" style="69"/>
    <col min="7425" max="7444" width="4.75" style="69" customWidth="1"/>
    <col min="7445" max="7445" width="9.25" style="69" customWidth="1"/>
    <col min="7446" max="7446" width="26.75" style="69" customWidth="1"/>
    <col min="7447" max="7451" width="9.25" style="69" customWidth="1"/>
    <col min="7452" max="7680" width="9" style="69"/>
    <col min="7681" max="7700" width="4.75" style="69" customWidth="1"/>
    <col min="7701" max="7701" width="9.25" style="69" customWidth="1"/>
    <col min="7702" max="7702" width="26.75" style="69" customWidth="1"/>
    <col min="7703" max="7707" width="9.25" style="69" customWidth="1"/>
    <col min="7708" max="7936" width="9" style="69"/>
    <col min="7937" max="7956" width="4.75" style="69" customWidth="1"/>
    <col min="7957" max="7957" width="9.25" style="69" customWidth="1"/>
    <col min="7958" max="7958" width="26.75" style="69" customWidth="1"/>
    <col min="7959" max="7963" width="9.25" style="69" customWidth="1"/>
    <col min="7964" max="8192" width="9" style="69"/>
    <col min="8193" max="8212" width="4.75" style="69" customWidth="1"/>
    <col min="8213" max="8213" width="9.25" style="69" customWidth="1"/>
    <col min="8214" max="8214" width="26.75" style="69" customWidth="1"/>
    <col min="8215" max="8219" width="9.25" style="69" customWidth="1"/>
    <col min="8220" max="8448" width="9" style="69"/>
    <col min="8449" max="8468" width="4.75" style="69" customWidth="1"/>
    <col min="8469" max="8469" width="9.25" style="69" customWidth="1"/>
    <col min="8470" max="8470" width="26.75" style="69" customWidth="1"/>
    <col min="8471" max="8475" width="9.25" style="69" customWidth="1"/>
    <col min="8476" max="8704" width="9" style="69"/>
    <col min="8705" max="8724" width="4.75" style="69" customWidth="1"/>
    <col min="8725" max="8725" width="9.25" style="69" customWidth="1"/>
    <col min="8726" max="8726" width="26.75" style="69" customWidth="1"/>
    <col min="8727" max="8731" width="9.25" style="69" customWidth="1"/>
    <col min="8732" max="8960" width="9" style="69"/>
    <col min="8961" max="8980" width="4.75" style="69" customWidth="1"/>
    <col min="8981" max="8981" width="9.25" style="69" customWidth="1"/>
    <col min="8982" max="8982" width="26.75" style="69" customWidth="1"/>
    <col min="8983" max="8987" width="9.25" style="69" customWidth="1"/>
    <col min="8988" max="9216" width="9" style="69"/>
    <col min="9217" max="9236" width="4.75" style="69" customWidth="1"/>
    <col min="9237" max="9237" width="9.25" style="69" customWidth="1"/>
    <col min="9238" max="9238" width="26.75" style="69" customWidth="1"/>
    <col min="9239" max="9243" width="9.25" style="69" customWidth="1"/>
    <col min="9244" max="9472" width="9" style="69"/>
    <col min="9473" max="9492" width="4.75" style="69" customWidth="1"/>
    <col min="9493" max="9493" width="9.25" style="69" customWidth="1"/>
    <col min="9494" max="9494" width="26.75" style="69" customWidth="1"/>
    <col min="9495" max="9499" width="9.25" style="69" customWidth="1"/>
    <col min="9500" max="9728" width="9" style="69"/>
    <col min="9729" max="9748" width="4.75" style="69" customWidth="1"/>
    <col min="9749" max="9749" width="9.25" style="69" customWidth="1"/>
    <col min="9750" max="9750" width="26.75" style="69" customWidth="1"/>
    <col min="9751" max="9755" width="9.25" style="69" customWidth="1"/>
    <col min="9756" max="9984" width="9" style="69"/>
    <col min="9985" max="10004" width="4.75" style="69" customWidth="1"/>
    <col min="10005" max="10005" width="9.25" style="69" customWidth="1"/>
    <col min="10006" max="10006" width="26.75" style="69" customWidth="1"/>
    <col min="10007" max="10011" width="9.25" style="69" customWidth="1"/>
    <col min="10012" max="10240" width="9" style="69"/>
    <col min="10241" max="10260" width="4.75" style="69" customWidth="1"/>
    <col min="10261" max="10261" width="9.25" style="69" customWidth="1"/>
    <col min="10262" max="10262" width="26.75" style="69" customWidth="1"/>
    <col min="10263" max="10267" width="9.25" style="69" customWidth="1"/>
    <col min="10268" max="10496" width="9" style="69"/>
    <col min="10497" max="10516" width="4.75" style="69" customWidth="1"/>
    <col min="10517" max="10517" width="9.25" style="69" customWidth="1"/>
    <col min="10518" max="10518" width="26.75" style="69" customWidth="1"/>
    <col min="10519" max="10523" width="9.25" style="69" customWidth="1"/>
    <col min="10524" max="10752" width="9" style="69"/>
    <col min="10753" max="10772" width="4.75" style="69" customWidth="1"/>
    <col min="10773" max="10773" width="9.25" style="69" customWidth="1"/>
    <col min="10774" max="10774" width="26.75" style="69" customWidth="1"/>
    <col min="10775" max="10779" width="9.25" style="69" customWidth="1"/>
    <col min="10780" max="11008" width="9" style="69"/>
    <col min="11009" max="11028" width="4.75" style="69" customWidth="1"/>
    <col min="11029" max="11029" width="9.25" style="69" customWidth="1"/>
    <col min="11030" max="11030" width="26.75" style="69" customWidth="1"/>
    <col min="11031" max="11035" width="9.25" style="69" customWidth="1"/>
    <col min="11036" max="11264" width="9" style="69"/>
    <col min="11265" max="11284" width="4.75" style="69" customWidth="1"/>
    <col min="11285" max="11285" width="9.25" style="69" customWidth="1"/>
    <col min="11286" max="11286" width="26.75" style="69" customWidth="1"/>
    <col min="11287" max="11291" width="9.25" style="69" customWidth="1"/>
    <col min="11292" max="11520" width="9" style="69"/>
    <col min="11521" max="11540" width="4.75" style="69" customWidth="1"/>
    <col min="11541" max="11541" width="9.25" style="69" customWidth="1"/>
    <col min="11542" max="11542" width="26.75" style="69" customWidth="1"/>
    <col min="11543" max="11547" width="9.25" style="69" customWidth="1"/>
    <col min="11548" max="11776" width="9" style="69"/>
    <col min="11777" max="11796" width="4.75" style="69" customWidth="1"/>
    <col min="11797" max="11797" width="9.25" style="69" customWidth="1"/>
    <col min="11798" max="11798" width="26.75" style="69" customWidth="1"/>
    <col min="11799" max="11803" width="9.25" style="69" customWidth="1"/>
    <col min="11804" max="12032" width="9" style="69"/>
    <col min="12033" max="12052" width="4.75" style="69" customWidth="1"/>
    <col min="12053" max="12053" width="9.25" style="69" customWidth="1"/>
    <col min="12054" max="12054" width="26.75" style="69" customWidth="1"/>
    <col min="12055" max="12059" width="9.25" style="69" customWidth="1"/>
    <col min="12060" max="12288" width="9" style="69"/>
    <col min="12289" max="12308" width="4.75" style="69" customWidth="1"/>
    <col min="12309" max="12309" width="9.25" style="69" customWidth="1"/>
    <col min="12310" max="12310" width="26.75" style="69" customWidth="1"/>
    <col min="12311" max="12315" width="9.25" style="69" customWidth="1"/>
    <col min="12316" max="12544" width="9" style="69"/>
    <col min="12545" max="12564" width="4.75" style="69" customWidth="1"/>
    <col min="12565" max="12565" width="9.25" style="69" customWidth="1"/>
    <col min="12566" max="12566" width="26.75" style="69" customWidth="1"/>
    <col min="12567" max="12571" width="9.25" style="69" customWidth="1"/>
    <col min="12572" max="12800" width="9" style="69"/>
    <col min="12801" max="12820" width="4.75" style="69" customWidth="1"/>
    <col min="12821" max="12821" width="9.25" style="69" customWidth="1"/>
    <col min="12822" max="12822" width="26.75" style="69" customWidth="1"/>
    <col min="12823" max="12827" width="9.25" style="69" customWidth="1"/>
    <col min="12828" max="13056" width="9" style="69"/>
    <col min="13057" max="13076" width="4.75" style="69" customWidth="1"/>
    <col min="13077" max="13077" width="9.25" style="69" customWidth="1"/>
    <col min="13078" max="13078" width="26.75" style="69" customWidth="1"/>
    <col min="13079" max="13083" width="9.25" style="69" customWidth="1"/>
    <col min="13084" max="13312" width="9" style="69"/>
    <col min="13313" max="13332" width="4.75" style="69" customWidth="1"/>
    <col min="13333" max="13333" width="9.25" style="69" customWidth="1"/>
    <col min="13334" max="13334" width="26.75" style="69" customWidth="1"/>
    <col min="13335" max="13339" width="9.25" style="69" customWidth="1"/>
    <col min="13340" max="13568" width="9" style="69"/>
    <col min="13569" max="13588" width="4.75" style="69" customWidth="1"/>
    <col min="13589" max="13589" width="9.25" style="69" customWidth="1"/>
    <col min="13590" max="13590" width="26.75" style="69" customWidth="1"/>
    <col min="13591" max="13595" width="9.25" style="69" customWidth="1"/>
    <col min="13596" max="13824" width="9" style="69"/>
    <col min="13825" max="13844" width="4.75" style="69" customWidth="1"/>
    <col min="13845" max="13845" width="9.25" style="69" customWidth="1"/>
    <col min="13846" max="13846" width="26.75" style="69" customWidth="1"/>
    <col min="13847" max="13851" width="9.25" style="69" customWidth="1"/>
    <col min="13852" max="14080" width="9" style="69"/>
    <col min="14081" max="14100" width="4.75" style="69" customWidth="1"/>
    <col min="14101" max="14101" width="9.25" style="69" customWidth="1"/>
    <col min="14102" max="14102" width="26.75" style="69" customWidth="1"/>
    <col min="14103" max="14107" width="9.25" style="69" customWidth="1"/>
    <col min="14108" max="14336" width="9" style="69"/>
    <col min="14337" max="14356" width="4.75" style="69" customWidth="1"/>
    <col min="14357" max="14357" width="9.25" style="69" customWidth="1"/>
    <col min="14358" max="14358" width="26.75" style="69" customWidth="1"/>
    <col min="14359" max="14363" width="9.25" style="69" customWidth="1"/>
    <col min="14364" max="14592" width="9" style="69"/>
    <col min="14593" max="14612" width="4.75" style="69" customWidth="1"/>
    <col min="14613" max="14613" width="9.25" style="69" customWidth="1"/>
    <col min="14614" max="14614" width="26.75" style="69" customWidth="1"/>
    <col min="14615" max="14619" width="9.25" style="69" customWidth="1"/>
    <col min="14620" max="14848" width="9" style="69"/>
    <col min="14849" max="14868" width="4.75" style="69" customWidth="1"/>
    <col min="14869" max="14869" width="9.25" style="69" customWidth="1"/>
    <col min="14870" max="14870" width="26.75" style="69" customWidth="1"/>
    <col min="14871" max="14875" width="9.25" style="69" customWidth="1"/>
    <col min="14876" max="15104" width="9" style="69"/>
    <col min="15105" max="15124" width="4.75" style="69" customWidth="1"/>
    <col min="15125" max="15125" width="9.25" style="69" customWidth="1"/>
    <col min="15126" max="15126" width="26.75" style="69" customWidth="1"/>
    <col min="15127" max="15131" width="9.25" style="69" customWidth="1"/>
    <col min="15132" max="15360" width="9" style="69"/>
    <col min="15361" max="15380" width="4.75" style="69" customWidth="1"/>
    <col min="15381" max="15381" width="9.25" style="69" customWidth="1"/>
    <col min="15382" max="15382" width="26.75" style="69" customWidth="1"/>
    <col min="15383" max="15387" width="9.25" style="69" customWidth="1"/>
    <col min="15388" max="15616" width="9" style="69"/>
    <col min="15617" max="15636" width="4.75" style="69" customWidth="1"/>
    <col min="15637" max="15637" width="9.25" style="69" customWidth="1"/>
    <col min="15638" max="15638" width="26.75" style="69" customWidth="1"/>
    <col min="15639" max="15643" width="9.25" style="69" customWidth="1"/>
    <col min="15644" max="15872" width="9" style="69"/>
    <col min="15873" max="15892" width="4.75" style="69" customWidth="1"/>
    <col min="15893" max="15893" width="9.25" style="69" customWidth="1"/>
    <col min="15894" max="15894" width="26.75" style="69" customWidth="1"/>
    <col min="15895" max="15899" width="9.25" style="69" customWidth="1"/>
    <col min="15900" max="16128" width="9" style="69"/>
    <col min="16129" max="16148" width="4.75" style="69" customWidth="1"/>
    <col min="16149" max="16149" width="9.25" style="69" customWidth="1"/>
    <col min="16150" max="16150" width="26.75" style="69" customWidth="1"/>
    <col min="16151" max="16155" width="9.25" style="69" customWidth="1"/>
    <col min="16156" max="16384" width="9" style="69"/>
  </cols>
  <sheetData>
    <row r="1" spans="1:27" s="55" customFormat="1" ht="15" customHeight="1">
      <c r="B1" s="246"/>
      <c r="C1" s="247"/>
      <c r="D1" s="66"/>
      <c r="E1" s="66"/>
      <c r="F1" s="66"/>
      <c r="G1" s="66"/>
      <c r="H1" s="66"/>
      <c r="I1" s="66"/>
      <c r="J1" s="66"/>
      <c r="K1" s="66"/>
      <c r="L1" s="66"/>
      <c r="M1" s="66"/>
      <c r="N1" s="66"/>
      <c r="O1" s="66"/>
      <c r="P1" s="66"/>
      <c r="Q1" s="66"/>
      <c r="R1" s="66"/>
      <c r="S1" s="66"/>
      <c r="T1" s="66"/>
      <c r="V1" s="66" t="s">
        <v>372</v>
      </c>
      <c r="W1" s="66"/>
      <c r="X1" s="66"/>
      <c r="Y1" s="66"/>
      <c r="Z1" s="66"/>
    </row>
    <row r="2" spans="1:27" ht="15" customHeight="1">
      <c r="A2" s="70" t="s">
        <v>718</v>
      </c>
      <c r="B2" s="68"/>
      <c r="C2" s="68"/>
      <c r="D2" s="61"/>
      <c r="E2" s="61"/>
      <c r="F2" s="61"/>
      <c r="G2" s="61"/>
      <c r="H2" s="61"/>
      <c r="I2" s="61"/>
      <c r="J2" s="61"/>
      <c r="K2" s="61"/>
      <c r="L2" s="61"/>
      <c r="M2" s="61"/>
      <c r="N2" s="61"/>
      <c r="O2" s="61"/>
      <c r="P2" s="61"/>
      <c r="Q2" s="206" t="str">
        <f>'SP3-1'!L2</f>
        <v>Spreadsheet release date 14-Apr-2023</v>
      </c>
      <c r="R2" s="61"/>
      <c r="S2" s="61"/>
      <c r="T2" s="61"/>
      <c r="V2" s="207" t="s">
        <v>373</v>
      </c>
      <c r="Y2" s="61"/>
      <c r="Z2" s="61"/>
      <c r="AA2" s="62"/>
    </row>
    <row r="3" spans="1:27" s="62" customFormat="1" ht="15" customHeight="1">
      <c r="A3" s="68" t="s">
        <v>801</v>
      </c>
      <c r="B3" s="68"/>
      <c r="C3" s="68"/>
      <c r="D3" s="61"/>
      <c r="E3" s="61"/>
      <c r="F3" s="61"/>
      <c r="G3" s="61"/>
      <c r="H3" s="61"/>
      <c r="I3" s="61"/>
      <c r="J3" s="61"/>
      <c r="K3" s="61"/>
      <c r="L3" s="61"/>
      <c r="M3" s="61"/>
      <c r="N3" s="61"/>
      <c r="O3" s="61"/>
      <c r="P3" s="61"/>
      <c r="Q3" s="61"/>
      <c r="R3" s="138"/>
      <c r="S3" s="61"/>
      <c r="T3" s="61"/>
      <c r="U3" s="61"/>
      <c r="V3" s="61"/>
      <c r="W3" s="61"/>
      <c r="X3" s="61"/>
      <c r="Y3" s="61"/>
      <c r="Z3" s="61"/>
    </row>
    <row r="4" spans="1:27" s="62" customFormat="1" ht="15" customHeight="1">
      <c r="A4" s="138"/>
      <c r="B4" s="138"/>
      <c r="C4" s="138"/>
      <c r="D4" s="61"/>
      <c r="E4" s="61"/>
      <c r="F4" s="61"/>
      <c r="G4" s="61"/>
      <c r="H4" s="61"/>
      <c r="I4" s="61"/>
      <c r="J4" s="61"/>
      <c r="K4" s="61"/>
      <c r="L4" s="61"/>
      <c r="M4" s="61"/>
      <c r="N4" s="61"/>
      <c r="O4" s="61"/>
      <c r="P4" s="61"/>
      <c r="Q4" s="61"/>
      <c r="R4" s="138"/>
      <c r="S4" s="61"/>
      <c r="T4" s="61"/>
      <c r="U4" s="61"/>
      <c r="V4" s="352"/>
      <c r="W4" s="61"/>
      <c r="X4" s="61"/>
      <c r="Y4" s="61"/>
      <c r="Z4" s="61"/>
    </row>
    <row r="5" spans="1:27" s="62" customFormat="1" ht="3.75" customHeight="1" thickBot="1">
      <c r="A5" s="273"/>
      <c r="B5" s="273"/>
      <c r="C5" s="63"/>
      <c r="D5" s="63"/>
      <c r="E5" s="63"/>
      <c r="F5" s="63"/>
      <c r="G5" s="63"/>
      <c r="H5" s="63"/>
      <c r="I5" s="63"/>
      <c r="J5" s="63"/>
      <c r="K5" s="63"/>
      <c r="L5" s="63"/>
      <c r="M5" s="63"/>
      <c r="N5" s="63"/>
      <c r="O5" s="225"/>
      <c r="P5" s="225"/>
      <c r="Q5" s="63"/>
      <c r="R5" s="63"/>
      <c r="S5" s="63"/>
      <c r="T5" s="63"/>
      <c r="U5" s="61"/>
      <c r="V5" s="61"/>
      <c r="W5" s="61"/>
      <c r="X5" s="61"/>
      <c r="Y5" s="61"/>
      <c r="Z5" s="61"/>
    </row>
    <row r="6" spans="1:27" s="62" customFormat="1" ht="19.5" customHeight="1" thickTop="1" thickBot="1">
      <c r="A6" s="63" t="s">
        <v>420</v>
      </c>
      <c r="B6" s="63"/>
      <c r="C6" s="63"/>
      <c r="D6" s="63"/>
      <c r="E6" s="568" t="s">
        <v>387</v>
      </c>
      <c r="F6" s="568"/>
      <c r="G6" s="569">
        <f>'SP3-1'!I22</f>
        <v>0</v>
      </c>
      <c r="H6" s="570"/>
      <c r="I6" s="63"/>
      <c r="J6" s="63"/>
      <c r="K6" s="63"/>
      <c r="L6" s="63"/>
      <c r="M6" s="63"/>
      <c r="N6" s="63"/>
      <c r="O6" s="63"/>
      <c r="P6" s="63"/>
      <c r="Q6" s="63"/>
      <c r="R6" s="63"/>
      <c r="S6" s="227"/>
      <c r="T6" s="227"/>
      <c r="U6" s="61"/>
      <c r="V6" s="61"/>
      <c r="W6" s="61"/>
      <c r="X6" s="61"/>
      <c r="Y6" s="61"/>
      <c r="Z6" s="61"/>
    </row>
    <row r="7" spans="1:27" s="62" customFormat="1" ht="19.5" customHeight="1" thickTop="1" thickBot="1">
      <c r="A7" s="63" t="s">
        <v>514</v>
      </c>
      <c r="B7" s="63"/>
      <c r="C7" s="63"/>
      <c r="D7" s="63"/>
      <c r="E7" s="568" t="s">
        <v>387</v>
      </c>
      <c r="F7" s="568"/>
      <c r="G7" s="569">
        <f>'SP3-1'!I28</f>
        <v>0</v>
      </c>
      <c r="H7" s="570"/>
      <c r="I7" s="63"/>
      <c r="J7" s="63"/>
      <c r="K7" s="63"/>
      <c r="L7" s="63"/>
      <c r="M7" s="63"/>
      <c r="N7" s="63"/>
      <c r="O7" s="63"/>
      <c r="P7" s="63"/>
      <c r="Q7" s="63"/>
      <c r="R7" s="63"/>
      <c r="S7" s="63"/>
      <c r="T7" s="63"/>
      <c r="U7" s="61"/>
      <c r="V7" s="61"/>
      <c r="W7" s="61"/>
      <c r="X7" s="61"/>
      <c r="Y7" s="61"/>
      <c r="Z7" s="61"/>
    </row>
    <row r="8" spans="1:27" s="62" customFormat="1" ht="15.75" customHeight="1" thickTop="1">
      <c r="A8" s="63"/>
      <c r="B8" s="63"/>
      <c r="C8" s="63"/>
      <c r="D8" s="63"/>
      <c r="E8" s="63"/>
      <c r="F8" s="63"/>
      <c r="G8" s="227"/>
      <c r="H8" s="227"/>
      <c r="I8" s="63"/>
      <c r="J8" s="63"/>
      <c r="K8" s="63"/>
      <c r="L8" s="63"/>
      <c r="M8" s="63"/>
      <c r="N8" s="63"/>
      <c r="O8" s="63"/>
      <c r="P8" s="63"/>
      <c r="Q8" s="63"/>
      <c r="R8" s="63"/>
      <c r="S8" s="227"/>
      <c r="T8" s="227"/>
      <c r="U8" s="61"/>
      <c r="V8" s="61"/>
      <c r="W8" s="61"/>
      <c r="X8" s="61"/>
      <c r="Y8" s="61"/>
      <c r="Z8" s="61"/>
    </row>
    <row r="9" spans="1:27" s="62" customFormat="1" ht="36" customHeight="1">
      <c r="A9" s="274"/>
      <c r="B9" s="275" t="s">
        <v>802</v>
      </c>
      <c r="C9" s="276"/>
      <c r="D9" s="276"/>
      <c r="E9" s="276"/>
      <c r="F9" s="277"/>
      <c r="G9" s="544" t="s">
        <v>448</v>
      </c>
      <c r="H9" s="544"/>
      <c r="I9" s="542" t="s">
        <v>515</v>
      </c>
      <c r="J9" s="542"/>
      <c r="K9" s="542" t="s">
        <v>516</v>
      </c>
      <c r="L9" s="542"/>
      <c r="M9" s="542" t="s">
        <v>517</v>
      </c>
      <c r="N9" s="542"/>
      <c r="O9" s="542" t="s">
        <v>515</v>
      </c>
      <c r="P9" s="542"/>
      <c r="Q9" s="542" t="s">
        <v>516</v>
      </c>
      <c r="R9" s="542"/>
      <c r="S9" s="542" t="s">
        <v>517</v>
      </c>
      <c r="T9" s="542"/>
      <c r="U9" s="61"/>
      <c r="V9" s="61"/>
      <c r="W9" s="61"/>
      <c r="X9" s="61"/>
      <c r="Y9" s="61"/>
      <c r="Z9" s="61"/>
    </row>
    <row r="10" spans="1:27" s="62" customFormat="1" ht="15.75" customHeight="1" thickBot="1">
      <c r="A10" s="274"/>
      <c r="B10" s="278"/>
      <c r="C10" s="278"/>
      <c r="D10" s="278"/>
      <c r="E10" s="278"/>
      <c r="F10" s="279" t="s">
        <v>518</v>
      </c>
      <c r="G10" s="542" t="s">
        <v>803</v>
      </c>
      <c r="H10" s="542"/>
      <c r="I10" s="542"/>
      <c r="J10" s="542"/>
      <c r="K10" s="542"/>
      <c r="L10" s="542"/>
      <c r="M10" s="542"/>
      <c r="N10" s="542"/>
      <c r="O10" s="544" t="s">
        <v>804</v>
      </c>
      <c r="P10" s="544"/>
      <c r="Q10" s="544"/>
      <c r="R10" s="544"/>
      <c r="S10" s="544"/>
      <c r="T10" s="544"/>
      <c r="U10" s="61"/>
      <c r="V10" s="61"/>
      <c r="W10" s="61"/>
      <c r="X10" s="61"/>
      <c r="Y10" s="61"/>
      <c r="Z10" s="61"/>
    </row>
    <row r="11" spans="1:27" s="62" customFormat="1" ht="19.5" customHeight="1" thickTop="1" thickBot="1">
      <c r="A11" s="574" t="s">
        <v>283</v>
      </c>
      <c r="B11" s="574"/>
      <c r="C11" s="574"/>
      <c r="D11" s="574"/>
      <c r="E11" s="574"/>
      <c r="F11" s="574"/>
      <c r="G11" s="575"/>
      <c r="H11" s="575"/>
      <c r="I11" s="575"/>
      <c r="J11" s="575"/>
      <c r="K11" s="575"/>
      <c r="L11" s="575"/>
      <c r="M11" s="575"/>
      <c r="N11" s="575"/>
      <c r="O11" s="571">
        <f>I11-G11</f>
        <v>0</v>
      </c>
      <c r="P11" s="571"/>
      <c r="Q11" s="571">
        <f>K11-G11</f>
        <v>0</v>
      </c>
      <c r="R11" s="571"/>
      <c r="S11" s="571">
        <f>M11-G11</f>
        <v>0</v>
      </c>
      <c r="T11" s="571"/>
      <c r="U11" s="61"/>
      <c r="V11" s="572" t="s">
        <v>805</v>
      </c>
      <c r="W11" s="573"/>
      <c r="X11" s="573"/>
      <c r="Y11" s="573"/>
      <c r="Z11" s="573"/>
    </row>
    <row r="12" spans="1:27" s="62" customFormat="1" ht="19.5" customHeight="1" thickTop="1" thickBot="1">
      <c r="A12" s="574" t="s">
        <v>806</v>
      </c>
      <c r="B12" s="574"/>
      <c r="C12" s="574"/>
      <c r="D12" s="574"/>
      <c r="E12" s="574"/>
      <c r="F12" s="574"/>
      <c r="G12" s="575"/>
      <c r="H12" s="575"/>
      <c r="I12" s="575"/>
      <c r="J12" s="575"/>
      <c r="K12" s="575"/>
      <c r="L12" s="575"/>
      <c r="M12" s="575"/>
      <c r="N12" s="575"/>
      <c r="O12" s="571">
        <f>I12-G12</f>
        <v>0</v>
      </c>
      <c r="P12" s="571"/>
      <c r="Q12" s="571">
        <f>K12-G12</f>
        <v>0</v>
      </c>
      <c r="R12" s="571"/>
      <c r="S12" s="571">
        <f>M12-G12</f>
        <v>0</v>
      </c>
      <c r="T12" s="571"/>
      <c r="U12" s="61"/>
      <c r="V12" s="573"/>
      <c r="W12" s="573"/>
      <c r="X12" s="573"/>
      <c r="Y12" s="573"/>
      <c r="Z12" s="573"/>
    </row>
    <row r="13" spans="1:27" s="62" customFormat="1" ht="19.5" customHeight="1" thickTop="1" thickBot="1">
      <c r="A13" s="574" t="s">
        <v>288</v>
      </c>
      <c r="B13" s="574"/>
      <c r="C13" s="574"/>
      <c r="D13" s="574"/>
      <c r="E13" s="574"/>
      <c r="F13" s="574"/>
      <c r="G13" s="575"/>
      <c r="H13" s="575"/>
      <c r="I13" s="575"/>
      <c r="J13" s="575"/>
      <c r="K13" s="575"/>
      <c r="L13" s="575"/>
      <c r="M13" s="575"/>
      <c r="N13" s="575"/>
      <c r="O13" s="571">
        <f>I13-G13</f>
        <v>0</v>
      </c>
      <c r="P13" s="571"/>
      <c r="Q13" s="571">
        <f>K13-G13</f>
        <v>0</v>
      </c>
      <c r="R13" s="571"/>
      <c r="S13" s="571">
        <f>M13-G13</f>
        <v>0</v>
      </c>
      <c r="T13" s="571"/>
      <c r="U13" s="61"/>
      <c r="V13" s="573"/>
      <c r="W13" s="573"/>
      <c r="X13" s="573"/>
      <c r="Y13" s="573"/>
      <c r="Z13" s="573"/>
    </row>
    <row r="14" spans="1:27" s="62" customFormat="1" ht="19.5" customHeight="1" thickTop="1">
      <c r="A14" s="580" t="s">
        <v>807</v>
      </c>
      <c r="B14" s="580"/>
      <c r="C14" s="580"/>
      <c r="D14" s="580"/>
      <c r="E14" s="580"/>
      <c r="F14" s="580"/>
      <c r="G14" s="571">
        <f>SUM(G11:G13)</f>
        <v>0</v>
      </c>
      <c r="H14" s="571"/>
      <c r="I14" s="571">
        <f>SUM(I11:I13)</f>
        <v>0</v>
      </c>
      <c r="J14" s="571"/>
      <c r="K14" s="571">
        <f>SUM(K11:K13)</f>
        <v>0</v>
      </c>
      <c r="L14" s="571"/>
      <c r="M14" s="571">
        <f>SUM(M11:M13)</f>
        <v>0</v>
      </c>
      <c r="N14" s="571"/>
      <c r="O14" s="571">
        <f>SUM(O11:O13)</f>
        <v>0</v>
      </c>
      <c r="P14" s="571"/>
      <c r="Q14" s="571">
        <f>SUM(Q11:Q13)</f>
        <v>0</v>
      </c>
      <c r="R14" s="571"/>
      <c r="S14" s="571">
        <f>SUM(S11:S13)</f>
        <v>0</v>
      </c>
      <c r="T14" s="571"/>
      <c r="U14" s="61"/>
      <c r="V14" s="61"/>
      <c r="W14" s="61"/>
      <c r="X14" s="61"/>
      <c r="Y14" s="61"/>
      <c r="Z14" s="61"/>
    </row>
    <row r="15" spans="1:27" s="62" customFormat="1" ht="19.5" customHeight="1">
      <c r="A15" s="576" t="s">
        <v>262</v>
      </c>
      <c r="B15" s="577"/>
      <c r="C15" s="577"/>
      <c r="D15" s="577"/>
      <c r="E15" s="577"/>
      <c r="F15" s="578"/>
      <c r="G15" s="542" t="s">
        <v>808</v>
      </c>
      <c r="H15" s="542"/>
      <c r="I15" s="542"/>
      <c r="J15" s="542"/>
      <c r="K15" s="542"/>
      <c r="L15" s="542"/>
      <c r="M15" s="542"/>
      <c r="N15" s="542"/>
      <c r="O15" s="579" t="s">
        <v>809</v>
      </c>
      <c r="P15" s="579"/>
      <c r="Q15" s="579"/>
      <c r="R15" s="579"/>
      <c r="S15" s="579"/>
      <c r="T15" s="579"/>
      <c r="U15" s="61"/>
      <c r="V15" s="61"/>
      <c r="W15" s="61"/>
      <c r="X15" s="61"/>
      <c r="Y15" s="61"/>
      <c r="Z15" s="61"/>
    </row>
    <row r="16" spans="1:27" s="62" customFormat="1" ht="19.5" customHeight="1">
      <c r="A16" s="574" t="s">
        <v>810</v>
      </c>
      <c r="B16" s="574"/>
      <c r="C16" s="574"/>
      <c r="D16" s="574"/>
      <c r="E16" s="574"/>
      <c r="F16" s="574"/>
      <c r="G16" s="575"/>
      <c r="H16" s="575"/>
      <c r="I16" s="575"/>
      <c r="J16" s="575"/>
      <c r="K16" s="575"/>
      <c r="L16" s="575"/>
      <c r="M16" s="575"/>
      <c r="N16" s="575"/>
      <c r="O16" s="571">
        <f>I16-G16</f>
        <v>0</v>
      </c>
      <c r="P16" s="571"/>
      <c r="Q16" s="571">
        <f>K16-G16</f>
        <v>0</v>
      </c>
      <c r="R16" s="571"/>
      <c r="S16" s="571">
        <f>M16-G16</f>
        <v>0</v>
      </c>
      <c r="T16" s="571"/>
      <c r="U16" s="61"/>
      <c r="V16" s="61"/>
      <c r="W16" s="61"/>
      <c r="X16" s="61"/>
      <c r="Y16" s="61"/>
      <c r="Z16" s="61"/>
    </row>
    <row r="17" spans="1:26" s="62" customFormat="1" ht="19.5" customHeight="1">
      <c r="A17" s="574" t="s">
        <v>811</v>
      </c>
      <c r="B17" s="574"/>
      <c r="C17" s="574"/>
      <c r="D17" s="574"/>
      <c r="E17" s="574"/>
      <c r="F17" s="574"/>
      <c r="G17" s="575"/>
      <c r="H17" s="575"/>
      <c r="I17" s="575"/>
      <c r="J17" s="575"/>
      <c r="K17" s="575"/>
      <c r="L17" s="575"/>
      <c r="M17" s="575"/>
      <c r="N17" s="575"/>
      <c r="O17" s="571">
        <f>I17-G17</f>
        <v>0</v>
      </c>
      <c r="P17" s="571"/>
      <c r="Q17" s="571">
        <f>K17-G17</f>
        <v>0</v>
      </c>
      <c r="R17" s="571"/>
      <c r="S17" s="571">
        <f>M17-G17</f>
        <v>0</v>
      </c>
      <c r="T17" s="571"/>
      <c r="U17" s="61"/>
      <c r="V17" s="61"/>
      <c r="W17" s="61"/>
      <c r="X17" s="61"/>
      <c r="Y17" s="61"/>
      <c r="Z17" s="61"/>
    </row>
    <row r="18" spans="1:26" s="62" customFormat="1" ht="19.5" customHeight="1">
      <c r="A18" s="580" t="s">
        <v>807</v>
      </c>
      <c r="B18" s="580"/>
      <c r="C18" s="580"/>
      <c r="D18" s="580"/>
      <c r="E18" s="580"/>
      <c r="F18" s="580"/>
      <c r="G18" s="571">
        <f>SUM(G16:G17)</f>
        <v>0</v>
      </c>
      <c r="H18" s="571"/>
      <c r="I18" s="571">
        <f>SUM(I16:I17)</f>
        <v>0</v>
      </c>
      <c r="J18" s="571"/>
      <c r="K18" s="571">
        <f>SUM(K16:K17)</f>
        <v>0</v>
      </c>
      <c r="L18" s="571"/>
      <c r="M18" s="571">
        <f>SUM(M16:M17)</f>
        <v>0</v>
      </c>
      <c r="N18" s="571"/>
      <c r="O18" s="571">
        <f>SUM(O16:O17)</f>
        <v>0</v>
      </c>
      <c r="P18" s="571"/>
      <c r="Q18" s="571">
        <f>SUM(Q16:Q17)</f>
        <v>0</v>
      </c>
      <c r="R18" s="571"/>
      <c r="S18" s="571">
        <f>SUM(S16:S17)</f>
        <v>0</v>
      </c>
      <c r="T18" s="571"/>
      <c r="U18" s="61"/>
      <c r="V18" s="61"/>
      <c r="W18" s="61"/>
      <c r="X18" s="61"/>
      <c r="Y18" s="61"/>
      <c r="Z18" s="61"/>
    </row>
    <row r="19" spans="1:26" s="62" customFormat="1" ht="19.5" customHeight="1">
      <c r="A19" s="583" t="s">
        <v>802</v>
      </c>
      <c r="B19" s="583"/>
      <c r="C19" s="583"/>
      <c r="D19" s="583"/>
      <c r="E19" s="583"/>
      <c r="F19" s="583"/>
      <c r="G19" s="583"/>
      <c r="H19" s="583"/>
      <c r="I19" s="583"/>
      <c r="J19" s="583"/>
      <c r="K19" s="583"/>
      <c r="L19" s="583"/>
      <c r="M19" s="583"/>
      <c r="N19" s="583"/>
      <c r="O19" s="581" t="str">
        <f>IF(O18=0,"",O14/O18)</f>
        <v/>
      </c>
      <c r="P19" s="581"/>
      <c r="Q19" s="581" t="str">
        <f>IF(Q18=0,"",Q14/Q18)</f>
        <v/>
      </c>
      <c r="R19" s="581"/>
      <c r="S19" s="581" t="str">
        <f>IF(S18=0,"",S14/S18)</f>
        <v/>
      </c>
      <c r="T19" s="581"/>
      <c r="U19" s="61"/>
      <c r="V19" s="61"/>
      <c r="W19" s="61"/>
      <c r="X19" s="61"/>
      <c r="Y19" s="61"/>
      <c r="Z19" s="61"/>
    </row>
    <row r="20" spans="1:26" s="62" customFormat="1" ht="9.75" customHeight="1">
      <c r="A20" s="280"/>
      <c r="B20" s="280"/>
      <c r="C20" s="280"/>
      <c r="D20" s="280"/>
      <c r="E20" s="281"/>
      <c r="F20" s="281"/>
      <c r="G20" s="281"/>
      <c r="H20" s="281"/>
      <c r="I20" s="281"/>
      <c r="J20" s="281"/>
      <c r="K20" s="281"/>
      <c r="L20" s="281"/>
      <c r="M20" s="281"/>
      <c r="N20" s="281"/>
      <c r="O20" s="280"/>
      <c r="P20" s="280"/>
      <c r="Q20" s="281"/>
      <c r="R20" s="281"/>
      <c r="S20" s="282"/>
      <c r="T20" s="282"/>
      <c r="U20" s="61"/>
      <c r="V20" s="61"/>
      <c r="W20" s="61"/>
      <c r="X20" s="61"/>
      <c r="Y20" s="61"/>
      <c r="Z20" s="61"/>
    </row>
    <row r="21" spans="1:26" s="62" customFormat="1" ht="19.5" customHeight="1">
      <c r="A21" s="280" t="s">
        <v>519</v>
      </c>
      <c r="B21" s="283"/>
      <c r="C21" s="280"/>
      <c r="D21" s="280"/>
      <c r="E21" s="280"/>
      <c r="F21" s="280"/>
      <c r="G21" s="280"/>
      <c r="H21" s="280"/>
      <c r="I21" s="281"/>
      <c r="J21" s="281"/>
      <c r="K21" s="281"/>
      <c r="L21" s="582"/>
      <c r="M21" s="582"/>
      <c r="N21" s="582"/>
      <c r="O21" s="281"/>
      <c r="P21" s="281"/>
      <c r="Q21" s="281"/>
      <c r="R21" s="281"/>
      <c r="S21" s="281"/>
      <c r="T21" s="281"/>
      <c r="U21" s="61"/>
      <c r="V21" s="454" t="s">
        <v>520</v>
      </c>
      <c r="W21" s="454"/>
      <c r="X21" s="454"/>
      <c r="Y21" s="454"/>
      <c r="Z21" s="454"/>
    </row>
    <row r="22" spans="1:26" s="62" customFormat="1" ht="3.75" customHeight="1">
      <c r="A22" s="280"/>
      <c r="B22" s="280"/>
      <c r="C22" s="280"/>
      <c r="D22" s="280"/>
      <c r="E22" s="281"/>
      <c r="F22" s="281"/>
      <c r="G22" s="281"/>
      <c r="H22" s="281"/>
      <c r="I22" s="281"/>
      <c r="J22" s="281"/>
      <c r="K22" s="281"/>
      <c r="L22" s="281"/>
      <c r="M22" s="281"/>
      <c r="N22" s="281"/>
      <c r="O22" s="280"/>
      <c r="P22" s="280"/>
      <c r="Q22" s="280"/>
      <c r="R22" s="280"/>
      <c r="S22" s="280"/>
      <c r="T22" s="280"/>
      <c r="U22" s="61"/>
      <c r="V22" s="61"/>
      <c r="W22" s="61"/>
      <c r="X22" s="61"/>
      <c r="Y22" s="61"/>
      <c r="Z22" s="61"/>
    </row>
    <row r="23" spans="1:26" s="62" customFormat="1" ht="15.75" customHeight="1">
      <c r="A23" s="72"/>
      <c r="B23" s="72"/>
      <c r="C23" s="72"/>
      <c r="D23" s="72"/>
      <c r="E23" s="72"/>
      <c r="F23" s="72"/>
      <c r="G23" s="72"/>
      <c r="H23" s="72"/>
      <c r="I23" s="72"/>
      <c r="J23" s="72"/>
      <c r="K23" s="73"/>
      <c r="L23" s="73"/>
      <c r="M23" s="72"/>
      <c r="N23" s="72"/>
      <c r="O23" s="72"/>
      <c r="P23" s="72"/>
      <c r="Q23" s="72"/>
      <c r="R23" s="72"/>
      <c r="S23" s="72"/>
      <c r="T23" s="72"/>
      <c r="U23" s="61"/>
      <c r="V23" s="61"/>
      <c r="W23" s="61"/>
      <c r="X23" s="61"/>
      <c r="Y23" s="61"/>
      <c r="Z23" s="61"/>
    </row>
    <row r="24" spans="1:26" s="62" customFormat="1" ht="19.5" customHeight="1">
      <c r="A24" s="542" t="s">
        <v>521</v>
      </c>
      <c r="B24" s="542"/>
      <c r="C24" s="542"/>
      <c r="D24" s="542"/>
      <c r="E24" s="542"/>
      <c r="F24" s="542"/>
      <c r="G24" s="542"/>
      <c r="H24" s="542" t="s">
        <v>522</v>
      </c>
      <c r="I24" s="542"/>
      <c r="J24" s="542"/>
      <c r="K24" s="542"/>
      <c r="L24" s="542"/>
      <c r="M24" s="542"/>
      <c r="N24" s="542"/>
      <c r="O24" s="542" t="s">
        <v>523</v>
      </c>
      <c r="P24" s="542"/>
      <c r="Q24" s="542"/>
      <c r="R24" s="542"/>
      <c r="S24" s="542"/>
      <c r="T24" s="542"/>
      <c r="U24" s="61"/>
      <c r="V24" s="584" t="s">
        <v>524</v>
      </c>
      <c r="W24" s="584"/>
      <c r="X24" s="584"/>
      <c r="Y24" s="584"/>
      <c r="Z24" s="584"/>
    </row>
    <row r="25" spans="1:26" s="62" customFormat="1" ht="54" customHeight="1">
      <c r="A25" s="586" t="s">
        <v>449</v>
      </c>
      <c r="B25" s="586"/>
      <c r="C25" s="586"/>
      <c r="D25" s="586" t="s">
        <v>525</v>
      </c>
      <c r="E25" s="587"/>
      <c r="F25" s="586" t="s">
        <v>526</v>
      </c>
      <c r="G25" s="587"/>
      <c r="H25" s="586" t="s">
        <v>449</v>
      </c>
      <c r="I25" s="587"/>
      <c r="J25" s="587"/>
      <c r="K25" s="586" t="s">
        <v>527</v>
      </c>
      <c r="L25" s="587"/>
      <c r="M25" s="586" t="s">
        <v>528</v>
      </c>
      <c r="N25" s="587"/>
      <c r="O25" s="586" t="s">
        <v>529</v>
      </c>
      <c r="P25" s="587"/>
      <c r="Q25" s="586" t="s">
        <v>530</v>
      </c>
      <c r="R25" s="587"/>
      <c r="S25" s="588" t="s">
        <v>812</v>
      </c>
      <c r="T25" s="587"/>
      <c r="U25" s="61"/>
      <c r="V25" s="585"/>
      <c r="W25" s="585"/>
      <c r="X25" s="585"/>
      <c r="Y25" s="585"/>
      <c r="Z25" s="585"/>
    </row>
    <row r="26" spans="1:26" s="62" customFormat="1" ht="19.5" customHeight="1">
      <c r="A26" s="589"/>
      <c r="B26" s="589"/>
      <c r="C26" s="589"/>
      <c r="D26" s="575"/>
      <c r="E26" s="575"/>
      <c r="F26" s="575"/>
      <c r="G26" s="575"/>
      <c r="H26" s="589"/>
      <c r="I26" s="589"/>
      <c r="J26" s="589"/>
      <c r="K26" s="575"/>
      <c r="L26" s="575"/>
      <c r="M26" s="575"/>
      <c r="N26" s="575"/>
      <c r="O26" s="590">
        <f>K26-D26</f>
        <v>0</v>
      </c>
      <c r="P26" s="590"/>
      <c r="Q26" s="590">
        <f>M26-F26</f>
        <v>0</v>
      </c>
      <c r="R26" s="590"/>
      <c r="S26" s="555" t="str">
        <f>IF(O26=0,"",Q26/O26)</f>
        <v/>
      </c>
      <c r="T26" s="555"/>
      <c r="U26" s="61"/>
      <c r="V26" s="585"/>
      <c r="W26" s="585"/>
      <c r="X26" s="585"/>
      <c r="Y26" s="585"/>
      <c r="Z26" s="585"/>
    </row>
    <row r="27" spans="1:26" s="62" customFormat="1" ht="19.5" customHeight="1">
      <c r="A27" s="589"/>
      <c r="B27" s="589"/>
      <c r="C27" s="589"/>
      <c r="D27" s="575"/>
      <c r="E27" s="575"/>
      <c r="F27" s="575"/>
      <c r="G27" s="575"/>
      <c r="H27" s="589"/>
      <c r="I27" s="589"/>
      <c r="J27" s="589"/>
      <c r="K27" s="575"/>
      <c r="L27" s="575"/>
      <c r="M27" s="575"/>
      <c r="N27" s="575"/>
      <c r="O27" s="590">
        <f>K27-D27</f>
        <v>0</v>
      </c>
      <c r="P27" s="590"/>
      <c r="Q27" s="590">
        <f>M27-F27</f>
        <v>0</v>
      </c>
      <c r="R27" s="590"/>
      <c r="S27" s="555" t="str">
        <f>IF(O27=0,"",Q27/O27)</f>
        <v/>
      </c>
      <c r="T27" s="555"/>
      <c r="U27" s="61"/>
      <c r="V27" s="585"/>
      <c r="W27" s="585"/>
      <c r="X27" s="585"/>
      <c r="Y27" s="585"/>
      <c r="Z27" s="585"/>
    </row>
    <row r="28" spans="1:26" s="62" customFormat="1" ht="19.5" customHeight="1">
      <c r="A28" s="589"/>
      <c r="B28" s="589"/>
      <c r="C28" s="589"/>
      <c r="D28" s="575"/>
      <c r="E28" s="575"/>
      <c r="F28" s="575"/>
      <c r="G28" s="575"/>
      <c r="H28" s="589"/>
      <c r="I28" s="589"/>
      <c r="J28" s="589"/>
      <c r="K28" s="575"/>
      <c r="L28" s="575"/>
      <c r="M28" s="575"/>
      <c r="N28" s="575"/>
      <c r="O28" s="590">
        <f>K28-D28</f>
        <v>0</v>
      </c>
      <c r="P28" s="590"/>
      <c r="Q28" s="590">
        <f>M28-F28</f>
        <v>0</v>
      </c>
      <c r="R28" s="590"/>
      <c r="S28" s="555" t="str">
        <f>IF(O28=0,"",Q28/O28)</f>
        <v/>
      </c>
      <c r="T28" s="555"/>
      <c r="U28" s="61"/>
      <c r="V28" s="585"/>
      <c r="W28" s="585"/>
      <c r="X28" s="585"/>
      <c r="Y28" s="585"/>
      <c r="Z28" s="585"/>
    </row>
    <row r="29" spans="1:26" s="62" customFormat="1" ht="19.5" customHeight="1">
      <c r="A29" s="589"/>
      <c r="B29" s="589"/>
      <c r="C29" s="589"/>
      <c r="D29" s="575"/>
      <c r="E29" s="575"/>
      <c r="F29" s="575"/>
      <c r="G29" s="575"/>
      <c r="H29" s="589"/>
      <c r="I29" s="589"/>
      <c r="J29" s="589"/>
      <c r="K29" s="575"/>
      <c r="L29" s="575"/>
      <c r="M29" s="575"/>
      <c r="N29" s="575"/>
      <c r="O29" s="590">
        <f>K29-D29</f>
        <v>0</v>
      </c>
      <c r="P29" s="590"/>
      <c r="Q29" s="590">
        <f>M29-F29</f>
        <v>0</v>
      </c>
      <c r="R29" s="590"/>
      <c r="S29" s="555" t="str">
        <f>IF(O29=0,"",Q29/O29)</f>
        <v/>
      </c>
      <c r="T29" s="555"/>
      <c r="U29" s="61"/>
      <c r="V29" s="585"/>
      <c r="W29" s="585"/>
      <c r="X29" s="585"/>
      <c r="Y29" s="585"/>
      <c r="Z29" s="585"/>
    </row>
    <row r="30" spans="1:26" s="62" customFormat="1" ht="15.75" customHeight="1">
      <c r="A30" s="72"/>
      <c r="B30" s="72"/>
      <c r="C30" s="72"/>
      <c r="D30" s="72"/>
      <c r="E30" s="72"/>
      <c r="F30" s="72"/>
      <c r="G30" s="72"/>
      <c r="H30" s="72"/>
      <c r="I30" s="138"/>
      <c r="J30" s="138"/>
      <c r="K30" s="138"/>
      <c r="L30" s="138"/>
      <c r="M30" s="72"/>
      <c r="N30" s="72"/>
      <c r="O30" s="284"/>
      <c r="P30" s="284"/>
      <c r="Q30" s="591"/>
      <c r="R30" s="591"/>
      <c r="S30" s="72"/>
      <c r="T30" s="72"/>
      <c r="U30" s="61"/>
      <c r="V30" s="585"/>
      <c r="W30" s="585"/>
      <c r="X30" s="585"/>
      <c r="Y30" s="585"/>
      <c r="Z30" s="585"/>
    </row>
    <row r="31" spans="1:26" s="62" customFormat="1" ht="13.5" customHeight="1">
      <c r="A31" s="72"/>
      <c r="B31" s="72"/>
      <c r="C31" s="72"/>
      <c r="D31" s="72"/>
      <c r="E31" s="72"/>
      <c r="F31" s="72"/>
      <c r="G31" s="72"/>
      <c r="H31" s="72"/>
      <c r="I31" s="72"/>
      <c r="J31" s="72"/>
      <c r="K31" s="72"/>
      <c r="L31" s="72"/>
      <c r="M31" s="72"/>
      <c r="N31" s="72"/>
      <c r="O31" s="72"/>
      <c r="P31" s="72"/>
      <c r="Q31" s="72"/>
      <c r="R31" s="72"/>
      <c r="S31" s="72"/>
      <c r="T31" s="72"/>
      <c r="U31" s="61"/>
      <c r="V31" s="61"/>
      <c r="W31" s="61"/>
      <c r="X31" s="61"/>
      <c r="Y31" s="61"/>
      <c r="Z31" s="61"/>
    </row>
    <row r="32" spans="1:26" s="62" customFormat="1" ht="13.5" customHeight="1">
      <c r="A32" s="72"/>
      <c r="B32" s="72"/>
      <c r="C32" s="72"/>
      <c r="D32" s="72"/>
      <c r="E32" s="72"/>
      <c r="F32" s="72"/>
      <c r="G32" s="72"/>
      <c r="H32" s="72"/>
      <c r="I32" s="72"/>
      <c r="J32" s="72"/>
      <c r="K32" s="72"/>
      <c r="L32" s="72"/>
      <c r="M32" s="72"/>
      <c r="N32" s="72"/>
      <c r="O32" s="72"/>
      <c r="P32" s="72"/>
      <c r="Q32" s="72"/>
      <c r="R32" s="72"/>
      <c r="S32" s="72"/>
      <c r="T32" s="72"/>
      <c r="U32" s="61"/>
      <c r="V32" s="61"/>
      <c r="W32" s="61"/>
      <c r="X32" s="61"/>
      <c r="Y32" s="61"/>
      <c r="Z32" s="61"/>
    </row>
    <row r="33" spans="1:26" s="62" customFormat="1" ht="13.5" customHeight="1">
      <c r="A33" s="72"/>
      <c r="B33" s="72"/>
      <c r="C33" s="72"/>
      <c r="D33" s="72"/>
      <c r="E33" s="72"/>
      <c r="F33" s="72"/>
      <c r="G33" s="72"/>
      <c r="H33" s="72"/>
      <c r="I33" s="72"/>
      <c r="J33" s="72"/>
      <c r="K33" s="72"/>
      <c r="L33" s="72"/>
      <c r="M33" s="72"/>
      <c r="N33" s="72"/>
      <c r="O33" s="72"/>
      <c r="P33" s="72"/>
      <c r="Q33" s="72"/>
      <c r="R33" s="72"/>
      <c r="S33" s="72"/>
      <c r="T33" s="72"/>
      <c r="U33" s="61"/>
      <c r="V33" s="61"/>
      <c r="W33" s="61"/>
      <c r="X33" s="61"/>
      <c r="Y33" s="61"/>
      <c r="Z33" s="61"/>
    </row>
    <row r="34" spans="1:26" s="62" customFormat="1" ht="13.5" customHeight="1">
      <c r="A34" s="72"/>
      <c r="B34" s="72"/>
      <c r="C34" s="72"/>
      <c r="D34" s="72"/>
      <c r="E34" s="72"/>
      <c r="F34" s="72"/>
      <c r="G34" s="72"/>
      <c r="H34" s="72"/>
      <c r="I34" s="72"/>
      <c r="J34" s="72"/>
      <c r="K34" s="72"/>
      <c r="L34" s="72"/>
      <c r="M34" s="72"/>
      <c r="N34" s="72"/>
      <c r="O34" s="72"/>
      <c r="P34" s="72"/>
      <c r="Q34" s="72"/>
      <c r="R34" s="72"/>
      <c r="S34" s="72"/>
      <c r="T34" s="72"/>
      <c r="U34" s="61"/>
      <c r="V34" s="61"/>
      <c r="W34" s="61"/>
      <c r="X34" s="61"/>
      <c r="Y34" s="61"/>
      <c r="Z34" s="61"/>
    </row>
    <row r="35" spans="1:26" s="62" customFormat="1" ht="13.5" customHeight="1">
      <c r="A35" s="72"/>
      <c r="B35" s="72"/>
      <c r="C35" s="72"/>
      <c r="D35" s="72"/>
      <c r="E35" s="72"/>
      <c r="F35" s="72"/>
      <c r="G35" s="72"/>
      <c r="H35" s="72"/>
      <c r="I35" s="72"/>
      <c r="J35" s="72"/>
      <c r="K35" s="72"/>
      <c r="L35" s="72"/>
      <c r="M35" s="72"/>
      <c r="N35" s="72"/>
      <c r="O35" s="72"/>
      <c r="P35" s="72"/>
      <c r="Q35" s="72"/>
      <c r="R35" s="72"/>
      <c r="S35" s="72"/>
      <c r="T35" s="72"/>
      <c r="U35" s="61"/>
      <c r="V35" s="61"/>
      <c r="W35" s="61"/>
      <c r="X35" s="61"/>
      <c r="Y35" s="61"/>
      <c r="Z35" s="61"/>
    </row>
    <row r="36" spans="1:26" s="62" customFormat="1" ht="13.5" customHeight="1">
      <c r="A36" s="72"/>
      <c r="B36" s="72"/>
      <c r="C36" s="72"/>
      <c r="D36" s="72"/>
      <c r="E36" s="72"/>
      <c r="F36" s="72"/>
      <c r="G36" s="72"/>
      <c r="H36" s="72"/>
      <c r="I36" s="72"/>
      <c r="J36" s="72"/>
      <c r="K36" s="72"/>
      <c r="L36" s="72"/>
      <c r="M36" s="72"/>
      <c r="N36" s="72"/>
      <c r="O36" s="72"/>
      <c r="P36" s="72"/>
      <c r="Q36" s="72"/>
      <c r="R36" s="72"/>
      <c r="S36" s="72"/>
      <c r="T36" s="72"/>
      <c r="U36" s="61"/>
      <c r="V36" s="61"/>
      <c r="W36" s="61"/>
      <c r="X36" s="61"/>
      <c r="Y36" s="61"/>
      <c r="Z36" s="61"/>
    </row>
    <row r="37" spans="1:26" s="62" customFormat="1" ht="13.5" customHeight="1">
      <c r="A37" s="72"/>
      <c r="B37" s="72"/>
      <c r="C37" s="72"/>
      <c r="D37" s="72"/>
      <c r="E37" s="72"/>
      <c r="F37" s="72"/>
      <c r="G37" s="72"/>
      <c r="H37" s="72"/>
      <c r="I37" s="72"/>
      <c r="J37" s="72"/>
      <c r="K37" s="72"/>
      <c r="L37" s="72"/>
      <c r="M37" s="72"/>
      <c r="N37" s="72"/>
      <c r="O37" s="72"/>
      <c r="P37" s="72"/>
      <c r="Q37" s="72"/>
      <c r="R37" s="72"/>
      <c r="S37" s="72"/>
      <c r="T37" s="72"/>
      <c r="U37" s="61"/>
      <c r="V37" s="61"/>
      <c r="W37" s="61"/>
      <c r="X37" s="61"/>
      <c r="Y37" s="61"/>
      <c r="Z37" s="61"/>
    </row>
    <row r="38" spans="1:26" s="62" customFormat="1" ht="13.5" customHeight="1">
      <c r="A38" s="72"/>
      <c r="B38" s="72"/>
      <c r="C38" s="72"/>
      <c r="D38" s="72"/>
      <c r="E38" s="72"/>
      <c r="F38" s="72"/>
      <c r="G38" s="72"/>
      <c r="H38" s="72"/>
      <c r="I38" s="72"/>
      <c r="J38" s="72"/>
      <c r="K38" s="72"/>
      <c r="L38" s="72"/>
      <c r="M38" s="72"/>
      <c r="N38" s="72"/>
      <c r="O38" s="72"/>
      <c r="P38" s="72"/>
      <c r="Q38" s="72"/>
      <c r="R38" s="72"/>
      <c r="S38" s="72"/>
      <c r="T38" s="72"/>
      <c r="U38" s="61"/>
      <c r="V38" s="61"/>
      <c r="W38" s="61"/>
      <c r="X38" s="61"/>
      <c r="Y38" s="61"/>
      <c r="Z38" s="61"/>
    </row>
    <row r="39" spans="1:26" s="62" customFormat="1" ht="13.5" customHeight="1">
      <c r="A39" s="72"/>
      <c r="B39" s="72"/>
      <c r="C39" s="72"/>
      <c r="D39" s="72"/>
      <c r="E39" s="72"/>
      <c r="F39" s="72"/>
      <c r="G39" s="72"/>
      <c r="H39" s="72"/>
      <c r="I39" s="72"/>
      <c r="J39" s="72"/>
      <c r="K39" s="72"/>
      <c r="L39" s="72"/>
      <c r="M39" s="72"/>
      <c r="N39" s="72"/>
      <c r="O39" s="72"/>
      <c r="P39" s="72"/>
      <c r="Q39" s="72"/>
      <c r="R39" s="72"/>
      <c r="S39" s="72"/>
      <c r="T39" s="72"/>
      <c r="U39" s="61"/>
      <c r="V39" s="61"/>
      <c r="W39" s="61"/>
      <c r="X39" s="61"/>
      <c r="Y39" s="61"/>
      <c r="Z39" s="61"/>
    </row>
    <row r="40" spans="1:26" s="62" customFormat="1" ht="13.5" customHeight="1">
      <c r="A40" s="72"/>
      <c r="B40" s="72"/>
      <c r="C40" s="72"/>
      <c r="D40" s="72"/>
      <c r="E40" s="72"/>
      <c r="F40" s="72"/>
      <c r="G40" s="72"/>
      <c r="H40" s="72"/>
      <c r="I40" s="72"/>
      <c r="J40" s="72"/>
      <c r="K40" s="72"/>
      <c r="L40" s="72"/>
      <c r="M40" s="72"/>
      <c r="N40" s="72"/>
      <c r="O40" s="72"/>
      <c r="P40" s="72"/>
      <c r="Q40" s="72"/>
      <c r="R40" s="72"/>
      <c r="S40" s="72"/>
      <c r="T40" s="72"/>
      <c r="U40" s="61"/>
      <c r="V40" s="61"/>
      <c r="W40" s="61"/>
      <c r="X40" s="61"/>
      <c r="Y40" s="61"/>
      <c r="Z40" s="61"/>
    </row>
    <row r="41" spans="1:26" s="62" customFormat="1" ht="13.5" customHeight="1">
      <c r="A41" s="72"/>
      <c r="B41" s="72"/>
      <c r="C41" s="72"/>
      <c r="D41" s="72"/>
      <c r="E41" s="72"/>
      <c r="F41" s="72"/>
      <c r="G41" s="72"/>
      <c r="H41" s="72"/>
      <c r="I41" s="72"/>
      <c r="J41" s="72"/>
      <c r="K41" s="72"/>
      <c r="L41" s="72"/>
      <c r="M41" s="72"/>
      <c r="N41" s="72"/>
      <c r="O41" s="72"/>
      <c r="P41" s="72"/>
      <c r="Q41" s="72"/>
      <c r="R41" s="72"/>
      <c r="S41" s="72"/>
      <c r="T41" s="72"/>
      <c r="U41" s="61"/>
      <c r="V41" s="61"/>
      <c r="W41" s="61"/>
      <c r="X41" s="61"/>
      <c r="Y41" s="61"/>
      <c r="Z41" s="61"/>
    </row>
    <row r="42" spans="1:26" s="62" customFormat="1" ht="13.5" customHeight="1">
      <c r="A42" s="72"/>
      <c r="B42" s="72"/>
      <c r="C42" s="72"/>
      <c r="D42" s="72"/>
      <c r="E42" s="72"/>
      <c r="F42" s="72"/>
      <c r="G42" s="72"/>
      <c r="H42" s="72"/>
      <c r="I42" s="72"/>
      <c r="J42" s="72"/>
      <c r="K42" s="72"/>
      <c r="L42" s="72"/>
      <c r="M42" s="72"/>
      <c r="N42" s="72"/>
      <c r="O42" s="72"/>
      <c r="P42" s="72"/>
      <c r="Q42" s="72"/>
      <c r="R42" s="72"/>
      <c r="S42" s="72"/>
      <c r="T42" s="72"/>
      <c r="U42" s="61"/>
      <c r="V42" s="61"/>
      <c r="W42" s="61"/>
      <c r="X42" s="61"/>
      <c r="Y42" s="61"/>
      <c r="Z42" s="61"/>
    </row>
    <row r="43" spans="1:26">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idden="1">
      <c r="A44" s="138">
        <v>2009</v>
      </c>
      <c r="B44" s="138"/>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idden="1">
      <c r="A45" s="138">
        <v>2010</v>
      </c>
      <c r="B45" s="138"/>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idden="1">
      <c r="A46" s="138">
        <v>2011</v>
      </c>
      <c r="B46" s="138"/>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idden="1">
      <c r="A47" s="138">
        <v>2012</v>
      </c>
      <c r="B47" s="138"/>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idden="1">
      <c r="A48" s="138">
        <v>2013</v>
      </c>
      <c r="B48" s="138"/>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idden="1">
      <c r="A49" s="138">
        <v>2014</v>
      </c>
      <c r="B49" s="138"/>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idden="1">
      <c r="A50" s="138">
        <v>2015</v>
      </c>
      <c r="B50" s="138"/>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idden="1">
      <c r="A51" s="138">
        <v>2016</v>
      </c>
      <c r="B51" s="138"/>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idden="1">
      <c r="A52" s="138">
        <v>2017</v>
      </c>
      <c r="B52" s="138"/>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idden="1">
      <c r="A53" s="138">
        <v>2018</v>
      </c>
      <c r="B53" s="138"/>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idden="1">
      <c r="A54" s="138">
        <v>2019</v>
      </c>
      <c r="B54" s="138"/>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idden="1">
      <c r="A55" s="138">
        <v>2020</v>
      </c>
      <c r="B55" s="138"/>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idden="1">
      <c r="A56" s="138">
        <v>2021</v>
      </c>
      <c r="B56" s="138"/>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idden="1">
      <c r="A57" s="138">
        <v>2022</v>
      </c>
      <c r="B57" s="138"/>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idden="1">
      <c r="A58" s="138">
        <v>2023</v>
      </c>
      <c r="B58" s="138"/>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idden="1">
      <c r="A59" s="138">
        <v>2024</v>
      </c>
      <c r="B59" s="138"/>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idden="1">
      <c r="A60" s="138">
        <v>2025</v>
      </c>
      <c r="B60" s="138"/>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idden="1">
      <c r="A61" s="138">
        <v>2026</v>
      </c>
      <c r="B61" s="138"/>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idden="1">
      <c r="A62" s="138">
        <v>2027</v>
      </c>
      <c r="B62" s="138"/>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idden="1">
      <c r="A63" s="138">
        <v>2028</v>
      </c>
      <c r="B63" s="138"/>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idden="1">
      <c r="A64" s="138">
        <v>2029</v>
      </c>
      <c r="B64" s="138"/>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idden="1">
      <c r="A65" s="138">
        <v>2030</v>
      </c>
      <c r="B65" s="138"/>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idden="1">
      <c r="A66" s="138">
        <v>2031</v>
      </c>
      <c r="B66" s="138"/>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idden="1">
      <c r="A67" s="138">
        <v>2032</v>
      </c>
      <c r="B67" s="138"/>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idden="1">
      <c r="A68" s="138">
        <v>2033</v>
      </c>
      <c r="B68" s="138"/>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idden="1">
      <c r="A69" s="138">
        <v>2034</v>
      </c>
      <c r="B69" s="138"/>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idden="1">
      <c r="A70" s="138">
        <v>2035</v>
      </c>
      <c r="B70" s="138"/>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idden="1">
      <c r="A71" s="138">
        <v>2036</v>
      </c>
      <c r="B71" s="138"/>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idden="1">
      <c r="A72" s="138">
        <v>2037</v>
      </c>
      <c r="B72" s="138"/>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idden="1">
      <c r="A73" s="138">
        <v>2038</v>
      </c>
      <c r="B73" s="138"/>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idden="1">
      <c r="A74" s="138">
        <v>2039</v>
      </c>
      <c r="B74" s="138"/>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idden="1">
      <c r="A75" s="138">
        <v>2040</v>
      </c>
      <c r="B75" s="138"/>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sheetData>
  <sheetProtection algorithmName="SHA-512" hashValue="lWkjEf9r6aXV9VhfIFO8SAcoLSx6o03LBL5JGx1tBjuPZqhyHdAeLYaP+bkTIFGR8aO4sXd5DE1TzXt1+eXC2A==" saltValue="vZlDy5SBpdARMSbMGJD4yA==" spinCount="100000" sheet="1" selectLockedCells="1"/>
  <protectedRanges>
    <protectedRange sqref="G33:H39" name="Range15"/>
    <protectedRange sqref="Q33:T39" name="Range14"/>
    <protectedRange sqref="S8:T8 E5:F5 I5:T6 C5:D6 G6:H7" name="Range1"/>
    <protectedRange sqref="O21:R21 G21:L21 Q27:R30 K27:P29 G26:G29 B26:B29 K26:R26 E26:E29 I26:I29 S26:S29" name="Range5"/>
    <protectedRange sqref="G30:J30" name="Range10"/>
    <protectedRange sqref="E6:F7" name="Range1_1"/>
  </protectedRanges>
  <mergeCells count="129">
    <mergeCell ref="O29:P29"/>
    <mergeCell ref="Q29:R29"/>
    <mergeCell ref="S29:T29"/>
    <mergeCell ref="Q30:R30"/>
    <mergeCell ref="A29:C29"/>
    <mergeCell ref="D29:E29"/>
    <mergeCell ref="F29:G29"/>
    <mergeCell ref="H29:J29"/>
    <mergeCell ref="K29:L29"/>
    <mergeCell ref="M29:N29"/>
    <mergeCell ref="F27:G27"/>
    <mergeCell ref="H27:J27"/>
    <mergeCell ref="K27:L27"/>
    <mergeCell ref="M27:N27"/>
    <mergeCell ref="O27:P27"/>
    <mergeCell ref="Q27:R27"/>
    <mergeCell ref="S27:T27"/>
    <mergeCell ref="A28:C28"/>
    <mergeCell ref="D28:E28"/>
    <mergeCell ref="F28:G28"/>
    <mergeCell ref="H28:J28"/>
    <mergeCell ref="K28:L28"/>
    <mergeCell ref="M28:N28"/>
    <mergeCell ref="O28:P28"/>
    <mergeCell ref="Q28:R28"/>
    <mergeCell ref="S28:T28"/>
    <mergeCell ref="A24:G24"/>
    <mergeCell ref="H24:N24"/>
    <mergeCell ref="O24:T24"/>
    <mergeCell ref="V24:Z30"/>
    <mergeCell ref="A25:C25"/>
    <mergeCell ref="D25:E25"/>
    <mergeCell ref="F25:G25"/>
    <mergeCell ref="H25:J25"/>
    <mergeCell ref="K25:L25"/>
    <mergeCell ref="M25:N25"/>
    <mergeCell ref="O25:P25"/>
    <mergeCell ref="Q25:R25"/>
    <mergeCell ref="S25:T25"/>
    <mergeCell ref="A26:C26"/>
    <mergeCell ref="D26:E26"/>
    <mergeCell ref="F26:G26"/>
    <mergeCell ref="H26:J26"/>
    <mergeCell ref="K26:L26"/>
    <mergeCell ref="M26:N26"/>
    <mergeCell ref="O26:P26"/>
    <mergeCell ref="Q26:R26"/>
    <mergeCell ref="S26:T26"/>
    <mergeCell ref="A27:C27"/>
    <mergeCell ref="D27:E27"/>
    <mergeCell ref="S19:T19"/>
    <mergeCell ref="L21:N21"/>
    <mergeCell ref="V21:Z21"/>
    <mergeCell ref="S17:T17"/>
    <mergeCell ref="A18:F18"/>
    <mergeCell ref="G18:H18"/>
    <mergeCell ref="I18:J18"/>
    <mergeCell ref="K18:L18"/>
    <mergeCell ref="M18:N18"/>
    <mergeCell ref="O18:P18"/>
    <mergeCell ref="Q18:R18"/>
    <mergeCell ref="S18:T18"/>
    <mergeCell ref="A17:F17"/>
    <mergeCell ref="G17:H17"/>
    <mergeCell ref="I17:J17"/>
    <mergeCell ref="K17:L17"/>
    <mergeCell ref="M17:N17"/>
    <mergeCell ref="O17:P17"/>
    <mergeCell ref="Q17:R17"/>
    <mergeCell ref="A19:N19"/>
    <mergeCell ref="O19:P19"/>
    <mergeCell ref="Q19:R19"/>
    <mergeCell ref="S13:T13"/>
    <mergeCell ref="Q14:R14"/>
    <mergeCell ref="S14:T14"/>
    <mergeCell ref="A15:F15"/>
    <mergeCell ref="G15:N15"/>
    <mergeCell ref="O15:T15"/>
    <mergeCell ref="A16:F16"/>
    <mergeCell ref="G16:H16"/>
    <mergeCell ref="I16:J16"/>
    <mergeCell ref="K16:L16"/>
    <mergeCell ref="M16:N16"/>
    <mergeCell ref="A14:F14"/>
    <mergeCell ref="G14:H14"/>
    <mergeCell ref="I14:J14"/>
    <mergeCell ref="K14:L14"/>
    <mergeCell ref="M14:N14"/>
    <mergeCell ref="O14:P14"/>
    <mergeCell ref="O16:P16"/>
    <mergeCell ref="Q16:R16"/>
    <mergeCell ref="S16:T16"/>
    <mergeCell ref="Q11:R11"/>
    <mergeCell ref="S11:T11"/>
    <mergeCell ref="V11:Z13"/>
    <mergeCell ref="A12:F12"/>
    <mergeCell ref="G12:H12"/>
    <mergeCell ref="I12:J12"/>
    <mergeCell ref="K12:L12"/>
    <mergeCell ref="M12:N12"/>
    <mergeCell ref="O12:P12"/>
    <mergeCell ref="Q12:R12"/>
    <mergeCell ref="A11:F11"/>
    <mergeCell ref="G11:H11"/>
    <mergeCell ref="I11:J11"/>
    <mergeCell ref="K11:L11"/>
    <mergeCell ref="M11:N11"/>
    <mergeCell ref="O11:P11"/>
    <mergeCell ref="S12:T12"/>
    <mergeCell ref="A13:F13"/>
    <mergeCell ref="G13:H13"/>
    <mergeCell ref="I13:J13"/>
    <mergeCell ref="K13:L13"/>
    <mergeCell ref="M13:N13"/>
    <mergeCell ref="O13:P13"/>
    <mergeCell ref="Q13:R13"/>
    <mergeCell ref="K9:L9"/>
    <mergeCell ref="M9:N9"/>
    <mergeCell ref="O9:P9"/>
    <mergeCell ref="Q9:R9"/>
    <mergeCell ref="S9:T9"/>
    <mergeCell ref="G10:N10"/>
    <mergeCell ref="O10:T10"/>
    <mergeCell ref="E6:F6"/>
    <mergeCell ref="G6:H6"/>
    <mergeCell ref="E7:F7"/>
    <mergeCell ref="G7:H7"/>
    <mergeCell ref="G9:H9"/>
    <mergeCell ref="I9:J9"/>
  </mergeCells>
  <hyperlinks>
    <hyperlink ref="V21" r:id="rId1" display="https://www.nzta.govt.nz/assets/resources/economic-evaluation-manual/economic-evaluation-manual/docs/eem-manual-2016.pdf" xr:uid="{EA9EAFFA-98F0-46A0-B85F-A8D3AC1E0C6C}"/>
    <hyperlink ref="V21:Z21" r:id="rId2" display="MBCM Manual - Section A12.4" xr:uid="{657440FE-D1EE-4E0E-8490-550983F1376D}"/>
  </hyperlinks>
  <printOptions horizontalCentered="1"/>
  <pageMargins left="0.74803149606299213" right="0.74803149606299213" top="0.98425196850393704" bottom="0.98425196850393704" header="0.51181102362204722" footer="0.51181102362204722"/>
  <pageSetup paperSize="9" scale="80" orientation="portrait" r:id="rId3"/>
  <headerFooter scaleWithDoc="0" alignWithMargins="0">
    <oddHeader xml:space="preserve">&amp;L&amp;"-,Regular"&amp;8&amp;F&amp;R&amp;"-,Regular"&amp;8&amp;A
__________________________________________________________________________________________________
</oddHeader>
    <oddFooter>&amp;L&amp;"-,Regular"&amp;8_______________________________________________________________________________________________
NZ Transport Agency’s Economic evaluation manual 
Effective from Jul 2013</oddFooter>
  </headerFooter>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F708-D282-480F-B275-FF4E5D596BC0}">
  <sheetPr codeName="Sheet14"/>
  <dimension ref="A1:Z382"/>
  <sheetViews>
    <sheetView zoomScaleNormal="100" workbookViewId="0">
      <selection activeCell="Q28" sqref="Q28"/>
    </sheetView>
  </sheetViews>
  <sheetFormatPr defaultRowHeight="12.5"/>
  <cols>
    <col min="1" max="2" width="9" style="25"/>
    <col min="3" max="3" width="12.5" style="25" customWidth="1"/>
    <col min="4" max="8" width="10.83203125" style="25" customWidth="1"/>
    <col min="9" max="13" width="9" style="25"/>
    <col min="14" max="14" width="31.4140625" style="25" customWidth="1"/>
    <col min="15" max="15" width="13.75" style="25" customWidth="1"/>
    <col min="16" max="258" width="9" style="25"/>
    <col min="259" max="264" width="9.1640625" style="25" customWidth="1"/>
    <col min="265" max="514" width="9" style="25"/>
    <col min="515" max="520" width="9.1640625" style="25" customWidth="1"/>
    <col min="521" max="770" width="9" style="25"/>
    <col min="771" max="776" width="9.1640625" style="25" customWidth="1"/>
    <col min="777" max="1026" width="9" style="25"/>
    <col min="1027" max="1032" width="9.1640625" style="25" customWidth="1"/>
    <col min="1033" max="1282" width="9" style="25"/>
    <col min="1283" max="1288" width="9.1640625" style="25" customWidth="1"/>
    <col min="1289" max="1538" width="9" style="25"/>
    <col min="1539" max="1544" width="9.1640625" style="25" customWidth="1"/>
    <col min="1545" max="1794" width="9" style="25"/>
    <col min="1795" max="1800" width="9.1640625" style="25" customWidth="1"/>
    <col min="1801" max="2050" width="9" style="25"/>
    <col min="2051" max="2056" width="9.1640625" style="25" customWidth="1"/>
    <col min="2057" max="2306" width="9" style="25"/>
    <col min="2307" max="2312" width="9.1640625" style="25" customWidth="1"/>
    <col min="2313" max="2562" width="9" style="25"/>
    <col min="2563" max="2568" width="9.1640625" style="25" customWidth="1"/>
    <col min="2569" max="2818" width="9" style="25"/>
    <col min="2819" max="2824" width="9.1640625" style="25" customWidth="1"/>
    <col min="2825" max="3074" width="9" style="25"/>
    <col min="3075" max="3080" width="9.1640625" style="25" customWidth="1"/>
    <col min="3081" max="3330" width="9" style="25"/>
    <col min="3331" max="3336" width="9.1640625" style="25" customWidth="1"/>
    <col min="3337" max="3586" width="9" style="25"/>
    <col min="3587" max="3592" width="9.1640625" style="25" customWidth="1"/>
    <col min="3593" max="3842" width="9" style="25"/>
    <col min="3843" max="3848" width="9.1640625" style="25" customWidth="1"/>
    <col min="3849" max="4098" width="9" style="25"/>
    <col min="4099" max="4104" width="9.1640625" style="25" customWidth="1"/>
    <col min="4105" max="4354" width="9" style="25"/>
    <col min="4355" max="4360" width="9.1640625" style="25" customWidth="1"/>
    <col min="4361" max="4610" width="9" style="25"/>
    <col min="4611" max="4616" width="9.1640625" style="25" customWidth="1"/>
    <col min="4617" max="4866" width="9" style="25"/>
    <col min="4867" max="4872" width="9.1640625" style="25" customWidth="1"/>
    <col min="4873" max="5122" width="9" style="25"/>
    <col min="5123" max="5128" width="9.1640625" style="25" customWidth="1"/>
    <col min="5129" max="5378" width="9" style="25"/>
    <col min="5379" max="5384" width="9.1640625" style="25" customWidth="1"/>
    <col min="5385" max="5634" width="9" style="25"/>
    <col min="5635" max="5640" width="9.1640625" style="25" customWidth="1"/>
    <col min="5641" max="5890" width="9" style="25"/>
    <col min="5891" max="5896" width="9.1640625" style="25" customWidth="1"/>
    <col min="5897" max="6146" width="9" style="25"/>
    <col min="6147" max="6152" width="9.1640625" style="25" customWidth="1"/>
    <col min="6153" max="6402" width="9" style="25"/>
    <col min="6403" max="6408" width="9.1640625" style="25" customWidth="1"/>
    <col min="6409" max="6658" width="9" style="25"/>
    <col min="6659" max="6664" width="9.1640625" style="25" customWidth="1"/>
    <col min="6665" max="6914" width="9" style="25"/>
    <col min="6915" max="6920" width="9.1640625" style="25" customWidth="1"/>
    <col min="6921" max="7170" width="9" style="25"/>
    <col min="7171" max="7176" width="9.1640625" style="25" customWidth="1"/>
    <col min="7177" max="7426" width="9" style="25"/>
    <col min="7427" max="7432" width="9.1640625" style="25" customWidth="1"/>
    <col min="7433" max="7682" width="9" style="25"/>
    <col min="7683" max="7688" width="9.1640625" style="25" customWidth="1"/>
    <col min="7689" max="7938" width="9" style="25"/>
    <col min="7939" max="7944" width="9.1640625" style="25" customWidth="1"/>
    <col min="7945" max="8194" width="9" style="25"/>
    <col min="8195" max="8200" width="9.1640625" style="25" customWidth="1"/>
    <col min="8201" max="8450" width="9" style="25"/>
    <col min="8451" max="8456" width="9.1640625" style="25" customWidth="1"/>
    <col min="8457" max="8706" width="9" style="25"/>
    <col min="8707" max="8712" width="9.1640625" style="25" customWidth="1"/>
    <col min="8713" max="8962" width="9" style="25"/>
    <col min="8963" max="8968" width="9.1640625" style="25" customWidth="1"/>
    <col min="8969" max="9218" width="9" style="25"/>
    <col min="9219" max="9224" width="9.1640625" style="25" customWidth="1"/>
    <col min="9225" max="9474" width="9" style="25"/>
    <col min="9475" max="9480" width="9.1640625" style="25" customWidth="1"/>
    <col min="9481" max="9730" width="9" style="25"/>
    <col min="9731" max="9736" width="9.1640625" style="25" customWidth="1"/>
    <col min="9737" max="9986" width="9" style="25"/>
    <col min="9987" max="9992" width="9.1640625" style="25" customWidth="1"/>
    <col min="9993" max="10242" width="9" style="25"/>
    <col min="10243" max="10248" width="9.1640625" style="25" customWidth="1"/>
    <col min="10249" max="10498" width="9" style="25"/>
    <col min="10499" max="10504" width="9.1640625" style="25" customWidth="1"/>
    <col min="10505" max="10754" width="9" style="25"/>
    <col min="10755" max="10760" width="9.1640625" style="25" customWidth="1"/>
    <col min="10761" max="11010" width="9" style="25"/>
    <col min="11011" max="11016" width="9.1640625" style="25" customWidth="1"/>
    <col min="11017" max="11266" width="9" style="25"/>
    <col min="11267" max="11272" width="9.1640625" style="25" customWidth="1"/>
    <col min="11273" max="11522" width="9" style="25"/>
    <col min="11523" max="11528" width="9.1640625" style="25" customWidth="1"/>
    <col min="11529" max="11778" width="9" style="25"/>
    <col min="11779" max="11784" width="9.1640625" style="25" customWidth="1"/>
    <col min="11785" max="12034" width="9" style="25"/>
    <col min="12035" max="12040" width="9.1640625" style="25" customWidth="1"/>
    <col min="12041" max="12290" width="9" style="25"/>
    <col min="12291" max="12296" width="9.1640625" style="25" customWidth="1"/>
    <col min="12297" max="12546" width="9" style="25"/>
    <col min="12547" max="12552" width="9.1640625" style="25" customWidth="1"/>
    <col min="12553" max="12802" width="9" style="25"/>
    <col min="12803" max="12808" width="9.1640625" style="25" customWidth="1"/>
    <col min="12809" max="13058" width="9" style="25"/>
    <col min="13059" max="13064" width="9.1640625" style="25" customWidth="1"/>
    <col min="13065" max="13314" width="9" style="25"/>
    <col min="13315" max="13320" width="9.1640625" style="25" customWidth="1"/>
    <col min="13321" max="13570" width="9" style="25"/>
    <col min="13571" max="13576" width="9.1640625" style="25" customWidth="1"/>
    <col min="13577" max="13826" width="9" style="25"/>
    <col min="13827" max="13832" width="9.1640625" style="25" customWidth="1"/>
    <col min="13833" max="14082" width="9" style="25"/>
    <col min="14083" max="14088" width="9.1640625" style="25" customWidth="1"/>
    <col min="14089" max="14338" width="9" style="25"/>
    <col min="14339" max="14344" width="9.1640625" style="25" customWidth="1"/>
    <col min="14345" max="14594" width="9" style="25"/>
    <col min="14595" max="14600" width="9.1640625" style="25" customWidth="1"/>
    <col min="14601" max="14850" width="9" style="25"/>
    <col min="14851" max="14856" width="9.1640625" style="25" customWidth="1"/>
    <col min="14857" max="15106" width="9" style="25"/>
    <col min="15107" max="15112" width="9.1640625" style="25" customWidth="1"/>
    <col min="15113" max="15362" width="9" style="25"/>
    <col min="15363" max="15368" width="9.1640625" style="25" customWidth="1"/>
    <col min="15369" max="15618" width="9" style="25"/>
    <col min="15619" max="15624" width="9.1640625" style="25" customWidth="1"/>
    <col min="15625" max="15874" width="9" style="25"/>
    <col min="15875" max="15880" width="9.1640625" style="25" customWidth="1"/>
    <col min="15881" max="16130" width="9" style="25"/>
    <col min="16131" max="16136" width="9.1640625" style="25" customWidth="1"/>
    <col min="16137" max="16384" width="9" style="25"/>
  </cols>
  <sheetData>
    <row r="1" spans="1:15">
      <c r="A1" s="25" t="s">
        <v>879</v>
      </c>
      <c r="B1" s="25" t="s">
        <v>880</v>
      </c>
      <c r="C1" s="25" t="s">
        <v>881</v>
      </c>
    </row>
    <row r="2" spans="1:15" ht="13" thickBot="1"/>
    <row r="3" spans="1:15" ht="22" thickBot="1">
      <c r="A3" s="285" t="s">
        <v>813</v>
      </c>
      <c r="B3" s="598" t="s">
        <v>814</v>
      </c>
      <c r="C3" s="599"/>
      <c r="D3" s="599"/>
      <c r="E3" s="599"/>
      <c r="F3" s="600"/>
      <c r="N3" t="s">
        <v>135</v>
      </c>
      <c r="O3" s="133">
        <f>'SP3-1'!I25</f>
        <v>0.04</v>
      </c>
    </row>
    <row r="4" spans="1:15" ht="16" thickBot="1">
      <c r="A4" s="286"/>
      <c r="B4" s="287" t="s">
        <v>815</v>
      </c>
      <c r="C4" s="287" t="s">
        <v>816</v>
      </c>
      <c r="D4" s="287" t="s">
        <v>817</v>
      </c>
      <c r="E4" s="287" t="s">
        <v>818</v>
      </c>
      <c r="F4" s="287" t="s">
        <v>819</v>
      </c>
      <c r="N4" t="s">
        <v>136</v>
      </c>
      <c r="O4" s="134">
        <v>1</v>
      </c>
    </row>
    <row r="5" spans="1:15" ht="16" thickBot="1">
      <c r="A5" s="92">
        <v>0</v>
      </c>
      <c r="B5" s="288">
        <v>35.859272261535118</v>
      </c>
      <c r="C5" s="288">
        <v>29.429200416970112</v>
      </c>
      <c r="D5" s="288">
        <v>28.72589955546993</v>
      </c>
      <c r="E5" s="288">
        <v>29.801656473844652</v>
      </c>
      <c r="F5" s="288">
        <v>32.364306139802359</v>
      </c>
      <c r="I5" s="289"/>
      <c r="J5" s="290"/>
      <c r="K5" s="290"/>
      <c r="L5" s="290"/>
      <c r="M5" s="290"/>
      <c r="N5" t="s">
        <v>137</v>
      </c>
      <c r="O5" s="325">
        <f>'SP3-1'!I30</f>
        <v>0</v>
      </c>
    </row>
    <row r="6" spans="1:15" ht="16" thickBot="1">
      <c r="A6" s="92" t="s">
        <v>820</v>
      </c>
      <c r="B6" s="288">
        <v>36.414653826526383</v>
      </c>
      <c r="C6" s="288">
        <v>29.944226701920201</v>
      </c>
      <c r="D6" s="288">
        <v>29.227349276225972</v>
      </c>
      <c r="E6" s="288">
        <v>30.295477132651275</v>
      </c>
      <c r="F6" s="288">
        <v>32.852545446986944</v>
      </c>
      <c r="I6" s="289"/>
      <c r="J6" s="291"/>
      <c r="K6" s="291"/>
      <c r="L6" s="291"/>
      <c r="M6" s="291"/>
      <c r="N6" t="s">
        <v>138</v>
      </c>
      <c r="O6">
        <f>'SP3-1'!I24</f>
        <v>0</v>
      </c>
    </row>
    <row r="7" spans="1:15" ht="16" thickBot="1">
      <c r="A7" s="92" t="s">
        <v>821</v>
      </c>
      <c r="B7" s="288">
        <v>38.200172114154071</v>
      </c>
      <c r="C7" s="288">
        <v>31.910630812502671</v>
      </c>
      <c r="D7" s="288">
        <v>31.288973645045306</v>
      </c>
      <c r="E7" s="288">
        <v>32.428363255565692</v>
      </c>
      <c r="F7" s="288">
        <v>35.055167334434515</v>
      </c>
      <c r="I7" s="291"/>
      <c r="N7" s="18" t="s">
        <v>139</v>
      </c>
      <c r="O7" s="82">
        <f>O12-O11</f>
        <v>-0.98064352657801512</v>
      </c>
    </row>
    <row r="8" spans="1:15" ht="16" thickBot="1">
      <c r="A8" s="92" t="s">
        <v>822</v>
      </c>
      <c r="B8" s="288">
        <v>40.852529091078239</v>
      </c>
      <c r="C8" s="288">
        <v>35.05426913911716</v>
      </c>
      <c r="D8" s="288">
        <v>34.676441650004001</v>
      </c>
      <c r="E8" s="288">
        <v>35.993428460787023</v>
      </c>
      <c r="F8" s="288">
        <v>38.790392608145567</v>
      </c>
      <c r="I8" s="291"/>
      <c r="N8" s="18" t="s">
        <v>140</v>
      </c>
      <c r="O8" s="326">
        <f>O12-O11+O5*(O14-O13)</f>
        <v>-0.98064352657801512</v>
      </c>
    </row>
    <row r="9" spans="1:15" ht="16" thickBot="1">
      <c r="A9" s="92" t="s">
        <v>823</v>
      </c>
      <c r="B9" s="288">
        <v>43.942443162523134</v>
      </c>
      <c r="C9" s="288">
        <v>38.945860086987892</v>
      </c>
      <c r="D9" s="288">
        <v>38.960471696326302</v>
      </c>
      <c r="E9" s="288">
        <v>40.56139115353951</v>
      </c>
      <c r="F9" s="288">
        <v>43.62893967334437</v>
      </c>
      <c r="I9" s="291"/>
      <c r="N9" s="18" t="s">
        <v>141</v>
      </c>
      <c r="O9" s="82"/>
    </row>
    <row r="10" spans="1:15" ht="15.5">
      <c r="I10" s="291"/>
      <c r="N10" s="18" t="s">
        <v>142</v>
      </c>
      <c r="O10" s="82"/>
    </row>
    <row r="11" spans="1:15" ht="14.5">
      <c r="A11" s="25" t="str">
        <f>LOOKUP('SP3-5'!H16,{0,0.01,0.04,0.07,0.1},{"1","2","3","4","5"})</f>
        <v>1</v>
      </c>
      <c r="B11" s="25" t="str">
        <f>LOOKUP('SP3-5'!H15,{0,31,51,71,91},{"1","2","3","4","5"})</f>
        <v>1</v>
      </c>
      <c r="C11" s="116">
        <f ca="1">OFFSET(A4,A11,B11)</f>
        <v>35.859272261535118</v>
      </c>
      <c r="D11" s="25" t="s">
        <v>824</v>
      </c>
      <c r="I11" s="291"/>
      <c r="N11" s="135" t="s">
        <v>143</v>
      </c>
      <c r="O11" s="135">
        <f>K319</f>
        <v>0.98064352657801512</v>
      </c>
    </row>
    <row r="12" spans="1:15">
      <c r="A12" s="25" t="str">
        <f>LOOKUP('SP3-5'!N16,{0,0.01,0.04,0.07,0.1},{"1","2","3","4","5"})</f>
        <v>1</v>
      </c>
      <c r="B12" s="25" t="str">
        <f>LOOKUP('SP3-5'!N15,{0,31,51,71,91},{"1","2","3","4","5"})</f>
        <v>1</v>
      </c>
      <c r="C12" s="116">
        <f ca="1">OFFSET(A4,A12,B12)</f>
        <v>35.859272261535118</v>
      </c>
      <c r="D12" s="25" t="s">
        <v>825</v>
      </c>
      <c r="E12" s="292"/>
      <c r="G12" s="292"/>
      <c r="H12" s="292"/>
      <c r="N12" s="135" t="s">
        <v>144</v>
      </c>
      <c r="O12" s="136">
        <f>(1-(1+O3)^(-O6))/(LN(1+O3))</f>
        <v>0</v>
      </c>
    </row>
    <row r="13" spans="1:15" ht="13" thickBot="1">
      <c r="A13" s="25" t="s">
        <v>876</v>
      </c>
      <c r="E13" s="292"/>
      <c r="G13" s="292"/>
      <c r="H13" s="292"/>
      <c r="N13" s="135" t="s">
        <v>146</v>
      </c>
      <c r="O13" s="128">
        <f>((LN(1+O3))^-2)-(O4*(1+O3)^(O4*(-1))*(LN((1+O3))^-1))-((1+O3)^(O4*(-1))*(LN(1+O3))^-2)</f>
        <v>0.48711671725311589</v>
      </c>
    </row>
    <row r="14" spans="1:15">
      <c r="A14" s="293" t="s">
        <v>826</v>
      </c>
      <c r="B14" s="294" t="s">
        <v>827</v>
      </c>
      <c r="C14" s="294" t="s">
        <v>828</v>
      </c>
      <c r="D14" s="295" t="s">
        <v>828</v>
      </c>
      <c r="E14" s="296"/>
      <c r="G14" s="292" t="s">
        <v>534</v>
      </c>
      <c r="H14" s="292"/>
      <c r="N14" s="135" t="s">
        <v>878</v>
      </c>
      <c r="O14" s="131">
        <f>((LN(1+O3))^-2)-(O6*(1+O3)^(O6*(-1))*(LN((1+O3))^-1))-((1+O3)^(O6*(-1))*(LN(1+O3))^-2)</f>
        <v>0</v>
      </c>
    </row>
    <row r="15" spans="1:15">
      <c r="A15" s="297" t="s">
        <v>829</v>
      </c>
      <c r="B15" s="298" t="s">
        <v>830</v>
      </c>
      <c r="C15" s="298" t="s">
        <v>831</v>
      </c>
      <c r="D15" s="299" t="s">
        <v>832</v>
      </c>
      <c r="E15" s="296"/>
      <c r="G15" s="292" t="s">
        <v>535</v>
      </c>
      <c r="H15" s="292"/>
      <c r="N15" s="135" t="s">
        <v>147</v>
      </c>
      <c r="O15" s="613">
        <f>O5*780+O6-1</f>
        <v>-1</v>
      </c>
    </row>
    <row r="16" spans="1:15" ht="13" thickBot="1">
      <c r="A16" s="300"/>
      <c r="B16" s="287" t="s">
        <v>220</v>
      </c>
      <c r="C16" s="301"/>
      <c r="D16" s="302"/>
      <c r="E16" s="296"/>
      <c r="G16" s="296" t="s">
        <v>536</v>
      </c>
      <c r="H16" s="292"/>
    </row>
    <row r="17" spans="1:14" ht="13.5" thickBot="1">
      <c r="A17" s="92">
        <v>2.5</v>
      </c>
      <c r="B17" s="91">
        <v>66</v>
      </c>
      <c r="C17" s="91">
        <v>0</v>
      </c>
      <c r="D17" s="303">
        <v>0</v>
      </c>
      <c r="E17" s="296"/>
      <c r="G17" s="296" t="s">
        <v>539</v>
      </c>
      <c r="H17" s="292"/>
      <c r="N17" s="353" t="s">
        <v>208</v>
      </c>
    </row>
    <row r="18" spans="1:14" ht="13" thickBot="1">
      <c r="A18" s="92">
        <v>3</v>
      </c>
      <c r="B18" s="91">
        <v>79</v>
      </c>
      <c r="C18" s="91">
        <v>0.2</v>
      </c>
      <c r="D18" s="303">
        <v>0.1</v>
      </c>
      <c r="E18" s="296"/>
      <c r="G18" s="292" t="s">
        <v>540</v>
      </c>
      <c r="H18" s="292"/>
      <c r="N18" s="25" t="s">
        <v>910</v>
      </c>
    </row>
    <row r="19" spans="1:14" ht="13" thickBot="1">
      <c r="A19" s="92">
        <v>3.5</v>
      </c>
      <c r="B19" s="91">
        <v>92</v>
      </c>
      <c r="C19" s="91">
        <v>0.4</v>
      </c>
      <c r="D19" s="303">
        <v>0.7</v>
      </c>
      <c r="E19" s="296"/>
      <c r="F19" s="292"/>
      <c r="G19" s="292" t="s">
        <v>541</v>
      </c>
      <c r="H19" s="292"/>
      <c r="N19" s="25" t="s">
        <v>911</v>
      </c>
    </row>
    <row r="20" spans="1:14" ht="13" thickBot="1">
      <c r="A20" s="92">
        <v>4</v>
      </c>
      <c r="B20" s="91">
        <v>106</v>
      </c>
      <c r="C20" s="91">
        <v>1</v>
      </c>
      <c r="D20" s="303">
        <v>2.2000000000000002</v>
      </c>
      <c r="E20" s="296"/>
      <c r="F20" s="292"/>
      <c r="G20" s="292" t="s">
        <v>833</v>
      </c>
      <c r="H20" s="292"/>
      <c r="N20" s="25" t="s">
        <v>912</v>
      </c>
    </row>
    <row r="21" spans="1:14" ht="13" thickBot="1">
      <c r="A21" s="92">
        <v>4.5</v>
      </c>
      <c r="B21" s="91">
        <v>119</v>
      </c>
      <c r="C21" s="91">
        <v>1.8</v>
      </c>
      <c r="D21" s="303">
        <v>4.3</v>
      </c>
      <c r="E21" s="296"/>
      <c r="F21" s="292"/>
      <c r="G21" s="292"/>
      <c r="H21" s="292"/>
      <c r="N21" s="25" t="s">
        <v>913</v>
      </c>
    </row>
    <row r="22" spans="1:14" ht="13" thickBot="1">
      <c r="A22" s="92">
        <v>5</v>
      </c>
      <c r="B22" s="91">
        <v>132</v>
      </c>
      <c r="C22" s="91">
        <v>3</v>
      </c>
      <c r="D22" s="303">
        <v>6.7</v>
      </c>
      <c r="E22" s="296"/>
      <c r="F22" s="292"/>
      <c r="G22" s="292"/>
      <c r="H22" s="292"/>
    </row>
    <row r="23" spans="1:14" ht="13" thickBot="1">
      <c r="A23" s="92">
        <v>5.5</v>
      </c>
      <c r="B23" s="91">
        <v>145</v>
      </c>
      <c r="C23" s="91">
        <v>4.3</v>
      </c>
      <c r="D23" s="303">
        <v>9.1</v>
      </c>
      <c r="E23" s="296"/>
      <c r="F23" s="292"/>
      <c r="G23" s="292"/>
      <c r="H23" s="292"/>
    </row>
    <row r="24" spans="1:14" ht="13" thickBot="1">
      <c r="A24" s="91">
        <v>6</v>
      </c>
      <c r="B24" s="91">
        <v>158</v>
      </c>
      <c r="C24" s="91">
        <v>5.9</v>
      </c>
      <c r="D24" s="91">
        <v>11.4</v>
      </c>
    </row>
    <row r="25" spans="1:14" ht="13" thickBot="1">
      <c r="A25" s="91">
        <v>6.5</v>
      </c>
      <c r="B25" s="91">
        <v>172</v>
      </c>
      <c r="C25" s="91">
        <v>7.5</v>
      </c>
      <c r="D25" s="91">
        <v>13.8</v>
      </c>
    </row>
    <row r="26" spans="1:14" ht="13" thickBot="1">
      <c r="A26" s="91">
        <v>7</v>
      </c>
      <c r="B26" s="91">
        <v>185</v>
      </c>
      <c r="C26" s="91">
        <v>9.1999999999999993</v>
      </c>
      <c r="D26" s="91">
        <v>16.100000000000001</v>
      </c>
    </row>
    <row r="27" spans="1:14" ht="13" thickBot="1">
      <c r="A27" s="91">
        <v>7.5</v>
      </c>
      <c r="B27" s="91">
        <v>198</v>
      </c>
      <c r="C27" s="91">
        <v>10.9</v>
      </c>
      <c r="D27" s="91">
        <v>18.5</v>
      </c>
    </row>
    <row r="28" spans="1:14" ht="13" thickBot="1">
      <c r="A28" s="91">
        <v>8</v>
      </c>
      <c r="B28" s="91">
        <v>211</v>
      </c>
      <c r="C28" s="91">
        <v>12.6</v>
      </c>
      <c r="D28" s="91">
        <v>19.399999999999999</v>
      </c>
    </row>
    <row r="29" spans="1:14" ht="13" thickBot="1">
      <c r="A29" s="91">
        <v>8.5</v>
      </c>
      <c r="B29" s="91">
        <v>224</v>
      </c>
      <c r="C29" s="91">
        <v>14.3</v>
      </c>
      <c r="D29" s="91">
        <v>20</v>
      </c>
    </row>
    <row r="30" spans="1:14" ht="13" thickBot="1">
      <c r="A30" s="91">
        <v>9</v>
      </c>
      <c r="B30" s="91">
        <v>238</v>
      </c>
      <c r="C30" s="91">
        <v>15.9</v>
      </c>
      <c r="D30" s="91">
        <v>20.7</v>
      </c>
    </row>
    <row r="32" spans="1:14">
      <c r="A32" s="25" t="str">
        <f>LOOKUP('SP3-5'!H32,{0,1,4,7,10},{"1","2","3","4","5"})</f>
        <v>1</v>
      </c>
    </row>
    <row r="33" spans="1:10" ht="13" thickBot="1"/>
    <row r="34" spans="1:10" ht="20.5" thickBot="1">
      <c r="A34" s="304" t="s">
        <v>834</v>
      </c>
      <c r="B34" s="305">
        <v>0</v>
      </c>
      <c r="C34" s="306">
        <v>5.0000000000000001E-3</v>
      </c>
      <c r="D34" s="306">
        <v>0.01</v>
      </c>
      <c r="E34" s="306">
        <v>1.4999999999999999E-2</v>
      </c>
      <c r="F34" s="306">
        <v>0.02</v>
      </c>
      <c r="G34" s="306">
        <v>2.5000000000000001E-2</v>
      </c>
      <c r="H34" s="306">
        <v>0.03</v>
      </c>
      <c r="I34" s="306">
        <v>3.5000000000000003E-2</v>
      </c>
      <c r="J34" s="306">
        <v>0.04</v>
      </c>
    </row>
    <row r="35" spans="1:10" ht="32.5" thickBot="1">
      <c r="A35" s="307" t="s">
        <v>835</v>
      </c>
      <c r="B35" s="308">
        <v>14.52187909384241</v>
      </c>
      <c r="C35" s="308">
        <v>15.515238003819475</v>
      </c>
      <c r="D35" s="308">
        <v>16.508596913796541</v>
      </c>
      <c r="E35" s="308">
        <v>17.501955823773606</v>
      </c>
      <c r="F35" s="308">
        <v>18.495314733750671</v>
      </c>
      <c r="G35" s="308">
        <v>19.488673643727736</v>
      </c>
      <c r="H35" s="308">
        <v>20.482032553704801</v>
      </c>
      <c r="I35" s="308">
        <v>21.475391463681866</v>
      </c>
      <c r="J35" s="308">
        <v>22.468750373658935</v>
      </c>
    </row>
    <row r="37" spans="1:10">
      <c r="A37" s="25" t="str">
        <f>LOOKUP('SP3-5'!N8,{0,0.5,1,1.5,2,2.5,3,3.5,4},{"1","2","3","4","5","6","7","8","9"})</f>
        <v>1</v>
      </c>
      <c r="B37" s="25">
        <f ca="1">OFFSET(A34,1,A37)</f>
        <v>14.52187909384241</v>
      </c>
    </row>
    <row r="39" spans="1:10" ht="13" thickBot="1">
      <c r="A39" s="25" t="s">
        <v>531</v>
      </c>
    </row>
    <row r="40" spans="1:10" ht="14.15" customHeight="1" thickBot="1">
      <c r="A40" s="100" t="s">
        <v>512</v>
      </c>
      <c r="B40" s="601" t="s">
        <v>513</v>
      </c>
      <c r="C40" s="602"/>
      <c r="D40" s="602"/>
      <c r="E40" s="602"/>
      <c r="F40" s="602"/>
      <c r="G40" s="602"/>
      <c r="H40" s="602"/>
      <c r="I40" s="603"/>
    </row>
    <row r="41" spans="1:10" ht="13" thickBot="1">
      <c r="A41" s="99"/>
      <c r="B41" s="121">
        <v>0</v>
      </c>
      <c r="C41" s="120">
        <v>0.01</v>
      </c>
      <c r="D41" s="120">
        <v>0.02</v>
      </c>
      <c r="E41" s="120">
        <v>0.03</v>
      </c>
      <c r="F41" s="120">
        <v>0.04</v>
      </c>
      <c r="G41" s="120">
        <v>0.05</v>
      </c>
      <c r="H41" s="120">
        <v>0.06</v>
      </c>
      <c r="I41" s="120">
        <v>7.0000000000000007E-2</v>
      </c>
    </row>
    <row r="42" spans="1:10" ht="23.5" thickBot="1">
      <c r="A42" s="99" t="s">
        <v>532</v>
      </c>
      <c r="B42" s="119">
        <v>0.83</v>
      </c>
      <c r="C42" s="97">
        <v>0.86</v>
      </c>
      <c r="D42" s="97">
        <v>0.9</v>
      </c>
      <c r="E42" s="97">
        <v>0.93</v>
      </c>
      <c r="F42" s="97">
        <v>0.96</v>
      </c>
      <c r="G42" s="97">
        <v>0.99</v>
      </c>
      <c r="H42" s="97">
        <v>1.03</v>
      </c>
      <c r="I42" s="97">
        <v>1.06</v>
      </c>
    </row>
    <row r="43" spans="1:10" ht="35" thickBot="1">
      <c r="A43" s="99" t="s">
        <v>533</v>
      </c>
      <c r="B43" s="119">
        <v>0.95</v>
      </c>
      <c r="C43" s="97">
        <v>0.98</v>
      </c>
      <c r="D43" s="97">
        <v>1.02</v>
      </c>
      <c r="E43" s="97">
        <v>1.06</v>
      </c>
      <c r="F43" s="97">
        <v>1.1000000000000001</v>
      </c>
      <c r="G43" s="97">
        <v>1.1399999999999999</v>
      </c>
      <c r="H43" s="97">
        <v>1.17</v>
      </c>
      <c r="I43" s="97">
        <v>1.21</v>
      </c>
    </row>
    <row r="45" spans="1:10">
      <c r="A45" s="118" t="s">
        <v>537</v>
      </c>
      <c r="B45" s="25" t="s">
        <v>538</v>
      </c>
    </row>
    <row r="46" spans="1:10">
      <c r="A46" s="25" t="str">
        <f>LOOKUP('SP3-6'!E10,{0,70},{"1","2"})</f>
        <v>1</v>
      </c>
      <c r="B46" s="117" t="str">
        <f>LOOKUP('SP3-6'!N10,{0,0.01,0.02,0.03,0.04,0.05,0.06,0.07},{"1","2","3","4","5","6","7","8"})</f>
        <v>1</v>
      </c>
      <c r="C46" s="116">
        <f ca="1">OFFSET(A41,A46,B46)</f>
        <v>0.83</v>
      </c>
      <c r="D46" s="104" t="s">
        <v>836</v>
      </c>
    </row>
    <row r="47" spans="1:10" ht="13" thickBot="1"/>
    <row r="48" spans="1:10" ht="31" thickBot="1">
      <c r="A48" s="309" t="s">
        <v>513</v>
      </c>
      <c r="B48" s="305">
        <v>0</v>
      </c>
      <c r="C48" s="306">
        <v>5.0000000000000001E-3</v>
      </c>
      <c r="D48" s="306">
        <v>0.01</v>
      </c>
      <c r="E48" s="306">
        <v>1.4999999999999999E-2</v>
      </c>
      <c r="F48" s="306">
        <v>0.02</v>
      </c>
      <c r="G48" s="306">
        <v>2.5000000000000001E-2</v>
      </c>
      <c r="H48" s="306">
        <v>0.03</v>
      </c>
      <c r="I48" s="306">
        <v>3.5000000000000003E-2</v>
      </c>
      <c r="J48" s="306">
        <v>0.04</v>
      </c>
    </row>
    <row r="49" spans="1:10" ht="21" thickBot="1">
      <c r="A49" s="286" t="s">
        <v>532</v>
      </c>
      <c r="B49" s="310">
        <v>6.31</v>
      </c>
      <c r="C49" s="310">
        <v>6.69</v>
      </c>
      <c r="D49" s="310">
        <v>7.07</v>
      </c>
      <c r="E49" s="310">
        <v>7.44</v>
      </c>
      <c r="F49" s="310">
        <v>7.82</v>
      </c>
      <c r="G49" s="310">
        <v>8.19</v>
      </c>
      <c r="H49" s="310">
        <v>8.57</v>
      </c>
      <c r="I49" s="310">
        <v>8.9499999999999993</v>
      </c>
      <c r="J49" s="310">
        <v>9.32</v>
      </c>
    </row>
    <row r="50" spans="1:10" ht="13" thickBot="1">
      <c r="A50" s="286" t="s">
        <v>837</v>
      </c>
      <c r="B50" s="310">
        <v>7.82</v>
      </c>
      <c r="C50" s="310">
        <v>8.19</v>
      </c>
      <c r="D50" s="310">
        <v>8.57</v>
      </c>
      <c r="E50" s="310">
        <v>8.9499999999999993</v>
      </c>
      <c r="F50" s="310">
        <v>9.32</v>
      </c>
      <c r="G50" s="310">
        <v>9.6999999999999993</v>
      </c>
      <c r="H50" s="310">
        <v>10.07</v>
      </c>
      <c r="I50" s="310">
        <v>10.45</v>
      </c>
      <c r="J50" s="310">
        <v>10.83</v>
      </c>
    </row>
    <row r="52" spans="1:10">
      <c r="A52" s="25" t="str">
        <f>LOOKUP('SP3-6'!E10,{0,70},{"1","2"})</f>
        <v>1</v>
      </c>
      <c r="B52" s="25" t="str">
        <f>LOOKUP('SP3-6'!N10,{0,1,2,3,4,5,6,7},{"1","2","3","4","5","6","7"})</f>
        <v>1</v>
      </c>
      <c r="C52" s="25">
        <f ca="1">OFFSET(A48,A52,B52)</f>
        <v>6.31</v>
      </c>
    </row>
    <row r="55" spans="1:10" ht="19.5">
      <c r="A55" s="102" t="s">
        <v>542</v>
      </c>
      <c r="B55" s="102" t="s">
        <v>543</v>
      </c>
    </row>
    <row r="56" spans="1:10">
      <c r="A56" s="101" t="s">
        <v>544</v>
      </c>
      <c r="B56" s="101" t="s">
        <v>545</v>
      </c>
    </row>
    <row r="57" spans="1:10" ht="13" thickBot="1">
      <c r="A57" s="101" t="s">
        <v>546</v>
      </c>
    </row>
    <row r="58" spans="1:10">
      <c r="A58" s="592" t="s">
        <v>465</v>
      </c>
      <c r="B58" s="592" t="s">
        <v>547</v>
      </c>
      <c r="C58" s="141" t="s">
        <v>548</v>
      </c>
      <c r="D58" s="141" t="s">
        <v>549</v>
      </c>
    </row>
    <row r="59" spans="1:10" ht="23.5" thickBot="1">
      <c r="A59" s="593"/>
      <c r="B59" s="593"/>
      <c r="C59" s="142" t="s">
        <v>550</v>
      </c>
      <c r="D59" s="142" t="s">
        <v>550</v>
      </c>
    </row>
    <row r="60" spans="1:10" ht="13" thickBot="1">
      <c r="A60" s="98" t="s">
        <v>551</v>
      </c>
      <c r="B60" s="97" t="s">
        <v>552</v>
      </c>
      <c r="C60" s="97">
        <v>0.13</v>
      </c>
      <c r="D60" s="97">
        <v>0.87</v>
      </c>
    </row>
    <row r="61" spans="1:10" ht="13" thickBot="1">
      <c r="A61" s="98" t="s">
        <v>553</v>
      </c>
      <c r="B61" s="97" t="s">
        <v>510</v>
      </c>
      <c r="C61" s="97">
        <v>0.06</v>
      </c>
      <c r="D61" s="97">
        <v>0.94</v>
      </c>
    </row>
    <row r="62" spans="1:10" ht="35" thickBot="1">
      <c r="A62" s="98" t="s">
        <v>554</v>
      </c>
      <c r="B62" s="97" t="s">
        <v>555</v>
      </c>
      <c r="C62" s="97">
        <v>0.13</v>
      </c>
      <c r="D62" s="97">
        <v>0.87</v>
      </c>
    </row>
    <row r="63" spans="1:10" ht="35" thickBot="1">
      <c r="A63" s="98" t="s">
        <v>556</v>
      </c>
      <c r="B63" s="97" t="s">
        <v>557</v>
      </c>
      <c r="C63" s="97">
        <v>0.05</v>
      </c>
      <c r="D63" s="97">
        <v>0.95</v>
      </c>
    </row>
    <row r="64" spans="1:10" ht="23.5" thickBot="1">
      <c r="A64" s="98" t="s">
        <v>558</v>
      </c>
      <c r="B64" s="97" t="s">
        <v>559</v>
      </c>
      <c r="C64" s="97">
        <v>0.13</v>
      </c>
      <c r="D64" s="97">
        <v>0.87</v>
      </c>
    </row>
    <row r="65" spans="1:4" ht="23.5" thickBot="1">
      <c r="A65" s="98" t="s">
        <v>560</v>
      </c>
      <c r="B65" s="97" t="s">
        <v>561</v>
      </c>
      <c r="C65" s="97">
        <v>0.04</v>
      </c>
      <c r="D65" s="97">
        <v>0.96</v>
      </c>
    </row>
    <row r="66" spans="1:4" ht="13" thickBot="1">
      <c r="A66" s="98" t="s">
        <v>562</v>
      </c>
      <c r="B66" s="97" t="s">
        <v>563</v>
      </c>
      <c r="C66" s="97">
        <v>0.08</v>
      </c>
      <c r="D66" s="97">
        <v>0.92</v>
      </c>
    </row>
    <row r="67" spans="1:4" ht="23.5" thickBot="1">
      <c r="A67" s="98" t="s">
        <v>564</v>
      </c>
      <c r="B67" s="97" t="s">
        <v>565</v>
      </c>
      <c r="C67" s="97">
        <v>7.0000000000000007E-2</v>
      </c>
      <c r="D67" s="97">
        <v>0.93</v>
      </c>
    </row>
    <row r="68" spans="1:4" ht="23.5" thickBot="1">
      <c r="A68" s="98" t="s">
        <v>566</v>
      </c>
      <c r="B68" s="97" t="s">
        <v>567</v>
      </c>
      <c r="C68" s="97">
        <v>7.0000000000000007E-2</v>
      </c>
      <c r="D68" s="97">
        <v>0.93</v>
      </c>
    </row>
    <row r="69" spans="1:4" ht="35" thickBot="1">
      <c r="A69" s="98" t="s">
        <v>568</v>
      </c>
      <c r="B69" s="97" t="s">
        <v>569</v>
      </c>
      <c r="C69" s="97">
        <v>0.05</v>
      </c>
      <c r="D69" s="97">
        <v>0.95</v>
      </c>
    </row>
    <row r="70" spans="1:4" ht="23.5" thickBot="1">
      <c r="A70" s="98" t="s">
        <v>570</v>
      </c>
      <c r="B70" s="97" t="s">
        <v>571</v>
      </c>
      <c r="C70" s="97">
        <v>0.05</v>
      </c>
      <c r="D70" s="97">
        <v>0.95</v>
      </c>
    </row>
    <row r="71" spans="1:4" ht="23.5" thickBot="1">
      <c r="A71" s="98" t="s">
        <v>572</v>
      </c>
      <c r="B71" s="97" t="s">
        <v>573</v>
      </c>
      <c r="C71" s="97">
        <v>0.03</v>
      </c>
      <c r="D71" s="97">
        <v>0.97</v>
      </c>
    </row>
    <row r="72" spans="1:4" ht="35" thickBot="1">
      <c r="A72" s="98" t="s">
        <v>574</v>
      </c>
      <c r="B72" s="103"/>
      <c r="C72" s="97">
        <v>7.0000000000000007E-2</v>
      </c>
      <c r="D72" s="97">
        <v>0.93</v>
      </c>
    </row>
    <row r="73" spans="1:4">
      <c r="A73" s="104"/>
    </row>
    <row r="74" spans="1:4" ht="13" thickBot="1">
      <c r="A74" s="101" t="s">
        <v>575</v>
      </c>
      <c r="B74" s="101" t="s">
        <v>576</v>
      </c>
    </row>
    <row r="75" spans="1:4">
      <c r="A75" s="592" t="s">
        <v>465</v>
      </c>
      <c r="B75" s="592" t="s">
        <v>547</v>
      </c>
      <c r="C75" s="141" t="s">
        <v>548</v>
      </c>
      <c r="D75" s="141" t="s">
        <v>549</v>
      </c>
    </row>
    <row r="76" spans="1:4" ht="23.5" thickBot="1">
      <c r="A76" s="593"/>
      <c r="B76" s="593"/>
      <c r="C76" s="142" t="s">
        <v>550</v>
      </c>
      <c r="D76" s="142" t="s">
        <v>550</v>
      </c>
    </row>
    <row r="77" spans="1:4" ht="13" thickBot="1">
      <c r="A77" s="98" t="s">
        <v>551</v>
      </c>
      <c r="B77" s="97" t="s">
        <v>577</v>
      </c>
      <c r="C77" s="97">
        <v>0.24</v>
      </c>
      <c r="D77" s="97">
        <v>0.76</v>
      </c>
    </row>
    <row r="78" spans="1:4" ht="13" thickBot="1">
      <c r="A78" s="98" t="s">
        <v>553</v>
      </c>
      <c r="B78" s="97" t="s">
        <v>578</v>
      </c>
      <c r="C78" s="97">
        <v>0.1</v>
      </c>
      <c r="D78" s="97">
        <v>0.9</v>
      </c>
    </row>
    <row r="79" spans="1:4" ht="35" thickBot="1">
      <c r="A79" s="98" t="s">
        <v>579</v>
      </c>
      <c r="B79" s="97" t="s">
        <v>580</v>
      </c>
      <c r="C79" s="97">
        <v>0.1</v>
      </c>
      <c r="D79" s="97">
        <v>0.9</v>
      </c>
    </row>
    <row r="80" spans="1:4" ht="35" thickBot="1">
      <c r="A80" s="98" t="s">
        <v>556</v>
      </c>
      <c r="B80" s="97" t="s">
        <v>581</v>
      </c>
      <c r="C80" s="97">
        <v>0.1</v>
      </c>
      <c r="D80" s="97">
        <v>0.9</v>
      </c>
    </row>
    <row r="81" spans="1:4" ht="23.5" thickBot="1">
      <c r="A81" s="98" t="s">
        <v>558</v>
      </c>
      <c r="B81" s="97" t="s">
        <v>582</v>
      </c>
      <c r="C81" s="97">
        <v>0.2</v>
      </c>
      <c r="D81" s="97">
        <v>0.8</v>
      </c>
    </row>
    <row r="82" spans="1:4" ht="23.5" thickBot="1">
      <c r="A82" s="98" t="s">
        <v>560</v>
      </c>
      <c r="B82" s="97" t="s">
        <v>561</v>
      </c>
      <c r="C82" s="97">
        <v>0.08</v>
      </c>
      <c r="D82" s="97">
        <v>0.92</v>
      </c>
    </row>
    <row r="83" spans="1:4" ht="13" thickBot="1">
      <c r="A83" s="98" t="s">
        <v>562</v>
      </c>
      <c r="B83" s="97" t="s">
        <v>563</v>
      </c>
      <c r="C83" s="97">
        <v>0.26</v>
      </c>
      <c r="D83" s="97">
        <v>0.74</v>
      </c>
    </row>
    <row r="84" spans="1:4" ht="23.5" thickBot="1">
      <c r="A84" s="98" t="s">
        <v>564</v>
      </c>
      <c r="B84" s="97" t="s">
        <v>565</v>
      </c>
      <c r="C84" s="97">
        <v>0.11</v>
      </c>
      <c r="D84" s="97">
        <v>0.89</v>
      </c>
    </row>
    <row r="85" spans="1:4" ht="23.5" thickBot="1">
      <c r="A85" s="98" t="s">
        <v>566</v>
      </c>
      <c r="B85" s="97" t="s">
        <v>567</v>
      </c>
      <c r="C85" s="97">
        <v>0.11</v>
      </c>
      <c r="D85" s="97">
        <v>0.89</v>
      </c>
    </row>
    <row r="86" spans="1:4" ht="35" thickBot="1">
      <c r="A86" s="98" t="s">
        <v>568</v>
      </c>
      <c r="B86" s="97" t="s">
        <v>569</v>
      </c>
      <c r="C86" s="97">
        <v>0.1</v>
      </c>
      <c r="D86" s="97">
        <v>0.9</v>
      </c>
    </row>
    <row r="87" spans="1:4" ht="23.5" thickBot="1">
      <c r="A87" s="98" t="s">
        <v>570</v>
      </c>
      <c r="B87" s="97" t="s">
        <v>571</v>
      </c>
      <c r="C87" s="97">
        <v>0.09</v>
      </c>
      <c r="D87" s="97">
        <v>0.91</v>
      </c>
    </row>
    <row r="88" spans="1:4" ht="23.5" thickBot="1">
      <c r="A88" s="98" t="s">
        <v>572</v>
      </c>
      <c r="B88" s="97" t="s">
        <v>573</v>
      </c>
      <c r="C88" s="97">
        <v>0.1</v>
      </c>
      <c r="D88" s="97">
        <v>0.9</v>
      </c>
    </row>
    <row r="89" spans="1:4" ht="35" thickBot="1">
      <c r="A89" s="98" t="s">
        <v>574</v>
      </c>
      <c r="B89" s="103"/>
      <c r="C89" s="97">
        <v>0.14000000000000001</v>
      </c>
      <c r="D89" s="97">
        <v>0.86</v>
      </c>
    </row>
    <row r="90" spans="1:4" ht="19.5">
      <c r="A90" s="102"/>
    </row>
    <row r="91" spans="1:4" ht="19.5">
      <c r="A91" s="102" t="s">
        <v>542</v>
      </c>
      <c r="B91" s="102" t="s">
        <v>543</v>
      </c>
    </row>
    <row r="92" spans="1:4" ht="13" thickBot="1">
      <c r="A92" s="101" t="s">
        <v>583</v>
      </c>
      <c r="B92" s="101" t="s">
        <v>584</v>
      </c>
    </row>
    <row r="93" spans="1:4">
      <c r="A93" s="592" t="s">
        <v>465</v>
      </c>
      <c r="B93" s="592" t="s">
        <v>547</v>
      </c>
      <c r="C93" s="141" t="s">
        <v>585</v>
      </c>
      <c r="D93" s="141" t="s">
        <v>586</v>
      </c>
    </row>
    <row r="94" spans="1:4" ht="23.5" thickBot="1">
      <c r="A94" s="593"/>
      <c r="B94" s="593"/>
      <c r="C94" s="142" t="s">
        <v>550</v>
      </c>
      <c r="D94" s="142" t="s">
        <v>550</v>
      </c>
    </row>
    <row r="95" spans="1:4" ht="13" thickBot="1">
      <c r="A95" s="98" t="s">
        <v>551</v>
      </c>
      <c r="B95" s="97" t="s">
        <v>552</v>
      </c>
      <c r="C95" s="97">
        <v>0.36</v>
      </c>
      <c r="D95" s="97">
        <v>0.64</v>
      </c>
    </row>
    <row r="96" spans="1:4" ht="13" thickBot="1">
      <c r="A96" s="98" t="s">
        <v>553</v>
      </c>
      <c r="B96" s="97" t="s">
        <v>510</v>
      </c>
      <c r="C96" s="97">
        <v>0.16</v>
      </c>
      <c r="D96" s="97">
        <v>0.84</v>
      </c>
    </row>
    <row r="97" spans="1:5" ht="35" thickBot="1">
      <c r="A97" s="98" t="s">
        <v>579</v>
      </c>
      <c r="B97" s="97" t="s">
        <v>555</v>
      </c>
      <c r="C97" s="97">
        <v>0.17</v>
      </c>
      <c r="D97" s="97">
        <v>0.83</v>
      </c>
    </row>
    <row r="98" spans="1:5" ht="35" thickBot="1">
      <c r="A98" s="98" t="s">
        <v>556</v>
      </c>
      <c r="B98" s="97" t="s">
        <v>557</v>
      </c>
      <c r="C98" s="97">
        <v>0.14000000000000001</v>
      </c>
      <c r="D98" s="97">
        <v>0.86</v>
      </c>
    </row>
    <row r="99" spans="1:5" ht="23.5" thickBot="1">
      <c r="A99" s="98" t="s">
        <v>558</v>
      </c>
      <c r="B99" s="97" t="s">
        <v>559</v>
      </c>
      <c r="C99" s="97">
        <v>0.26</v>
      </c>
      <c r="D99" s="97">
        <v>0.74</v>
      </c>
    </row>
    <row r="100" spans="1:5" ht="23.5" thickBot="1">
      <c r="A100" s="98" t="s">
        <v>560</v>
      </c>
      <c r="B100" s="97" t="s">
        <v>587</v>
      </c>
      <c r="C100" s="97">
        <v>0.12</v>
      </c>
      <c r="D100" s="97">
        <v>0.88</v>
      </c>
    </row>
    <row r="101" spans="1:5" ht="13" thickBot="1">
      <c r="A101" s="98" t="s">
        <v>562</v>
      </c>
      <c r="B101" s="97" t="s">
        <v>588</v>
      </c>
      <c r="C101" s="97">
        <v>0.44</v>
      </c>
      <c r="D101" s="97">
        <v>0.56000000000000005</v>
      </c>
    </row>
    <row r="102" spans="1:5" ht="23.5" thickBot="1">
      <c r="A102" s="98" t="s">
        <v>564</v>
      </c>
      <c r="B102" s="97" t="s">
        <v>589</v>
      </c>
      <c r="C102" s="97">
        <v>0.14000000000000001</v>
      </c>
      <c r="D102" s="97">
        <v>0.86</v>
      </c>
    </row>
    <row r="103" spans="1:5" ht="23.5" thickBot="1">
      <c r="A103" s="98" t="s">
        <v>566</v>
      </c>
      <c r="B103" s="97" t="s">
        <v>590</v>
      </c>
      <c r="C103" s="97">
        <v>0.14000000000000001</v>
      </c>
      <c r="D103" s="97">
        <v>0.86</v>
      </c>
    </row>
    <row r="104" spans="1:5" ht="35" thickBot="1">
      <c r="A104" s="98" t="s">
        <v>568</v>
      </c>
      <c r="B104" s="97" t="s">
        <v>591</v>
      </c>
      <c r="C104" s="97">
        <v>0.14000000000000001</v>
      </c>
      <c r="D104" s="97">
        <v>0.86</v>
      </c>
    </row>
    <row r="105" spans="1:5" ht="23.5" thickBot="1">
      <c r="A105" s="98" t="s">
        <v>570</v>
      </c>
      <c r="B105" s="97" t="s">
        <v>592</v>
      </c>
      <c r="C105" s="97">
        <v>0.13</v>
      </c>
      <c r="D105" s="97">
        <v>0.87</v>
      </c>
    </row>
    <row r="106" spans="1:5" ht="23.5" thickBot="1">
      <c r="A106" s="98" t="s">
        <v>572</v>
      </c>
      <c r="B106" s="97" t="s">
        <v>593</v>
      </c>
      <c r="C106" s="97">
        <v>0.16</v>
      </c>
      <c r="D106" s="97">
        <v>0.84</v>
      </c>
    </row>
    <row r="107" spans="1:5" ht="35" thickBot="1">
      <c r="A107" s="98" t="s">
        <v>574</v>
      </c>
      <c r="B107" s="97"/>
      <c r="C107" s="97">
        <v>0.2</v>
      </c>
      <c r="D107" s="97">
        <v>0.8</v>
      </c>
    </row>
    <row r="108" spans="1:5" ht="13" thickBot="1">
      <c r="A108" s="101" t="s">
        <v>594</v>
      </c>
      <c r="B108" s="101" t="s">
        <v>595</v>
      </c>
    </row>
    <row r="109" spans="1:5" ht="13" thickBot="1">
      <c r="A109" s="115"/>
      <c r="B109" s="114"/>
      <c r="C109" s="113" t="s">
        <v>245</v>
      </c>
      <c r="D109" s="113" t="s">
        <v>246</v>
      </c>
      <c r="E109" s="113" t="s">
        <v>247</v>
      </c>
    </row>
    <row r="110" spans="1:5" ht="43.4" customHeight="1" thickBot="1">
      <c r="A110" s="594" t="s">
        <v>478</v>
      </c>
      <c r="B110" s="112" t="s">
        <v>479</v>
      </c>
      <c r="C110" s="596">
        <v>1</v>
      </c>
      <c r="D110" s="596">
        <v>1.5</v>
      </c>
      <c r="E110" s="112">
        <v>4.5</v>
      </c>
    </row>
    <row r="111" spans="1:5" ht="13" thickBot="1">
      <c r="A111" s="595"/>
      <c r="B111" s="112" t="s">
        <v>481</v>
      </c>
      <c r="C111" s="597"/>
      <c r="D111" s="597"/>
      <c r="E111" s="112">
        <v>2.75</v>
      </c>
    </row>
    <row r="112" spans="1:5" ht="89.15" customHeight="1" thickBot="1">
      <c r="A112" s="594" t="s">
        <v>483</v>
      </c>
      <c r="B112" s="112" t="s">
        <v>479</v>
      </c>
      <c r="C112" s="596">
        <v>1</v>
      </c>
      <c r="D112" s="596">
        <v>1.9</v>
      </c>
      <c r="E112" s="112">
        <v>7.5</v>
      </c>
    </row>
    <row r="113" spans="1:26" ht="13" thickBot="1">
      <c r="A113" s="595"/>
      <c r="B113" s="112" t="s">
        <v>481</v>
      </c>
      <c r="C113" s="597"/>
      <c r="D113" s="597"/>
      <c r="E113" s="112">
        <v>4.5</v>
      </c>
    </row>
    <row r="114" spans="1:26" ht="54.65" customHeight="1" thickBot="1">
      <c r="A114" s="594" t="s">
        <v>596</v>
      </c>
      <c r="B114" s="112" t="s">
        <v>479</v>
      </c>
      <c r="C114" s="596">
        <v>1</v>
      </c>
      <c r="D114" s="596">
        <v>2.2999999999999998</v>
      </c>
      <c r="E114" s="112">
        <v>13</v>
      </c>
    </row>
    <row r="115" spans="1:26" ht="13" thickBot="1">
      <c r="A115" s="595"/>
      <c r="B115" s="112" t="s">
        <v>481</v>
      </c>
      <c r="C115" s="597"/>
      <c r="D115" s="597"/>
      <c r="E115" s="112">
        <v>7.5</v>
      </c>
    </row>
    <row r="116" spans="1:26" ht="13" thickBot="1">
      <c r="A116" s="144" t="s">
        <v>336</v>
      </c>
      <c r="B116" s="112" t="s">
        <v>488</v>
      </c>
      <c r="C116" s="112">
        <v>1</v>
      </c>
      <c r="D116" s="112">
        <v>1.9</v>
      </c>
      <c r="E116" s="112">
        <v>1.9</v>
      </c>
    </row>
    <row r="117" spans="1:26" ht="13" thickBot="1">
      <c r="A117" s="144" t="s">
        <v>488</v>
      </c>
      <c r="B117" s="112" t="s">
        <v>488</v>
      </c>
      <c r="C117" s="112">
        <v>1</v>
      </c>
      <c r="D117" s="112">
        <v>1.7</v>
      </c>
      <c r="E117" s="112">
        <v>3.6</v>
      </c>
    </row>
    <row r="118" spans="1:26" ht="13" thickBot="1">
      <c r="A118" s="101" t="s">
        <v>597</v>
      </c>
      <c r="B118" s="101" t="s">
        <v>598</v>
      </c>
    </row>
    <row r="119" spans="1:26" ht="23.5" thickBot="1">
      <c r="A119" s="111" t="s">
        <v>497</v>
      </c>
      <c r="B119" s="145" t="s">
        <v>498</v>
      </c>
      <c r="C119" s="145" t="s">
        <v>499</v>
      </c>
      <c r="D119" s="145" t="s">
        <v>336</v>
      </c>
    </row>
    <row r="120" spans="1:26" ht="35" thickBot="1">
      <c r="A120" s="98" t="s">
        <v>501</v>
      </c>
      <c r="B120" s="110">
        <v>7</v>
      </c>
      <c r="C120" s="110">
        <v>18.5</v>
      </c>
      <c r="D120" s="110">
        <v>7</v>
      </c>
    </row>
    <row r="121" spans="1:26" ht="19.5">
      <c r="A121" s="102"/>
    </row>
    <row r="122" spans="1:26" ht="21" thickBot="1">
      <c r="A122" s="102" t="s">
        <v>542</v>
      </c>
      <c r="B122" s="102" t="s">
        <v>543</v>
      </c>
      <c r="S122" s="324" t="s">
        <v>844</v>
      </c>
      <c r="T122" s="324"/>
      <c r="U122" s="324"/>
      <c r="V122" s="324"/>
      <c r="W122" s="324"/>
      <c r="X122" s="324"/>
      <c r="Y122" s="324"/>
      <c r="Z122" s="324"/>
    </row>
    <row r="123" spans="1:26" ht="14" thickTop="1" thickBot="1">
      <c r="A123" s="101" t="s">
        <v>599</v>
      </c>
      <c r="B123" s="101" t="s">
        <v>600</v>
      </c>
      <c r="S123" s="313"/>
      <c r="T123" s="313"/>
      <c r="U123" s="313"/>
      <c r="V123" s="313"/>
      <c r="W123" s="313"/>
      <c r="X123" s="313"/>
      <c r="Y123" s="313"/>
      <c r="Z123" s="313"/>
    </row>
    <row r="124" spans="1:26" ht="34.4" customHeight="1" thickBot="1">
      <c r="A124" s="604" t="s">
        <v>601</v>
      </c>
      <c r="B124" s="606"/>
      <c r="C124" s="604" t="s">
        <v>838</v>
      </c>
      <c r="D124" s="605"/>
      <c r="E124" s="605"/>
      <c r="F124" s="605"/>
      <c r="G124" s="605"/>
      <c r="H124" s="606"/>
      <c r="S124" s="129" t="s">
        <v>845</v>
      </c>
      <c r="T124"/>
      <c r="U124"/>
      <c r="V124"/>
      <c r="W124"/>
      <c r="X124"/>
      <c r="Y124"/>
      <c r="Z124"/>
    </row>
    <row r="125" spans="1:26" ht="20.5" customHeight="1" thickBot="1">
      <c r="A125" s="100" t="s">
        <v>465</v>
      </c>
      <c r="B125" s="100" t="s">
        <v>547</v>
      </c>
      <c r="C125" s="592" t="s">
        <v>602</v>
      </c>
      <c r="D125" s="592" t="s">
        <v>603</v>
      </c>
      <c r="E125" s="592" t="s">
        <v>604</v>
      </c>
      <c r="F125" s="592" t="s">
        <v>605</v>
      </c>
      <c r="G125" s="109" t="s">
        <v>606</v>
      </c>
      <c r="H125" s="592" t="s">
        <v>468</v>
      </c>
      <c r="S125" s="140" t="s">
        <v>846</v>
      </c>
      <c r="T125" s="140"/>
      <c r="U125" s="140" t="s">
        <v>847</v>
      </c>
      <c r="V125" s="140"/>
      <c r="W125" s="140"/>
      <c r="X125" s="140"/>
      <c r="Y125" s="140"/>
      <c r="Z125" s="140"/>
    </row>
    <row r="126" spans="1:26" ht="42.5" thickBot="1">
      <c r="A126" s="99"/>
      <c r="B126" s="99"/>
      <c r="C126" s="593"/>
      <c r="D126" s="593"/>
      <c r="E126" s="593"/>
      <c r="F126" s="593"/>
      <c r="G126" s="142" t="s">
        <v>607</v>
      </c>
      <c r="H126" s="593"/>
      <c r="S126" s="314" t="s">
        <v>465</v>
      </c>
      <c r="T126" s="314" t="s">
        <v>547</v>
      </c>
      <c r="U126" s="314" t="s">
        <v>848</v>
      </c>
      <c r="V126" s="314" t="s">
        <v>849</v>
      </c>
      <c r="W126" s="314" t="s">
        <v>604</v>
      </c>
      <c r="X126" s="314" t="s">
        <v>605</v>
      </c>
      <c r="Y126" s="314" t="s">
        <v>850</v>
      </c>
      <c r="Z126" s="314" t="s">
        <v>468</v>
      </c>
    </row>
    <row r="127" spans="1:26" ht="14.15" customHeight="1" thickBot="1">
      <c r="A127" s="98" t="s">
        <v>608</v>
      </c>
      <c r="B127" s="25">
        <v>1</v>
      </c>
      <c r="C127" s="106">
        <f>U127*1000000</f>
        <v>12700000</v>
      </c>
      <c r="D127" s="106">
        <f t="shared" ref="D127:H127" si="0">V127*1000000</f>
        <v>13000000</v>
      </c>
      <c r="E127" s="106">
        <f t="shared" si="0"/>
        <v>12900000</v>
      </c>
      <c r="F127" s="106">
        <f t="shared" si="0"/>
        <v>12900000</v>
      </c>
      <c r="G127" s="106">
        <f t="shared" si="0"/>
        <v>16700000</v>
      </c>
      <c r="H127" s="106">
        <f t="shared" si="0"/>
        <v>14100000</v>
      </c>
      <c r="I127" s="25">
        <f>IF('SP3-6'!E8="",0,1)</f>
        <v>0</v>
      </c>
      <c r="J127" s="25" t="e">
        <f>VLOOKUP('SP3-6'!E8,K127:L139,2,FALSE)</f>
        <v>#N/A</v>
      </c>
      <c r="K127" s="98" t="s">
        <v>608</v>
      </c>
      <c r="L127" s="25">
        <v>1</v>
      </c>
      <c r="M127" s="25" t="e">
        <f>VLOOKUP('SP3-6'!N8,N127:O139,2,FALSE)</f>
        <v>#N/A</v>
      </c>
      <c r="N127" s="107" t="s">
        <v>602</v>
      </c>
      <c r="O127" s="25">
        <v>1</v>
      </c>
      <c r="S127" s="130" t="s">
        <v>608</v>
      </c>
      <c r="T127" s="130" t="s">
        <v>851</v>
      </c>
      <c r="U127" s="315">
        <v>12.7</v>
      </c>
      <c r="V127" s="315">
        <v>13</v>
      </c>
      <c r="W127" s="315">
        <v>12.9</v>
      </c>
      <c r="X127" s="315">
        <v>12.9</v>
      </c>
      <c r="Y127" s="315">
        <v>16.7</v>
      </c>
      <c r="Z127" s="315">
        <v>14.1</v>
      </c>
    </row>
    <row r="128" spans="1:26" ht="14.5" thickBot="1">
      <c r="A128" s="98" t="s">
        <v>609</v>
      </c>
      <c r="B128" s="25">
        <v>2</v>
      </c>
      <c r="C128" s="106">
        <f t="shared" ref="C128:C139" si="1">U128*1000000</f>
        <v>12700000</v>
      </c>
      <c r="D128" s="106">
        <f t="shared" ref="D128:D139" si="2">V128*1000000</f>
        <v>13000000</v>
      </c>
      <c r="E128" s="106">
        <f t="shared" ref="E128:E139" si="3">W128*1000000</f>
        <v>12900000</v>
      </c>
      <c r="F128" s="106">
        <f t="shared" ref="F128:F139" si="4">X128*1000000</f>
        <v>12900000</v>
      </c>
      <c r="G128" s="106">
        <f t="shared" ref="G128:G139" si="5">Y128*1000000</f>
        <v>14900000</v>
      </c>
      <c r="H128" s="106">
        <f t="shared" ref="H128:H139" si="6">Z128*1000000</f>
        <v>13600000</v>
      </c>
      <c r="I128" s="25">
        <f>IF('SP3-6'!N8="",0,1)</f>
        <v>0</v>
      </c>
      <c r="J128" s="105">
        <f ca="1">IF(I129=0,0,OFFSET(B126,$J$127,$M$127))</f>
        <v>0</v>
      </c>
      <c r="K128" s="98" t="s">
        <v>609</v>
      </c>
      <c r="L128" s="25">
        <v>2</v>
      </c>
      <c r="N128" s="107" t="s">
        <v>603</v>
      </c>
      <c r="O128" s="25">
        <v>2</v>
      </c>
      <c r="S128" s="130" t="s">
        <v>609</v>
      </c>
      <c r="T128" s="130" t="s">
        <v>510</v>
      </c>
      <c r="U128" s="315">
        <v>12.7</v>
      </c>
      <c r="V128" s="315">
        <v>13</v>
      </c>
      <c r="W128" s="315">
        <v>12.9</v>
      </c>
      <c r="X128" s="315">
        <v>12.9</v>
      </c>
      <c r="Y128" s="315">
        <v>14.9</v>
      </c>
      <c r="Z128" s="315">
        <v>13.6</v>
      </c>
    </row>
    <row r="129" spans="1:26" ht="42.5" thickBot="1">
      <c r="A129" s="98" t="s">
        <v>466</v>
      </c>
      <c r="B129" s="25">
        <v>3</v>
      </c>
      <c r="C129" s="106">
        <f t="shared" si="1"/>
        <v>12700000</v>
      </c>
      <c r="D129" s="106">
        <f t="shared" si="2"/>
        <v>13000000</v>
      </c>
      <c r="E129" s="106">
        <f t="shared" si="3"/>
        <v>12900000</v>
      </c>
      <c r="F129" s="106">
        <f t="shared" si="4"/>
        <v>12900000</v>
      </c>
      <c r="G129" s="106">
        <f t="shared" si="5"/>
        <v>15900000</v>
      </c>
      <c r="H129" s="106">
        <f t="shared" si="6"/>
        <v>15500000</v>
      </c>
      <c r="I129" s="25">
        <f>IF(I127+I128=0,0,1)</f>
        <v>0</v>
      </c>
      <c r="K129" s="98" t="s">
        <v>466</v>
      </c>
      <c r="L129" s="25">
        <v>3</v>
      </c>
      <c r="N129" s="107" t="s">
        <v>604</v>
      </c>
      <c r="O129" s="25">
        <v>3</v>
      </c>
      <c r="S129" s="130" t="s">
        <v>466</v>
      </c>
      <c r="T129" s="130" t="s">
        <v>852</v>
      </c>
      <c r="U129" s="315">
        <v>12.7</v>
      </c>
      <c r="V129" s="315">
        <v>13</v>
      </c>
      <c r="W129" s="315">
        <v>12.9</v>
      </c>
      <c r="X129" s="315">
        <v>12.9</v>
      </c>
      <c r="Y129" s="315">
        <v>15.9</v>
      </c>
      <c r="Z129" s="315">
        <v>15.5</v>
      </c>
    </row>
    <row r="130" spans="1:26" ht="42.5" thickBot="1">
      <c r="A130" s="98" t="s">
        <v>610</v>
      </c>
      <c r="B130" s="25">
        <v>4</v>
      </c>
      <c r="C130" s="106">
        <f t="shared" si="1"/>
        <v>12700000</v>
      </c>
      <c r="D130" s="106">
        <f t="shared" si="2"/>
        <v>13000000</v>
      </c>
      <c r="E130" s="106">
        <f t="shared" si="3"/>
        <v>12900000</v>
      </c>
      <c r="F130" s="106">
        <f t="shared" si="4"/>
        <v>12900000</v>
      </c>
      <c r="G130" s="106">
        <f t="shared" si="5"/>
        <v>14900000</v>
      </c>
      <c r="H130" s="106">
        <f t="shared" si="6"/>
        <v>14200000</v>
      </c>
      <c r="K130" s="98" t="s">
        <v>610</v>
      </c>
      <c r="L130" s="25">
        <v>4</v>
      </c>
      <c r="N130" s="107" t="s">
        <v>605</v>
      </c>
      <c r="O130" s="25">
        <v>4</v>
      </c>
      <c r="S130" s="130" t="s">
        <v>610</v>
      </c>
      <c r="T130" s="130" t="s">
        <v>557</v>
      </c>
      <c r="U130" s="315">
        <v>12.7</v>
      </c>
      <c r="V130" s="315">
        <v>13</v>
      </c>
      <c r="W130" s="315">
        <v>12.9</v>
      </c>
      <c r="X130" s="315">
        <v>12.9</v>
      </c>
      <c r="Y130" s="315">
        <v>14.9</v>
      </c>
      <c r="Z130" s="315">
        <v>14.2</v>
      </c>
    </row>
    <row r="131" spans="1:26" ht="28.5" thickBot="1">
      <c r="A131" s="98" t="s">
        <v>611</v>
      </c>
      <c r="B131" s="25">
        <v>5</v>
      </c>
      <c r="C131" s="106">
        <f t="shared" si="1"/>
        <v>12700000</v>
      </c>
      <c r="D131" s="106">
        <f t="shared" si="2"/>
        <v>13000000</v>
      </c>
      <c r="E131" s="106">
        <f t="shared" si="3"/>
        <v>12900000</v>
      </c>
      <c r="F131" s="106">
        <f t="shared" si="4"/>
        <v>12900000</v>
      </c>
      <c r="G131" s="106">
        <f t="shared" si="5"/>
        <v>12700000</v>
      </c>
      <c r="H131" s="106">
        <f t="shared" si="6"/>
        <v>12700000</v>
      </c>
      <c r="K131" s="98" t="s">
        <v>611</v>
      </c>
      <c r="L131" s="25">
        <v>5</v>
      </c>
      <c r="N131" s="108" t="s">
        <v>612</v>
      </c>
      <c r="O131" s="25">
        <v>5</v>
      </c>
      <c r="S131" s="130" t="s">
        <v>611</v>
      </c>
      <c r="T131" s="130" t="s">
        <v>559</v>
      </c>
      <c r="U131" s="315">
        <v>12.7</v>
      </c>
      <c r="V131" s="315">
        <v>13</v>
      </c>
      <c r="W131" s="315">
        <v>12.9</v>
      </c>
      <c r="X131" s="315">
        <v>12.9</v>
      </c>
      <c r="Y131" s="315">
        <v>12.7</v>
      </c>
      <c r="Z131" s="315">
        <v>12.7</v>
      </c>
    </row>
    <row r="132" spans="1:26" ht="42.5" thickBot="1">
      <c r="A132" s="98" t="s">
        <v>613</v>
      </c>
      <c r="B132" s="25">
        <v>6</v>
      </c>
      <c r="C132" s="106">
        <f t="shared" si="1"/>
        <v>12700000</v>
      </c>
      <c r="D132" s="106">
        <f t="shared" si="2"/>
        <v>13000000</v>
      </c>
      <c r="E132" s="106">
        <f t="shared" si="3"/>
        <v>12900000</v>
      </c>
      <c r="F132" s="106">
        <f t="shared" si="4"/>
        <v>12900000</v>
      </c>
      <c r="G132" s="106">
        <f t="shared" si="5"/>
        <v>14900000</v>
      </c>
      <c r="H132" s="106">
        <f t="shared" si="6"/>
        <v>12700000</v>
      </c>
      <c r="K132" s="98" t="s">
        <v>613</v>
      </c>
      <c r="L132" s="25">
        <v>6</v>
      </c>
      <c r="N132" s="107" t="s">
        <v>468</v>
      </c>
      <c r="O132" s="25">
        <v>6</v>
      </c>
      <c r="S132" s="130" t="s">
        <v>613</v>
      </c>
      <c r="T132" s="130" t="s">
        <v>853</v>
      </c>
      <c r="U132" s="315">
        <v>12.7</v>
      </c>
      <c r="V132" s="315">
        <v>13</v>
      </c>
      <c r="W132" s="315">
        <v>12.9</v>
      </c>
      <c r="X132" s="315">
        <v>12.9</v>
      </c>
      <c r="Y132" s="315">
        <v>14.9</v>
      </c>
      <c r="Z132" s="315">
        <v>12.7</v>
      </c>
    </row>
    <row r="133" spans="1:26" ht="28.5" thickBot="1">
      <c r="A133" s="98" t="s">
        <v>479</v>
      </c>
      <c r="B133" s="25">
        <v>7</v>
      </c>
      <c r="C133" s="106">
        <f t="shared" si="1"/>
        <v>12700000</v>
      </c>
      <c r="D133" s="106">
        <f t="shared" si="2"/>
        <v>13000000</v>
      </c>
      <c r="E133" s="106">
        <f t="shared" si="3"/>
        <v>12900000</v>
      </c>
      <c r="F133" s="106">
        <f t="shared" si="4"/>
        <v>12700000</v>
      </c>
      <c r="G133" s="106">
        <f t="shared" si="5"/>
        <v>12700000</v>
      </c>
      <c r="H133" s="106">
        <f t="shared" si="6"/>
        <v>12700000</v>
      </c>
      <c r="K133" s="98" t="s">
        <v>479</v>
      </c>
      <c r="L133" s="25">
        <v>7</v>
      </c>
      <c r="S133" s="130" t="s">
        <v>479</v>
      </c>
      <c r="T133" s="130" t="s">
        <v>854</v>
      </c>
      <c r="U133" s="315">
        <v>12.7</v>
      </c>
      <c r="V133" s="315">
        <v>13</v>
      </c>
      <c r="W133" s="315">
        <v>12.9</v>
      </c>
      <c r="X133" s="315">
        <v>12.7</v>
      </c>
      <c r="Y133" s="315">
        <v>12.7</v>
      </c>
      <c r="Z133" s="315">
        <v>12.7</v>
      </c>
    </row>
    <row r="134" spans="1:26" ht="28.5" thickBot="1">
      <c r="A134" s="98" t="s">
        <v>614</v>
      </c>
      <c r="B134" s="25">
        <v>8</v>
      </c>
      <c r="C134" s="106">
        <f t="shared" si="1"/>
        <v>12700000</v>
      </c>
      <c r="D134" s="106">
        <f t="shared" si="2"/>
        <v>13000000</v>
      </c>
      <c r="E134" s="106">
        <f t="shared" si="3"/>
        <v>12900000</v>
      </c>
      <c r="F134" s="106">
        <f t="shared" si="4"/>
        <v>12900000</v>
      </c>
      <c r="G134" s="106">
        <f t="shared" si="5"/>
        <v>14900000</v>
      </c>
      <c r="H134" s="106">
        <f t="shared" si="6"/>
        <v>14200000</v>
      </c>
      <c r="K134" s="98" t="s">
        <v>614</v>
      </c>
      <c r="L134" s="25">
        <v>8</v>
      </c>
      <c r="S134" s="130" t="s">
        <v>614</v>
      </c>
      <c r="T134" s="130" t="s">
        <v>855</v>
      </c>
      <c r="U134" s="315">
        <v>12.7</v>
      </c>
      <c r="V134" s="315">
        <v>13</v>
      </c>
      <c r="W134" s="315">
        <v>12.9</v>
      </c>
      <c r="X134" s="315">
        <v>12.9</v>
      </c>
      <c r="Y134" s="315">
        <v>14.9</v>
      </c>
      <c r="Z134" s="315">
        <v>14.2</v>
      </c>
    </row>
    <row r="135" spans="1:26" ht="28.5" thickBot="1">
      <c r="A135" s="98" t="s">
        <v>615</v>
      </c>
      <c r="B135" s="25">
        <v>9</v>
      </c>
      <c r="C135" s="106">
        <f t="shared" si="1"/>
        <v>12700000</v>
      </c>
      <c r="D135" s="106">
        <f t="shared" si="2"/>
        <v>13000000</v>
      </c>
      <c r="E135" s="106">
        <f t="shared" si="3"/>
        <v>12900000</v>
      </c>
      <c r="F135" s="106">
        <f t="shared" si="4"/>
        <v>12900000</v>
      </c>
      <c r="G135" s="106">
        <f t="shared" si="5"/>
        <v>14900000</v>
      </c>
      <c r="H135" s="106">
        <f t="shared" si="6"/>
        <v>14200000</v>
      </c>
      <c r="K135" s="98" t="s">
        <v>615</v>
      </c>
      <c r="L135" s="25">
        <v>9</v>
      </c>
      <c r="S135" s="130" t="s">
        <v>615</v>
      </c>
      <c r="T135" s="130" t="s">
        <v>856</v>
      </c>
      <c r="U135" s="315">
        <v>12.7</v>
      </c>
      <c r="V135" s="315">
        <v>13</v>
      </c>
      <c r="W135" s="315">
        <v>12.9</v>
      </c>
      <c r="X135" s="315">
        <v>12.9</v>
      </c>
      <c r="Y135" s="315">
        <v>14.9</v>
      </c>
      <c r="Z135" s="315">
        <v>14.2</v>
      </c>
    </row>
    <row r="136" spans="1:26" ht="42.5" thickBot="1">
      <c r="A136" s="98" t="s">
        <v>616</v>
      </c>
      <c r="B136" s="25">
        <v>10</v>
      </c>
      <c r="C136" s="106">
        <f t="shared" si="1"/>
        <v>12700000</v>
      </c>
      <c r="D136" s="106">
        <f t="shared" si="2"/>
        <v>13000000</v>
      </c>
      <c r="E136" s="106">
        <f t="shared" si="3"/>
        <v>12900000</v>
      </c>
      <c r="F136" s="106">
        <f t="shared" si="4"/>
        <v>12900000</v>
      </c>
      <c r="G136" s="106">
        <f t="shared" si="5"/>
        <v>14900000</v>
      </c>
      <c r="H136" s="106">
        <f t="shared" si="6"/>
        <v>14200000</v>
      </c>
      <c r="K136" s="98" t="s">
        <v>616</v>
      </c>
      <c r="L136" s="25">
        <v>10</v>
      </c>
      <c r="S136" s="130" t="s">
        <v>616</v>
      </c>
      <c r="T136" s="130" t="s">
        <v>857</v>
      </c>
      <c r="U136" s="315">
        <v>12.7</v>
      </c>
      <c r="V136" s="315">
        <v>13</v>
      </c>
      <c r="W136" s="315">
        <v>12.9</v>
      </c>
      <c r="X136" s="315">
        <v>12.9</v>
      </c>
      <c r="Y136" s="315">
        <v>14.9</v>
      </c>
      <c r="Z136" s="315">
        <v>14.2</v>
      </c>
    </row>
    <row r="137" spans="1:26" ht="23.5" customHeight="1" thickBot="1">
      <c r="A137" s="98" t="s">
        <v>617</v>
      </c>
      <c r="B137" s="25">
        <v>11</v>
      </c>
      <c r="C137" s="106">
        <f t="shared" si="1"/>
        <v>12700000</v>
      </c>
      <c r="D137" s="106">
        <f t="shared" si="2"/>
        <v>13000000</v>
      </c>
      <c r="E137" s="106">
        <f t="shared" si="3"/>
        <v>12900000</v>
      </c>
      <c r="F137" s="106">
        <f t="shared" si="4"/>
        <v>12900000</v>
      </c>
      <c r="G137" s="106">
        <f t="shared" si="5"/>
        <v>15300000</v>
      </c>
      <c r="H137" s="106">
        <f t="shared" si="6"/>
        <v>14200000</v>
      </c>
      <c r="K137" s="98" t="s">
        <v>617</v>
      </c>
      <c r="L137" s="25">
        <v>11</v>
      </c>
      <c r="S137" s="130" t="s">
        <v>617</v>
      </c>
      <c r="T137" s="130" t="s">
        <v>592</v>
      </c>
      <c r="U137" s="315">
        <v>12.7</v>
      </c>
      <c r="V137" s="315">
        <v>13</v>
      </c>
      <c r="W137" s="315">
        <v>12.9</v>
      </c>
      <c r="X137" s="315">
        <v>12.9</v>
      </c>
      <c r="Y137" s="315">
        <v>15.3</v>
      </c>
      <c r="Z137" s="315">
        <v>14.2</v>
      </c>
    </row>
    <row r="138" spans="1:26" ht="28.5" thickBot="1">
      <c r="A138" s="98" t="s">
        <v>618</v>
      </c>
      <c r="B138" s="25">
        <v>12</v>
      </c>
      <c r="C138" s="106">
        <f t="shared" si="1"/>
        <v>12700000</v>
      </c>
      <c r="D138" s="106">
        <f t="shared" si="2"/>
        <v>12900000</v>
      </c>
      <c r="E138" s="106">
        <f t="shared" si="3"/>
        <v>12900000</v>
      </c>
      <c r="F138" s="106">
        <f t="shared" si="4"/>
        <v>12900000</v>
      </c>
      <c r="G138" s="106">
        <f t="shared" si="5"/>
        <v>14900000</v>
      </c>
      <c r="H138" s="106">
        <f t="shared" si="6"/>
        <v>13900000</v>
      </c>
      <c r="K138" s="98" t="s">
        <v>618</v>
      </c>
      <c r="L138" s="25">
        <v>12</v>
      </c>
      <c r="S138" s="130" t="s">
        <v>618</v>
      </c>
      <c r="T138" s="130" t="s">
        <v>858</v>
      </c>
      <c r="U138" s="315">
        <v>12.7</v>
      </c>
      <c r="V138" s="315">
        <v>12.9</v>
      </c>
      <c r="W138" s="315">
        <v>12.9</v>
      </c>
      <c r="X138" s="315">
        <v>12.9</v>
      </c>
      <c r="Y138" s="315">
        <v>14.9</v>
      </c>
      <c r="Z138" s="315">
        <v>13.9</v>
      </c>
    </row>
    <row r="139" spans="1:26" ht="42.5" thickBot="1">
      <c r="A139" s="98" t="s">
        <v>501</v>
      </c>
      <c r="B139" s="25">
        <v>13</v>
      </c>
      <c r="C139" s="106">
        <f t="shared" si="1"/>
        <v>12700000</v>
      </c>
      <c r="D139" s="106">
        <f t="shared" si="2"/>
        <v>13000000</v>
      </c>
      <c r="E139" s="106">
        <f t="shared" si="3"/>
        <v>12900000</v>
      </c>
      <c r="F139" s="106">
        <f t="shared" si="4"/>
        <v>12900000</v>
      </c>
      <c r="G139" s="106">
        <f t="shared" si="5"/>
        <v>14900000</v>
      </c>
      <c r="H139" s="106">
        <f t="shared" si="6"/>
        <v>14200000</v>
      </c>
      <c r="K139" s="98" t="s">
        <v>501</v>
      </c>
      <c r="L139" s="25">
        <v>13</v>
      </c>
      <c r="S139" s="130" t="s">
        <v>501</v>
      </c>
      <c r="T139" s="130"/>
      <c r="U139" s="315">
        <v>12.7</v>
      </c>
      <c r="V139" s="315">
        <v>13</v>
      </c>
      <c r="W139" s="315">
        <v>12.9</v>
      </c>
      <c r="X139" s="315">
        <v>12.9</v>
      </c>
      <c r="Y139" s="315">
        <v>14.9</v>
      </c>
      <c r="Z139" s="315">
        <v>14.2</v>
      </c>
    </row>
    <row r="140" spans="1:26" ht="14">
      <c r="A140" s="104"/>
      <c r="B140" s="25">
        <v>14</v>
      </c>
      <c r="S140" s="316"/>
      <c r="T140" s="316"/>
      <c r="U140" s="316"/>
      <c r="V140" s="316"/>
      <c r="W140" s="316"/>
      <c r="X140" s="316"/>
      <c r="Y140" s="316"/>
      <c r="Z140" s="316"/>
    </row>
    <row r="141" spans="1:26" ht="16" thickBot="1">
      <c r="A141" s="101" t="s">
        <v>619</v>
      </c>
      <c r="B141" s="101" t="s">
        <v>620</v>
      </c>
      <c r="S141" s="129" t="s">
        <v>859</v>
      </c>
      <c r="T141"/>
      <c r="U141"/>
      <c r="V141"/>
      <c r="W141"/>
      <c r="X141"/>
      <c r="Y141"/>
      <c r="Z141"/>
    </row>
    <row r="142" spans="1:26" ht="34.4" customHeight="1" thickBot="1">
      <c r="A142" s="604" t="s">
        <v>621</v>
      </c>
      <c r="B142" s="606"/>
      <c r="C142" s="604" t="s">
        <v>838</v>
      </c>
      <c r="D142" s="605"/>
      <c r="E142" s="605"/>
      <c r="F142" s="605"/>
      <c r="G142" s="605"/>
      <c r="H142" s="606"/>
      <c r="S142" s="318" t="s">
        <v>860</v>
      </c>
      <c r="T142" s="318"/>
      <c r="U142" s="318" t="s">
        <v>861</v>
      </c>
      <c r="V142" s="318"/>
      <c r="W142" s="318"/>
      <c r="X142" s="318"/>
      <c r="Y142" s="318"/>
      <c r="Z142" s="318"/>
    </row>
    <row r="143" spans="1:26" ht="42.5" thickBot="1">
      <c r="A143" s="143" t="s">
        <v>465</v>
      </c>
      <c r="B143" s="142" t="s">
        <v>547</v>
      </c>
      <c r="C143" s="142" t="s">
        <v>602</v>
      </c>
      <c r="D143" s="142" t="s">
        <v>603</v>
      </c>
      <c r="E143" s="142" t="s">
        <v>604</v>
      </c>
      <c r="F143" s="142" t="s">
        <v>605</v>
      </c>
      <c r="G143" s="142" t="s">
        <v>612</v>
      </c>
      <c r="H143" s="142" t="s">
        <v>468</v>
      </c>
      <c r="S143" s="314" t="s">
        <v>465</v>
      </c>
      <c r="T143" s="314" t="s">
        <v>547</v>
      </c>
      <c r="U143" s="314" t="s">
        <v>848</v>
      </c>
      <c r="V143" s="314" t="s">
        <v>849</v>
      </c>
      <c r="W143" s="314" t="s">
        <v>604</v>
      </c>
      <c r="X143" s="314" t="s">
        <v>605</v>
      </c>
      <c r="Y143" s="314" t="s">
        <v>850</v>
      </c>
      <c r="Z143" s="314" t="s">
        <v>468</v>
      </c>
    </row>
    <row r="144" spans="1:26" ht="14.5" thickBot="1">
      <c r="A144" s="98" t="s">
        <v>608</v>
      </c>
      <c r="B144" s="25">
        <v>1</v>
      </c>
      <c r="C144" s="106">
        <f>U144*1000</f>
        <v>684000</v>
      </c>
      <c r="D144" s="106">
        <f t="shared" ref="D144:H144" si="7">V144*1000</f>
        <v>684000</v>
      </c>
      <c r="E144" s="106">
        <f t="shared" si="7"/>
        <v>707000</v>
      </c>
      <c r="F144" s="106">
        <f t="shared" si="7"/>
        <v>731000</v>
      </c>
      <c r="G144" s="106">
        <f t="shared" si="7"/>
        <v>1033000</v>
      </c>
      <c r="H144" s="106">
        <f t="shared" si="7"/>
        <v>930000</v>
      </c>
      <c r="S144" s="130" t="s">
        <v>608</v>
      </c>
      <c r="T144" s="130" t="s">
        <v>851</v>
      </c>
      <c r="U144" s="317">
        <v>684</v>
      </c>
      <c r="V144" s="317">
        <v>684</v>
      </c>
      <c r="W144" s="317">
        <v>707</v>
      </c>
      <c r="X144" s="317">
        <v>731</v>
      </c>
      <c r="Y144" s="317">
        <v>1033</v>
      </c>
      <c r="Z144" s="317">
        <v>930</v>
      </c>
    </row>
    <row r="145" spans="1:26" ht="14.5" thickBot="1">
      <c r="A145" s="98" t="s">
        <v>609</v>
      </c>
      <c r="B145" s="25">
        <v>2</v>
      </c>
      <c r="C145" s="106">
        <f t="shared" ref="C145:C155" si="8">U145*1000</f>
        <v>684000</v>
      </c>
      <c r="D145" s="106">
        <f t="shared" ref="D145:D156" si="9">V145*1000</f>
        <v>731000</v>
      </c>
      <c r="E145" s="106">
        <f t="shared" ref="E145:E156" si="10">W145*1000</f>
        <v>755000</v>
      </c>
      <c r="F145" s="106">
        <f t="shared" ref="F145:F156" si="11">X145*1000</f>
        <v>739000</v>
      </c>
      <c r="G145" s="106">
        <f t="shared" ref="G145:G156" si="12">Y145*1000</f>
        <v>707000</v>
      </c>
      <c r="H145" s="106">
        <f t="shared" ref="H145:H155" si="13">Z145*1000</f>
        <v>707000</v>
      </c>
      <c r="J145" s="105">
        <f ca="1">IF(I129=0,0,OFFSET(B143,$J$127,$M$127))</f>
        <v>0</v>
      </c>
      <c r="S145" s="130" t="s">
        <v>609</v>
      </c>
      <c r="T145" s="130" t="s">
        <v>510</v>
      </c>
      <c r="U145" s="317">
        <v>684</v>
      </c>
      <c r="V145" s="317">
        <v>731</v>
      </c>
      <c r="W145" s="317">
        <v>755</v>
      </c>
      <c r="X145" s="317">
        <v>739</v>
      </c>
      <c r="Y145" s="317">
        <v>707</v>
      </c>
      <c r="Z145" s="317">
        <v>707</v>
      </c>
    </row>
    <row r="146" spans="1:26" ht="42.5" thickBot="1">
      <c r="A146" s="98" t="s">
        <v>466</v>
      </c>
      <c r="B146" s="25">
        <v>3</v>
      </c>
      <c r="C146" s="106">
        <f t="shared" si="8"/>
        <v>684000</v>
      </c>
      <c r="D146" s="106">
        <f t="shared" si="9"/>
        <v>707000</v>
      </c>
      <c r="E146" s="106">
        <f t="shared" si="10"/>
        <v>755000</v>
      </c>
      <c r="F146" s="106">
        <f t="shared" si="11"/>
        <v>803000</v>
      </c>
      <c r="G146" s="106">
        <f t="shared" si="12"/>
        <v>835000</v>
      </c>
      <c r="H146" s="106">
        <f t="shared" si="13"/>
        <v>803000</v>
      </c>
      <c r="S146" s="130" t="s">
        <v>466</v>
      </c>
      <c r="T146" s="130" t="s">
        <v>852</v>
      </c>
      <c r="U146" s="317">
        <v>684</v>
      </c>
      <c r="V146" s="317">
        <v>707</v>
      </c>
      <c r="W146" s="317">
        <v>755</v>
      </c>
      <c r="X146" s="317">
        <v>803</v>
      </c>
      <c r="Y146" s="317">
        <v>835</v>
      </c>
      <c r="Z146" s="317">
        <v>803</v>
      </c>
    </row>
    <row r="147" spans="1:26" ht="42.5" thickBot="1">
      <c r="A147" s="98" t="s">
        <v>610</v>
      </c>
      <c r="B147" s="25">
        <v>4</v>
      </c>
      <c r="C147" s="106">
        <f t="shared" si="8"/>
        <v>684000</v>
      </c>
      <c r="D147" s="106">
        <f t="shared" si="9"/>
        <v>684000</v>
      </c>
      <c r="E147" s="106">
        <f t="shared" si="10"/>
        <v>755000</v>
      </c>
      <c r="F147" s="106">
        <f t="shared" si="11"/>
        <v>771000</v>
      </c>
      <c r="G147" s="106">
        <f t="shared" si="12"/>
        <v>827000</v>
      </c>
      <c r="H147" s="106">
        <f t="shared" si="13"/>
        <v>739000</v>
      </c>
      <c r="S147" s="130" t="s">
        <v>610</v>
      </c>
      <c r="T147" s="130" t="s">
        <v>557</v>
      </c>
      <c r="U147" s="317">
        <v>684</v>
      </c>
      <c r="V147" s="317">
        <v>684</v>
      </c>
      <c r="W147" s="317">
        <v>755</v>
      </c>
      <c r="X147" s="317">
        <v>771</v>
      </c>
      <c r="Y147" s="317">
        <v>827</v>
      </c>
      <c r="Z147" s="317">
        <v>739</v>
      </c>
    </row>
    <row r="148" spans="1:26" ht="28.5" thickBot="1">
      <c r="A148" s="98" t="s">
        <v>611</v>
      </c>
      <c r="B148" s="25">
        <v>5</v>
      </c>
      <c r="C148" s="106">
        <f t="shared" si="8"/>
        <v>692000</v>
      </c>
      <c r="D148" s="106">
        <f t="shared" si="9"/>
        <v>684000</v>
      </c>
      <c r="E148" s="106">
        <f t="shared" si="10"/>
        <v>755000</v>
      </c>
      <c r="F148" s="106">
        <f t="shared" si="11"/>
        <v>684000</v>
      </c>
      <c r="G148" s="106">
        <f t="shared" si="12"/>
        <v>787000</v>
      </c>
      <c r="H148" s="106">
        <f t="shared" si="13"/>
        <v>755000</v>
      </c>
      <c r="S148" s="130" t="s">
        <v>611</v>
      </c>
      <c r="T148" s="130" t="s">
        <v>559</v>
      </c>
      <c r="U148" s="317">
        <v>692</v>
      </c>
      <c r="V148" s="317">
        <v>684</v>
      </c>
      <c r="W148" s="317">
        <v>755</v>
      </c>
      <c r="X148" s="317">
        <v>684</v>
      </c>
      <c r="Y148" s="317">
        <v>787</v>
      </c>
      <c r="Z148" s="317">
        <v>755</v>
      </c>
    </row>
    <row r="149" spans="1:26" ht="42.5" thickBot="1">
      <c r="A149" s="98" t="s">
        <v>613</v>
      </c>
      <c r="B149" s="25">
        <v>6</v>
      </c>
      <c r="C149" s="106">
        <f t="shared" si="8"/>
        <v>684000</v>
      </c>
      <c r="D149" s="106">
        <f t="shared" si="9"/>
        <v>684000</v>
      </c>
      <c r="E149" s="106">
        <f t="shared" si="10"/>
        <v>755000</v>
      </c>
      <c r="F149" s="106">
        <f t="shared" si="11"/>
        <v>771000</v>
      </c>
      <c r="G149" s="106">
        <f t="shared" si="12"/>
        <v>819000</v>
      </c>
      <c r="H149" s="106">
        <f t="shared" si="13"/>
        <v>700000</v>
      </c>
      <c r="S149" s="130" t="s">
        <v>613</v>
      </c>
      <c r="T149" s="130" t="s">
        <v>853</v>
      </c>
      <c r="U149" s="317">
        <v>684</v>
      </c>
      <c r="V149" s="317">
        <v>684</v>
      </c>
      <c r="W149" s="317">
        <v>755</v>
      </c>
      <c r="X149" s="317">
        <v>771</v>
      </c>
      <c r="Y149" s="317">
        <v>819</v>
      </c>
      <c r="Z149" s="317">
        <v>700</v>
      </c>
    </row>
    <row r="150" spans="1:26" ht="28.5" thickBot="1">
      <c r="A150" s="98" t="s">
        <v>479</v>
      </c>
      <c r="B150" s="25">
        <v>7</v>
      </c>
      <c r="C150" s="106">
        <f t="shared" si="8"/>
        <v>755000</v>
      </c>
      <c r="D150" s="106">
        <f t="shared" si="9"/>
        <v>787000</v>
      </c>
      <c r="E150" s="106">
        <f t="shared" si="10"/>
        <v>684000</v>
      </c>
      <c r="F150" s="106">
        <f t="shared" si="11"/>
        <v>739000</v>
      </c>
      <c r="G150" s="106">
        <f t="shared" si="12"/>
        <v>692000</v>
      </c>
      <c r="H150" s="106">
        <f t="shared" si="13"/>
        <v>700000</v>
      </c>
      <c r="S150" s="130" t="s">
        <v>479</v>
      </c>
      <c r="T150" s="130" t="s">
        <v>854</v>
      </c>
      <c r="U150" s="317">
        <v>755</v>
      </c>
      <c r="V150" s="317">
        <v>787</v>
      </c>
      <c r="W150" s="317">
        <v>684</v>
      </c>
      <c r="X150" s="317">
        <v>739</v>
      </c>
      <c r="Y150" s="317">
        <v>692</v>
      </c>
      <c r="Z150" s="317">
        <v>700</v>
      </c>
    </row>
    <row r="151" spans="1:26" ht="28.5" thickBot="1">
      <c r="A151" s="98" t="s">
        <v>614</v>
      </c>
      <c r="B151" s="25">
        <v>8</v>
      </c>
      <c r="C151" s="106">
        <f t="shared" si="8"/>
        <v>692000</v>
      </c>
      <c r="D151" s="106">
        <f t="shared" si="9"/>
        <v>684000</v>
      </c>
      <c r="E151" s="106">
        <f t="shared" si="10"/>
        <v>755000</v>
      </c>
      <c r="F151" s="106">
        <f t="shared" si="11"/>
        <v>707000</v>
      </c>
      <c r="G151" s="106">
        <f t="shared" si="12"/>
        <v>731000</v>
      </c>
      <c r="H151" s="106">
        <f t="shared" si="13"/>
        <v>715000</v>
      </c>
      <c r="S151" s="130" t="s">
        <v>614</v>
      </c>
      <c r="T151" s="130" t="s">
        <v>855</v>
      </c>
      <c r="U151" s="317">
        <v>692</v>
      </c>
      <c r="V151" s="317">
        <v>684</v>
      </c>
      <c r="W151" s="317">
        <v>755</v>
      </c>
      <c r="X151" s="317">
        <v>707</v>
      </c>
      <c r="Y151" s="317">
        <v>731</v>
      </c>
      <c r="Z151" s="317">
        <v>715</v>
      </c>
    </row>
    <row r="152" spans="1:26" ht="28.5" thickBot="1">
      <c r="A152" s="98" t="s">
        <v>615</v>
      </c>
      <c r="B152" s="25">
        <v>9</v>
      </c>
      <c r="C152" s="106">
        <f t="shared" si="8"/>
        <v>692000</v>
      </c>
      <c r="D152" s="106">
        <f t="shared" si="9"/>
        <v>684000</v>
      </c>
      <c r="E152" s="106">
        <f t="shared" si="10"/>
        <v>755000</v>
      </c>
      <c r="F152" s="106">
        <f t="shared" si="11"/>
        <v>803000</v>
      </c>
      <c r="G152" s="106">
        <f t="shared" si="12"/>
        <v>731000</v>
      </c>
      <c r="H152" s="106">
        <f t="shared" si="13"/>
        <v>731000</v>
      </c>
      <c r="S152" s="130" t="s">
        <v>615</v>
      </c>
      <c r="T152" s="130" t="s">
        <v>856</v>
      </c>
      <c r="U152" s="317">
        <v>692</v>
      </c>
      <c r="V152" s="317">
        <v>684</v>
      </c>
      <c r="W152" s="317">
        <v>755</v>
      </c>
      <c r="X152" s="317">
        <v>803</v>
      </c>
      <c r="Y152" s="317">
        <v>731</v>
      </c>
      <c r="Z152" s="317">
        <v>731</v>
      </c>
    </row>
    <row r="153" spans="1:26" ht="42.5" thickBot="1">
      <c r="A153" s="98" t="s">
        <v>616</v>
      </c>
      <c r="B153" s="25">
        <v>10</v>
      </c>
      <c r="C153" s="106">
        <f t="shared" si="8"/>
        <v>684000</v>
      </c>
      <c r="D153" s="106">
        <f t="shared" si="9"/>
        <v>707000</v>
      </c>
      <c r="E153" s="106">
        <f t="shared" si="10"/>
        <v>755000</v>
      </c>
      <c r="F153" s="106">
        <f t="shared" si="11"/>
        <v>771000</v>
      </c>
      <c r="G153" s="106">
        <f t="shared" si="12"/>
        <v>835000</v>
      </c>
      <c r="H153" s="106">
        <f t="shared" si="13"/>
        <v>739000</v>
      </c>
      <c r="S153" s="130" t="s">
        <v>616</v>
      </c>
      <c r="T153" s="130" t="s">
        <v>857</v>
      </c>
      <c r="U153" s="317">
        <v>684</v>
      </c>
      <c r="V153" s="317">
        <v>707</v>
      </c>
      <c r="W153" s="317">
        <v>755</v>
      </c>
      <c r="X153" s="317">
        <v>771</v>
      </c>
      <c r="Y153" s="317">
        <v>835</v>
      </c>
      <c r="Z153" s="317">
        <v>739</v>
      </c>
    </row>
    <row r="154" spans="1:26" ht="28.5" thickBot="1">
      <c r="A154" s="98" t="s">
        <v>617</v>
      </c>
      <c r="B154" s="25">
        <v>11</v>
      </c>
      <c r="C154" s="106">
        <f t="shared" si="8"/>
        <v>692000</v>
      </c>
      <c r="D154" s="106">
        <f t="shared" si="9"/>
        <v>715000</v>
      </c>
      <c r="E154" s="106">
        <f t="shared" si="10"/>
        <v>755000</v>
      </c>
      <c r="F154" s="106">
        <f t="shared" si="11"/>
        <v>779000</v>
      </c>
      <c r="G154" s="106">
        <f t="shared" si="12"/>
        <v>827000</v>
      </c>
      <c r="H154" s="106">
        <f t="shared" si="13"/>
        <v>779000</v>
      </c>
      <c r="S154" s="130" t="s">
        <v>617</v>
      </c>
      <c r="T154" s="130" t="s">
        <v>592</v>
      </c>
      <c r="U154" s="317">
        <v>692</v>
      </c>
      <c r="V154" s="317">
        <v>715</v>
      </c>
      <c r="W154" s="317">
        <v>755</v>
      </c>
      <c r="X154" s="317">
        <v>779</v>
      </c>
      <c r="Y154" s="317">
        <v>827</v>
      </c>
      <c r="Z154" s="317">
        <v>779</v>
      </c>
    </row>
    <row r="155" spans="1:26" ht="28.5" thickBot="1">
      <c r="A155" s="98" t="s">
        <v>618</v>
      </c>
      <c r="B155" s="25">
        <v>12</v>
      </c>
      <c r="C155" s="106">
        <f t="shared" si="8"/>
        <v>700000</v>
      </c>
      <c r="D155" s="106">
        <f t="shared" si="9"/>
        <v>707000</v>
      </c>
      <c r="E155" s="106">
        <f t="shared" si="10"/>
        <v>747000</v>
      </c>
      <c r="F155" s="106">
        <f t="shared" si="11"/>
        <v>851000</v>
      </c>
      <c r="G155" s="106">
        <f t="shared" si="12"/>
        <v>779000</v>
      </c>
      <c r="H155" s="106">
        <f t="shared" si="13"/>
        <v>755000</v>
      </c>
      <c r="S155" s="130" t="s">
        <v>618</v>
      </c>
      <c r="T155" s="130" t="s">
        <v>858</v>
      </c>
      <c r="U155" s="317">
        <v>700</v>
      </c>
      <c r="V155" s="317">
        <v>707</v>
      </c>
      <c r="W155" s="317">
        <v>747</v>
      </c>
      <c r="X155" s="317">
        <v>851</v>
      </c>
      <c r="Y155" s="317">
        <v>779</v>
      </c>
      <c r="Z155" s="317">
        <v>755</v>
      </c>
    </row>
    <row r="156" spans="1:26" ht="42.5" thickBot="1">
      <c r="A156" s="98" t="s">
        <v>501</v>
      </c>
      <c r="B156" s="25">
        <v>13</v>
      </c>
      <c r="C156" s="106">
        <f>U156*1000</f>
        <v>692000</v>
      </c>
      <c r="D156" s="106">
        <f t="shared" si="9"/>
        <v>707000</v>
      </c>
      <c r="E156" s="106">
        <f t="shared" si="10"/>
        <v>755000</v>
      </c>
      <c r="F156" s="106">
        <f t="shared" si="11"/>
        <v>771000</v>
      </c>
      <c r="G156" s="106">
        <f t="shared" si="12"/>
        <v>787000</v>
      </c>
      <c r="H156" s="106">
        <f>Z156*1000</f>
        <v>755000</v>
      </c>
      <c r="S156" s="130" t="s">
        <v>501</v>
      </c>
      <c r="T156" s="130"/>
      <c r="U156" s="317">
        <v>692</v>
      </c>
      <c r="V156" s="317">
        <v>707</v>
      </c>
      <c r="W156" s="317">
        <v>755</v>
      </c>
      <c r="X156" s="317">
        <v>771</v>
      </c>
      <c r="Y156" s="317">
        <v>787</v>
      </c>
      <c r="Z156" s="317">
        <v>755</v>
      </c>
    </row>
    <row r="157" spans="1:26" ht="19.5">
      <c r="A157" s="102"/>
      <c r="B157" s="25">
        <v>14</v>
      </c>
      <c r="S157" s="316"/>
      <c r="T157" s="316"/>
      <c r="U157" s="316"/>
      <c r="V157" s="316"/>
      <c r="W157" s="316"/>
      <c r="X157" s="316"/>
      <c r="Y157" s="316"/>
      <c r="Z157" s="316"/>
    </row>
    <row r="158" spans="1:26" ht="20" thickBot="1">
      <c r="A158" s="102" t="s">
        <v>542</v>
      </c>
      <c r="B158" s="102" t="s">
        <v>543</v>
      </c>
      <c r="S158" s="129" t="s">
        <v>862</v>
      </c>
      <c r="T158"/>
      <c r="U158"/>
      <c r="V158"/>
      <c r="W158"/>
      <c r="X158"/>
      <c r="Y158"/>
      <c r="Z158"/>
    </row>
    <row r="159" spans="1:26" ht="15" customHeight="1" thickBot="1">
      <c r="A159" s="101" t="s">
        <v>622</v>
      </c>
      <c r="B159" s="101" t="s">
        <v>623</v>
      </c>
      <c r="S159" s="321" t="s">
        <v>863</v>
      </c>
      <c r="T159" s="321"/>
      <c r="U159" s="321" t="s">
        <v>861</v>
      </c>
      <c r="V159" s="321"/>
      <c r="W159" s="321"/>
      <c r="X159" s="321"/>
      <c r="Y159" s="321"/>
      <c r="Z159" s="321"/>
    </row>
    <row r="160" spans="1:26" ht="23.15" customHeight="1" thickBot="1">
      <c r="A160" s="607" t="s">
        <v>624</v>
      </c>
      <c r="B160" s="608"/>
      <c r="C160" s="607" t="s">
        <v>838</v>
      </c>
      <c r="D160" s="609"/>
      <c r="E160" s="609"/>
      <c r="F160" s="609"/>
      <c r="G160" s="609"/>
      <c r="H160" s="608"/>
      <c r="S160" s="140" t="s">
        <v>864</v>
      </c>
      <c r="T160" s="140"/>
      <c r="U160" s="140"/>
      <c r="V160" s="140"/>
      <c r="W160" s="140"/>
      <c r="X160" s="140"/>
      <c r="Y160" s="140"/>
      <c r="Z160" s="140"/>
    </row>
    <row r="161" spans="1:26" ht="23.15" customHeight="1" thickBot="1">
      <c r="A161" s="610" t="s">
        <v>625</v>
      </c>
      <c r="B161" s="612"/>
      <c r="C161" s="610"/>
      <c r="D161" s="611"/>
      <c r="E161" s="611"/>
      <c r="F161" s="611"/>
      <c r="G161" s="611"/>
      <c r="H161" s="612"/>
      <c r="S161" s="139" t="s">
        <v>465</v>
      </c>
      <c r="T161" s="139" t="s">
        <v>547</v>
      </c>
      <c r="U161" s="139" t="s">
        <v>848</v>
      </c>
      <c r="V161" s="139" t="s">
        <v>849</v>
      </c>
      <c r="W161" s="139" t="s">
        <v>604</v>
      </c>
      <c r="X161" s="139" t="s">
        <v>605</v>
      </c>
      <c r="Y161" s="139" t="s">
        <v>850</v>
      </c>
      <c r="Z161" s="139" t="s">
        <v>468</v>
      </c>
    </row>
    <row r="162" spans="1:26" ht="35" thickBot="1">
      <c r="A162" s="143" t="s">
        <v>465</v>
      </c>
      <c r="B162" s="142" t="s">
        <v>547</v>
      </c>
      <c r="C162" s="142" t="s">
        <v>602</v>
      </c>
      <c r="D162" s="142" t="s">
        <v>603</v>
      </c>
      <c r="E162" s="142" t="s">
        <v>604</v>
      </c>
      <c r="F162" s="142" t="s">
        <v>605</v>
      </c>
      <c r="G162" s="142" t="s">
        <v>612</v>
      </c>
      <c r="H162" s="142" t="s">
        <v>468</v>
      </c>
      <c r="S162" s="130" t="s">
        <v>608</v>
      </c>
      <c r="T162" s="130" t="s">
        <v>851</v>
      </c>
      <c r="U162" s="317">
        <v>68</v>
      </c>
      <c r="V162" s="317">
        <v>74</v>
      </c>
      <c r="W162" s="317">
        <v>68</v>
      </c>
      <c r="X162" s="317">
        <v>80</v>
      </c>
      <c r="Y162" s="317">
        <v>100</v>
      </c>
      <c r="Z162" s="317">
        <v>91</v>
      </c>
    </row>
    <row r="163" spans="1:26" ht="14.5" thickBot="1">
      <c r="A163" s="98" t="s">
        <v>608</v>
      </c>
      <c r="B163" s="25">
        <v>1</v>
      </c>
      <c r="C163" s="106">
        <f>U162*1000</f>
        <v>68000</v>
      </c>
      <c r="D163" s="106">
        <f t="shared" ref="D163:H163" si="14">V162*1000</f>
        <v>74000</v>
      </c>
      <c r="E163" s="106">
        <f t="shared" si="14"/>
        <v>68000</v>
      </c>
      <c r="F163" s="106">
        <f t="shared" si="14"/>
        <v>80000</v>
      </c>
      <c r="G163" s="106">
        <f t="shared" si="14"/>
        <v>100000</v>
      </c>
      <c r="H163" s="106">
        <f t="shared" si="14"/>
        <v>91000</v>
      </c>
      <c r="S163" s="130" t="s">
        <v>609</v>
      </c>
      <c r="T163" s="130" t="s">
        <v>510</v>
      </c>
      <c r="U163" s="317">
        <v>68</v>
      </c>
      <c r="V163" s="317">
        <v>68</v>
      </c>
      <c r="W163" s="317">
        <v>71</v>
      </c>
      <c r="X163" s="317">
        <v>74</v>
      </c>
      <c r="Y163" s="317">
        <v>71</v>
      </c>
      <c r="Z163" s="317">
        <v>71</v>
      </c>
    </row>
    <row r="164" spans="1:26" ht="42.5" thickBot="1">
      <c r="A164" s="98" t="s">
        <v>609</v>
      </c>
      <c r="B164" s="25">
        <v>2</v>
      </c>
      <c r="C164" s="106">
        <f t="shared" ref="C164:C175" si="15">U163*1000</f>
        <v>68000</v>
      </c>
      <c r="D164" s="106">
        <f t="shared" ref="D164:D175" si="16">V163*1000</f>
        <v>68000</v>
      </c>
      <c r="E164" s="106">
        <f t="shared" ref="E164:E175" si="17">W163*1000</f>
        <v>71000</v>
      </c>
      <c r="F164" s="106">
        <f t="shared" ref="F164:F175" si="18">X163*1000</f>
        <v>74000</v>
      </c>
      <c r="G164" s="106">
        <f t="shared" ref="G164:G175" si="19">Y163*1000</f>
        <v>71000</v>
      </c>
      <c r="H164" s="106">
        <f t="shared" ref="H164:H175" si="20">Z163*1000</f>
        <v>71000</v>
      </c>
      <c r="J164" s="105">
        <f ca="1">IF(I129=0,0,OFFSET(B162,$J$127,$M$127))</f>
        <v>0</v>
      </c>
      <c r="S164" s="130" t="s">
        <v>466</v>
      </c>
      <c r="T164" s="130" t="s">
        <v>852</v>
      </c>
      <c r="U164" s="317">
        <v>74</v>
      </c>
      <c r="V164" s="317">
        <v>68</v>
      </c>
      <c r="W164" s="317">
        <v>85</v>
      </c>
      <c r="X164" s="317">
        <v>74</v>
      </c>
      <c r="Y164" s="317">
        <v>80</v>
      </c>
      <c r="Z164" s="317">
        <v>77</v>
      </c>
    </row>
    <row r="165" spans="1:26" ht="42.5" thickBot="1">
      <c r="A165" s="98" t="s">
        <v>466</v>
      </c>
      <c r="B165" s="25">
        <v>3</v>
      </c>
      <c r="C165" s="106">
        <f t="shared" si="15"/>
        <v>74000</v>
      </c>
      <c r="D165" s="106">
        <f t="shared" si="16"/>
        <v>68000</v>
      </c>
      <c r="E165" s="106">
        <f t="shared" si="17"/>
        <v>85000</v>
      </c>
      <c r="F165" s="106">
        <f t="shared" si="18"/>
        <v>74000</v>
      </c>
      <c r="G165" s="106">
        <f t="shared" si="19"/>
        <v>80000</v>
      </c>
      <c r="H165" s="106">
        <f t="shared" si="20"/>
        <v>77000</v>
      </c>
      <c r="S165" s="130" t="s">
        <v>610</v>
      </c>
      <c r="T165" s="130" t="s">
        <v>557</v>
      </c>
      <c r="U165" s="317">
        <v>68</v>
      </c>
      <c r="V165" s="317">
        <v>68</v>
      </c>
      <c r="W165" s="317">
        <v>80</v>
      </c>
      <c r="X165" s="317">
        <v>77</v>
      </c>
      <c r="Y165" s="317">
        <v>80</v>
      </c>
      <c r="Z165" s="317">
        <v>74</v>
      </c>
    </row>
    <row r="166" spans="1:26" ht="35" thickBot="1">
      <c r="A166" s="98" t="s">
        <v>610</v>
      </c>
      <c r="B166" s="25">
        <v>4</v>
      </c>
      <c r="C166" s="106">
        <f t="shared" si="15"/>
        <v>68000</v>
      </c>
      <c r="D166" s="106">
        <f t="shared" si="16"/>
        <v>68000</v>
      </c>
      <c r="E166" s="106">
        <f t="shared" si="17"/>
        <v>80000</v>
      </c>
      <c r="F166" s="106">
        <f t="shared" si="18"/>
        <v>77000</v>
      </c>
      <c r="G166" s="106">
        <f t="shared" si="19"/>
        <v>80000</v>
      </c>
      <c r="H166" s="106">
        <f t="shared" si="20"/>
        <v>74000</v>
      </c>
      <c r="S166" s="130" t="s">
        <v>611</v>
      </c>
      <c r="T166" s="130" t="s">
        <v>559</v>
      </c>
      <c r="U166" s="317">
        <v>65</v>
      </c>
      <c r="V166" s="317">
        <v>74</v>
      </c>
      <c r="W166" s="317">
        <v>74</v>
      </c>
      <c r="X166" s="317">
        <v>71</v>
      </c>
      <c r="Y166" s="317">
        <v>74</v>
      </c>
      <c r="Z166" s="317">
        <v>74</v>
      </c>
    </row>
    <row r="167" spans="1:26" ht="42.5" thickBot="1">
      <c r="A167" s="98" t="s">
        <v>611</v>
      </c>
      <c r="B167" s="25">
        <v>5</v>
      </c>
      <c r="C167" s="106">
        <f t="shared" si="15"/>
        <v>65000</v>
      </c>
      <c r="D167" s="106">
        <f t="shared" si="16"/>
        <v>74000</v>
      </c>
      <c r="E167" s="106">
        <f t="shared" si="17"/>
        <v>74000</v>
      </c>
      <c r="F167" s="106">
        <f t="shared" si="18"/>
        <v>71000</v>
      </c>
      <c r="G167" s="106">
        <f t="shared" si="19"/>
        <v>74000</v>
      </c>
      <c r="H167" s="106">
        <f t="shared" si="20"/>
        <v>74000</v>
      </c>
      <c r="S167" s="130" t="s">
        <v>613</v>
      </c>
      <c r="T167" s="130" t="s">
        <v>853</v>
      </c>
      <c r="U167" s="317">
        <v>68</v>
      </c>
      <c r="V167" s="317">
        <v>68</v>
      </c>
      <c r="W167" s="317">
        <v>77</v>
      </c>
      <c r="X167" s="317">
        <v>68</v>
      </c>
      <c r="Y167" s="317">
        <v>88</v>
      </c>
      <c r="Z167" s="317">
        <v>74</v>
      </c>
    </row>
    <row r="168" spans="1:26" ht="28.5" thickBot="1">
      <c r="A168" s="98" t="s">
        <v>613</v>
      </c>
      <c r="B168" s="25">
        <v>6</v>
      </c>
      <c r="C168" s="106">
        <f t="shared" si="15"/>
        <v>68000</v>
      </c>
      <c r="D168" s="106">
        <f t="shared" si="16"/>
        <v>68000</v>
      </c>
      <c r="E168" s="106">
        <f t="shared" si="17"/>
        <v>77000</v>
      </c>
      <c r="F168" s="106">
        <f t="shared" si="18"/>
        <v>68000</v>
      </c>
      <c r="G168" s="106">
        <f t="shared" si="19"/>
        <v>88000</v>
      </c>
      <c r="H168" s="106">
        <f t="shared" si="20"/>
        <v>74000</v>
      </c>
      <c r="S168" s="130" t="s">
        <v>479</v>
      </c>
      <c r="T168" s="130" t="s">
        <v>854</v>
      </c>
      <c r="U168" s="317">
        <v>103</v>
      </c>
      <c r="V168" s="317">
        <v>88</v>
      </c>
      <c r="W168" s="317">
        <v>68</v>
      </c>
      <c r="X168" s="317">
        <v>68</v>
      </c>
      <c r="Y168" s="317">
        <v>68</v>
      </c>
      <c r="Z168" s="317">
        <v>71</v>
      </c>
    </row>
    <row r="169" spans="1:26" ht="28.5" thickBot="1">
      <c r="A169" s="98" t="s">
        <v>479</v>
      </c>
      <c r="B169" s="25">
        <v>7</v>
      </c>
      <c r="C169" s="106">
        <f t="shared" si="15"/>
        <v>103000</v>
      </c>
      <c r="D169" s="106">
        <f t="shared" si="16"/>
        <v>88000</v>
      </c>
      <c r="E169" s="106">
        <f t="shared" si="17"/>
        <v>68000</v>
      </c>
      <c r="F169" s="106">
        <f t="shared" si="18"/>
        <v>68000</v>
      </c>
      <c r="G169" s="106">
        <f t="shared" si="19"/>
        <v>68000</v>
      </c>
      <c r="H169" s="106">
        <f t="shared" si="20"/>
        <v>71000</v>
      </c>
      <c r="S169" s="130" t="s">
        <v>614</v>
      </c>
      <c r="T169" s="130" t="s">
        <v>855</v>
      </c>
      <c r="U169" s="317">
        <v>68</v>
      </c>
      <c r="V169" s="317">
        <v>71</v>
      </c>
      <c r="W169" s="317">
        <v>80</v>
      </c>
      <c r="X169" s="317">
        <v>88</v>
      </c>
      <c r="Y169" s="317">
        <v>85</v>
      </c>
      <c r="Z169" s="317">
        <v>85</v>
      </c>
    </row>
    <row r="170" spans="1:26" ht="28.5" thickBot="1">
      <c r="A170" s="98" t="s">
        <v>614</v>
      </c>
      <c r="B170" s="25">
        <v>8</v>
      </c>
      <c r="C170" s="106">
        <f t="shared" si="15"/>
        <v>68000</v>
      </c>
      <c r="D170" s="106">
        <f t="shared" si="16"/>
        <v>71000</v>
      </c>
      <c r="E170" s="106">
        <f t="shared" si="17"/>
        <v>80000</v>
      </c>
      <c r="F170" s="106">
        <f t="shared" si="18"/>
        <v>88000</v>
      </c>
      <c r="G170" s="106">
        <f t="shared" si="19"/>
        <v>85000</v>
      </c>
      <c r="H170" s="106">
        <f t="shared" si="20"/>
        <v>85000</v>
      </c>
      <c r="S170" s="130" t="s">
        <v>615</v>
      </c>
      <c r="T170" s="130" t="s">
        <v>856</v>
      </c>
      <c r="U170" s="317">
        <v>68</v>
      </c>
      <c r="V170" s="317">
        <v>68</v>
      </c>
      <c r="W170" s="317">
        <v>100</v>
      </c>
      <c r="X170" s="317">
        <v>85</v>
      </c>
      <c r="Y170" s="317">
        <v>83</v>
      </c>
      <c r="Z170" s="317">
        <v>83</v>
      </c>
    </row>
    <row r="171" spans="1:26" ht="42.5" thickBot="1">
      <c r="A171" s="98" t="s">
        <v>615</v>
      </c>
      <c r="B171" s="25">
        <v>9</v>
      </c>
      <c r="C171" s="106">
        <f t="shared" si="15"/>
        <v>68000</v>
      </c>
      <c r="D171" s="106">
        <f t="shared" si="16"/>
        <v>68000</v>
      </c>
      <c r="E171" s="106">
        <f t="shared" si="17"/>
        <v>100000</v>
      </c>
      <c r="F171" s="106">
        <f t="shared" si="18"/>
        <v>85000</v>
      </c>
      <c r="G171" s="106">
        <f t="shared" si="19"/>
        <v>83000</v>
      </c>
      <c r="H171" s="106">
        <f t="shared" si="20"/>
        <v>83000</v>
      </c>
      <c r="S171" s="130" t="s">
        <v>616</v>
      </c>
      <c r="T171" s="130" t="s">
        <v>857</v>
      </c>
      <c r="U171" s="317">
        <v>65</v>
      </c>
      <c r="V171" s="317">
        <v>68</v>
      </c>
      <c r="W171" s="317">
        <v>77</v>
      </c>
      <c r="X171" s="317">
        <v>74</v>
      </c>
      <c r="Y171" s="317">
        <v>85</v>
      </c>
      <c r="Z171" s="317">
        <v>74</v>
      </c>
    </row>
    <row r="172" spans="1:26" ht="35" thickBot="1">
      <c r="A172" s="98" t="s">
        <v>616</v>
      </c>
      <c r="B172" s="25">
        <v>10</v>
      </c>
      <c r="C172" s="106">
        <f t="shared" si="15"/>
        <v>65000</v>
      </c>
      <c r="D172" s="106">
        <f t="shared" si="16"/>
        <v>68000</v>
      </c>
      <c r="E172" s="106">
        <f t="shared" si="17"/>
        <v>77000</v>
      </c>
      <c r="F172" s="106">
        <f t="shared" si="18"/>
        <v>74000</v>
      </c>
      <c r="G172" s="106">
        <f t="shared" si="19"/>
        <v>85000</v>
      </c>
      <c r="H172" s="106">
        <f t="shared" si="20"/>
        <v>74000</v>
      </c>
      <c r="S172" s="130" t="s">
        <v>617</v>
      </c>
      <c r="T172" s="130" t="s">
        <v>592</v>
      </c>
      <c r="U172" s="317">
        <v>68</v>
      </c>
      <c r="V172" s="317">
        <v>71</v>
      </c>
      <c r="W172" s="317">
        <v>88</v>
      </c>
      <c r="X172" s="317">
        <v>85</v>
      </c>
      <c r="Y172" s="317">
        <v>88</v>
      </c>
      <c r="Z172" s="317">
        <v>88</v>
      </c>
    </row>
    <row r="173" spans="1:26" ht="28.5" thickBot="1">
      <c r="A173" s="98" t="s">
        <v>617</v>
      </c>
      <c r="B173" s="25">
        <v>11</v>
      </c>
      <c r="C173" s="106">
        <f t="shared" si="15"/>
        <v>68000</v>
      </c>
      <c r="D173" s="106">
        <f t="shared" si="16"/>
        <v>71000</v>
      </c>
      <c r="E173" s="106">
        <f t="shared" si="17"/>
        <v>88000</v>
      </c>
      <c r="F173" s="106">
        <f t="shared" si="18"/>
        <v>85000</v>
      </c>
      <c r="G173" s="106">
        <f t="shared" si="19"/>
        <v>88000</v>
      </c>
      <c r="H173" s="106">
        <f t="shared" si="20"/>
        <v>88000</v>
      </c>
      <c r="S173" s="130" t="s">
        <v>618</v>
      </c>
      <c r="T173" s="130" t="s">
        <v>858</v>
      </c>
      <c r="U173" s="317">
        <v>68</v>
      </c>
      <c r="V173" s="317">
        <v>68</v>
      </c>
      <c r="W173" s="317">
        <v>80</v>
      </c>
      <c r="X173" s="317">
        <v>77</v>
      </c>
      <c r="Y173" s="317">
        <v>85</v>
      </c>
      <c r="Z173" s="317">
        <v>88</v>
      </c>
    </row>
    <row r="174" spans="1:26" ht="42.5" thickBot="1">
      <c r="A174" s="98" t="s">
        <v>618</v>
      </c>
      <c r="B174" s="25">
        <v>12</v>
      </c>
      <c r="C174" s="106">
        <f t="shared" si="15"/>
        <v>68000</v>
      </c>
      <c r="D174" s="106">
        <f t="shared" si="16"/>
        <v>68000</v>
      </c>
      <c r="E174" s="106">
        <f t="shared" si="17"/>
        <v>80000</v>
      </c>
      <c r="F174" s="106">
        <f t="shared" si="18"/>
        <v>77000</v>
      </c>
      <c r="G174" s="106">
        <f t="shared" si="19"/>
        <v>85000</v>
      </c>
      <c r="H174" s="106">
        <f t="shared" si="20"/>
        <v>88000</v>
      </c>
      <c r="S174" s="130" t="s">
        <v>501</v>
      </c>
      <c r="T174" s="130"/>
      <c r="U174" s="317">
        <v>68</v>
      </c>
      <c r="V174" s="317">
        <v>68</v>
      </c>
      <c r="W174" s="317">
        <v>80</v>
      </c>
      <c r="X174" s="317">
        <v>77</v>
      </c>
      <c r="Y174" s="317">
        <v>83</v>
      </c>
      <c r="Z174" s="317">
        <v>80</v>
      </c>
    </row>
    <row r="175" spans="1:26" ht="35" thickBot="1">
      <c r="A175" s="98" t="s">
        <v>501</v>
      </c>
      <c r="B175" s="25">
        <v>13</v>
      </c>
      <c r="C175" s="106">
        <f t="shared" si="15"/>
        <v>68000</v>
      </c>
      <c r="D175" s="106">
        <f t="shared" si="16"/>
        <v>68000</v>
      </c>
      <c r="E175" s="106">
        <f t="shared" si="17"/>
        <v>80000</v>
      </c>
      <c r="F175" s="106">
        <f t="shared" si="18"/>
        <v>77000</v>
      </c>
      <c r="G175" s="106">
        <f t="shared" si="19"/>
        <v>83000</v>
      </c>
      <c r="H175" s="106">
        <f t="shared" si="20"/>
        <v>80000</v>
      </c>
      <c r="S175" s="313"/>
      <c r="T175" s="313"/>
      <c r="U175" s="313"/>
      <c r="V175" s="313"/>
      <c r="W175" s="313"/>
      <c r="X175" s="313"/>
      <c r="Y175" s="313"/>
      <c r="Z175" s="313"/>
    </row>
    <row r="176" spans="1:26" ht="16" thickBot="1">
      <c r="A176" s="104"/>
      <c r="B176" s="25">
        <v>14</v>
      </c>
      <c r="S176" s="129" t="s">
        <v>865</v>
      </c>
      <c r="T176"/>
      <c r="U176"/>
      <c r="V176"/>
      <c r="W176"/>
      <c r="X176"/>
      <c r="Y176"/>
      <c r="Z176"/>
    </row>
    <row r="177" spans="1:26" ht="72" customHeight="1" thickBot="1">
      <c r="A177" s="101" t="s">
        <v>626</v>
      </c>
      <c r="B177" s="101" t="s">
        <v>627</v>
      </c>
      <c r="S177" s="318" t="s">
        <v>866</v>
      </c>
      <c r="T177" s="318"/>
      <c r="U177" s="318" t="s">
        <v>861</v>
      </c>
      <c r="V177" s="318"/>
      <c r="W177" s="318"/>
      <c r="X177" s="318"/>
      <c r="Y177" s="318"/>
      <c r="Z177" s="318"/>
    </row>
    <row r="178" spans="1:26" ht="34.4" customHeight="1" thickBot="1">
      <c r="A178" s="604" t="s">
        <v>628</v>
      </c>
      <c r="B178" s="606"/>
      <c r="C178" s="604" t="s">
        <v>838</v>
      </c>
      <c r="D178" s="605"/>
      <c r="E178" s="605"/>
      <c r="F178" s="605"/>
      <c r="G178" s="605"/>
      <c r="H178" s="606"/>
      <c r="S178" s="314" t="s">
        <v>465</v>
      </c>
      <c r="T178" s="314" t="s">
        <v>547</v>
      </c>
      <c r="U178" s="314" t="s">
        <v>848</v>
      </c>
      <c r="V178" s="314" t="s">
        <v>849</v>
      </c>
      <c r="W178" s="314" t="s">
        <v>604</v>
      </c>
      <c r="X178" s="314" t="s">
        <v>605</v>
      </c>
      <c r="Y178" s="314" t="s">
        <v>850</v>
      </c>
      <c r="Z178" s="314" t="s">
        <v>468</v>
      </c>
    </row>
    <row r="179" spans="1:26" ht="35" thickBot="1">
      <c r="A179" s="143" t="s">
        <v>465</v>
      </c>
      <c r="B179" s="142" t="s">
        <v>547</v>
      </c>
      <c r="C179" s="142" t="s">
        <v>602</v>
      </c>
      <c r="D179" s="142" t="s">
        <v>603</v>
      </c>
      <c r="E179" s="142" t="s">
        <v>604</v>
      </c>
      <c r="F179" s="142" t="s">
        <v>605</v>
      </c>
      <c r="G179" s="142" t="s">
        <v>612</v>
      </c>
      <c r="H179" s="142" t="s">
        <v>468</v>
      </c>
      <c r="S179" s="130" t="s">
        <v>608</v>
      </c>
      <c r="T179" s="130" t="s">
        <v>851</v>
      </c>
      <c r="U179" s="319">
        <v>1.4</v>
      </c>
      <c r="V179" s="319">
        <v>1.5</v>
      </c>
      <c r="W179" s="319">
        <v>6.3</v>
      </c>
      <c r="X179" s="319">
        <v>8.6999999999999993</v>
      </c>
      <c r="Y179" s="319">
        <v>3</v>
      </c>
      <c r="Z179" s="319">
        <v>3.5</v>
      </c>
    </row>
    <row r="180" spans="1:26" ht="14.5" thickBot="1">
      <c r="A180" s="98" t="s">
        <v>608</v>
      </c>
      <c r="B180" s="25">
        <v>1</v>
      </c>
      <c r="C180" s="106">
        <f>U179*1000</f>
        <v>1400</v>
      </c>
      <c r="D180" s="106">
        <f t="shared" ref="D180:H180" si="21">V179*1000</f>
        <v>1500</v>
      </c>
      <c r="E180" s="106">
        <f t="shared" si="21"/>
        <v>6300</v>
      </c>
      <c r="F180" s="106">
        <f t="shared" si="21"/>
        <v>8700</v>
      </c>
      <c r="G180" s="106">
        <f t="shared" si="21"/>
        <v>3000</v>
      </c>
      <c r="H180" s="106">
        <f t="shared" si="21"/>
        <v>3500</v>
      </c>
      <c r="S180" s="130" t="s">
        <v>609</v>
      </c>
      <c r="T180" s="130" t="s">
        <v>510</v>
      </c>
      <c r="U180" s="319">
        <v>1.4</v>
      </c>
      <c r="V180" s="319">
        <v>1.5</v>
      </c>
      <c r="W180" s="319">
        <v>7.3</v>
      </c>
      <c r="X180" s="319">
        <v>8.6</v>
      </c>
      <c r="Y180" s="319">
        <v>2.9</v>
      </c>
      <c r="Z180" s="319">
        <v>3.7</v>
      </c>
    </row>
    <row r="181" spans="1:26" ht="42.5" thickBot="1">
      <c r="A181" s="98" t="s">
        <v>609</v>
      </c>
      <c r="B181" s="25">
        <v>2</v>
      </c>
      <c r="C181" s="106">
        <f t="shared" ref="C181:C192" si="22">U180*1000</f>
        <v>1400</v>
      </c>
      <c r="D181" s="106">
        <f t="shared" ref="D181:D192" si="23">V180*1000</f>
        <v>1500</v>
      </c>
      <c r="E181" s="106">
        <f t="shared" ref="E181:E192" si="24">W180*1000</f>
        <v>7300</v>
      </c>
      <c r="F181" s="106">
        <f t="shared" ref="F181:F192" si="25">X180*1000</f>
        <v>8600</v>
      </c>
      <c r="G181" s="106">
        <f t="shared" ref="G181:G192" si="26">Y180*1000</f>
        <v>2900</v>
      </c>
      <c r="H181" s="106">
        <f t="shared" ref="H181:H192" si="27">Z180*1000</f>
        <v>3700</v>
      </c>
      <c r="J181" s="105">
        <f ca="1">IF(I129=0,0,OFFSET(B179,$J$127,$M$127))</f>
        <v>0</v>
      </c>
      <c r="S181" s="130" t="s">
        <v>466</v>
      </c>
      <c r="T181" s="130" t="s">
        <v>852</v>
      </c>
      <c r="U181" s="319">
        <v>1.3</v>
      </c>
      <c r="V181" s="319">
        <v>2</v>
      </c>
      <c r="W181" s="319">
        <v>3</v>
      </c>
      <c r="X181" s="319">
        <v>7.7</v>
      </c>
      <c r="Y181" s="319">
        <v>1.9</v>
      </c>
      <c r="Z181" s="319">
        <v>2</v>
      </c>
    </row>
    <row r="182" spans="1:26" ht="42.5" thickBot="1">
      <c r="A182" s="98" t="s">
        <v>466</v>
      </c>
      <c r="B182" s="25">
        <v>3</v>
      </c>
      <c r="C182" s="106">
        <f t="shared" si="22"/>
        <v>1300</v>
      </c>
      <c r="D182" s="106">
        <f t="shared" si="23"/>
        <v>2000</v>
      </c>
      <c r="E182" s="106">
        <f t="shared" si="24"/>
        <v>3000</v>
      </c>
      <c r="F182" s="106">
        <f t="shared" si="25"/>
        <v>7700</v>
      </c>
      <c r="G182" s="106">
        <f t="shared" si="26"/>
        <v>1900</v>
      </c>
      <c r="H182" s="106">
        <f t="shared" si="27"/>
        <v>2000</v>
      </c>
      <c r="S182" s="130" t="s">
        <v>610</v>
      </c>
      <c r="T182" s="130" t="s">
        <v>557</v>
      </c>
      <c r="U182" s="319">
        <v>1.1000000000000001</v>
      </c>
      <c r="V182" s="319">
        <v>1.7</v>
      </c>
      <c r="W182" s="319">
        <v>1.5</v>
      </c>
      <c r="X182" s="319">
        <v>8</v>
      </c>
      <c r="Y182" s="319">
        <v>2.2000000000000002</v>
      </c>
      <c r="Z182" s="319">
        <v>2.4</v>
      </c>
    </row>
    <row r="183" spans="1:26" ht="35" thickBot="1">
      <c r="A183" s="98" t="s">
        <v>610</v>
      </c>
      <c r="B183" s="25">
        <v>4</v>
      </c>
      <c r="C183" s="106">
        <f t="shared" si="22"/>
        <v>1100</v>
      </c>
      <c r="D183" s="106">
        <f t="shared" si="23"/>
        <v>1700</v>
      </c>
      <c r="E183" s="106">
        <f t="shared" si="24"/>
        <v>1500</v>
      </c>
      <c r="F183" s="106">
        <f t="shared" si="25"/>
        <v>8000</v>
      </c>
      <c r="G183" s="106">
        <f t="shared" si="26"/>
        <v>2200</v>
      </c>
      <c r="H183" s="106">
        <f t="shared" si="27"/>
        <v>2400</v>
      </c>
      <c r="S183" s="130" t="s">
        <v>611</v>
      </c>
      <c r="T183" s="130" t="s">
        <v>559</v>
      </c>
      <c r="U183" s="319">
        <v>1.4</v>
      </c>
      <c r="V183" s="319">
        <v>1.5</v>
      </c>
      <c r="W183" s="319">
        <v>8</v>
      </c>
      <c r="X183" s="319">
        <v>7.8</v>
      </c>
      <c r="Y183" s="319">
        <v>2.2999999999999998</v>
      </c>
      <c r="Z183" s="319">
        <v>3.7</v>
      </c>
    </row>
    <row r="184" spans="1:26" ht="42.5" thickBot="1">
      <c r="A184" s="98" t="s">
        <v>611</v>
      </c>
      <c r="B184" s="25">
        <v>5</v>
      </c>
      <c r="C184" s="106">
        <f t="shared" si="22"/>
        <v>1400</v>
      </c>
      <c r="D184" s="106">
        <f t="shared" si="23"/>
        <v>1500</v>
      </c>
      <c r="E184" s="106">
        <f t="shared" si="24"/>
        <v>8000</v>
      </c>
      <c r="F184" s="106">
        <f t="shared" si="25"/>
        <v>7800</v>
      </c>
      <c r="G184" s="106">
        <f t="shared" si="26"/>
        <v>2300</v>
      </c>
      <c r="H184" s="106">
        <f t="shared" si="27"/>
        <v>3700</v>
      </c>
      <c r="S184" s="130" t="s">
        <v>613</v>
      </c>
      <c r="T184" s="130" t="s">
        <v>853</v>
      </c>
      <c r="U184" s="319">
        <v>2.2000000000000002</v>
      </c>
      <c r="V184" s="319">
        <v>1.9</v>
      </c>
      <c r="W184" s="319">
        <v>4.5999999999999996</v>
      </c>
      <c r="X184" s="319">
        <v>8.8000000000000007</v>
      </c>
      <c r="Y184" s="319">
        <v>3.1</v>
      </c>
      <c r="Z184" s="319">
        <v>4.2</v>
      </c>
    </row>
    <row r="185" spans="1:26" ht="28.5" thickBot="1">
      <c r="A185" s="98" t="s">
        <v>613</v>
      </c>
      <c r="B185" s="25">
        <v>6</v>
      </c>
      <c r="C185" s="106">
        <f t="shared" si="22"/>
        <v>2200</v>
      </c>
      <c r="D185" s="106">
        <f t="shared" si="23"/>
        <v>1900</v>
      </c>
      <c r="E185" s="106">
        <f t="shared" si="24"/>
        <v>4600</v>
      </c>
      <c r="F185" s="106">
        <f t="shared" si="25"/>
        <v>8800</v>
      </c>
      <c r="G185" s="106">
        <f t="shared" si="26"/>
        <v>3100</v>
      </c>
      <c r="H185" s="106">
        <f t="shared" si="27"/>
        <v>4200</v>
      </c>
      <c r="S185" s="130" t="s">
        <v>479</v>
      </c>
      <c r="T185" s="130" t="s">
        <v>854</v>
      </c>
      <c r="U185" s="319">
        <v>0.8</v>
      </c>
      <c r="V185" s="319">
        <v>1.7</v>
      </c>
      <c r="W185" s="319">
        <v>0.3</v>
      </c>
      <c r="X185" s="319">
        <v>7.2</v>
      </c>
      <c r="Y185" s="319">
        <v>1.7</v>
      </c>
      <c r="Z185" s="319">
        <v>1.8</v>
      </c>
    </row>
    <row r="186" spans="1:26" ht="28.5" thickBot="1">
      <c r="A186" s="98" t="s">
        <v>479</v>
      </c>
      <c r="B186" s="25">
        <v>7</v>
      </c>
      <c r="C186" s="106">
        <f t="shared" si="22"/>
        <v>800</v>
      </c>
      <c r="D186" s="106">
        <f t="shared" si="23"/>
        <v>1700</v>
      </c>
      <c r="E186" s="106">
        <f t="shared" si="24"/>
        <v>300</v>
      </c>
      <c r="F186" s="106">
        <f t="shared" si="25"/>
        <v>7200</v>
      </c>
      <c r="G186" s="106">
        <f t="shared" si="26"/>
        <v>1700</v>
      </c>
      <c r="H186" s="106">
        <f t="shared" si="27"/>
        <v>1800</v>
      </c>
      <c r="S186" s="130" t="s">
        <v>614</v>
      </c>
      <c r="T186" s="130" t="s">
        <v>855</v>
      </c>
      <c r="U186" s="319">
        <v>2</v>
      </c>
      <c r="V186" s="319">
        <v>1.7</v>
      </c>
      <c r="W186" s="319">
        <v>3.7</v>
      </c>
      <c r="X186" s="319">
        <v>8.6</v>
      </c>
      <c r="Y186" s="319">
        <v>2.9</v>
      </c>
      <c r="Z186" s="319">
        <v>3.2</v>
      </c>
    </row>
    <row r="187" spans="1:26" ht="28.5" thickBot="1">
      <c r="A187" s="98" t="s">
        <v>614</v>
      </c>
      <c r="B187" s="25">
        <v>8</v>
      </c>
      <c r="C187" s="106">
        <f t="shared" si="22"/>
        <v>2000</v>
      </c>
      <c r="D187" s="106">
        <f t="shared" si="23"/>
        <v>1700</v>
      </c>
      <c r="E187" s="106">
        <f t="shared" si="24"/>
        <v>3700</v>
      </c>
      <c r="F187" s="106">
        <f t="shared" si="25"/>
        <v>8600</v>
      </c>
      <c r="G187" s="106">
        <f t="shared" si="26"/>
        <v>2900</v>
      </c>
      <c r="H187" s="106">
        <f t="shared" si="27"/>
        <v>3200</v>
      </c>
      <c r="S187" s="130" t="s">
        <v>615</v>
      </c>
      <c r="T187" s="130" t="s">
        <v>856</v>
      </c>
      <c r="U187" s="319">
        <v>1.8</v>
      </c>
      <c r="V187" s="319">
        <v>1.7</v>
      </c>
      <c r="W187" s="319">
        <v>5.0999999999999996</v>
      </c>
      <c r="X187" s="319">
        <v>8.6999999999999993</v>
      </c>
      <c r="Y187" s="319">
        <v>2.9</v>
      </c>
      <c r="Z187" s="319">
        <v>3.2</v>
      </c>
    </row>
    <row r="188" spans="1:26" ht="42.5" thickBot="1">
      <c r="A188" s="98" t="s">
        <v>615</v>
      </c>
      <c r="B188" s="25">
        <v>9</v>
      </c>
      <c r="C188" s="106">
        <f t="shared" si="22"/>
        <v>1800</v>
      </c>
      <c r="D188" s="106">
        <f t="shared" si="23"/>
        <v>1700</v>
      </c>
      <c r="E188" s="106">
        <f t="shared" si="24"/>
        <v>5100</v>
      </c>
      <c r="F188" s="106">
        <f t="shared" si="25"/>
        <v>8700</v>
      </c>
      <c r="G188" s="106">
        <f t="shared" si="26"/>
        <v>2900</v>
      </c>
      <c r="H188" s="106">
        <f t="shared" si="27"/>
        <v>3200</v>
      </c>
      <c r="S188" s="130" t="s">
        <v>616</v>
      </c>
      <c r="T188" s="130" t="s">
        <v>857</v>
      </c>
      <c r="U188" s="319">
        <v>1.5</v>
      </c>
      <c r="V188" s="319">
        <v>1.7</v>
      </c>
      <c r="W188" s="319">
        <v>4.4000000000000004</v>
      </c>
      <c r="X188" s="319">
        <v>8.6999999999999993</v>
      </c>
      <c r="Y188" s="319">
        <v>3</v>
      </c>
      <c r="Z188" s="319">
        <v>3.7</v>
      </c>
    </row>
    <row r="189" spans="1:26" ht="35" thickBot="1">
      <c r="A189" s="98" t="s">
        <v>616</v>
      </c>
      <c r="B189" s="25">
        <v>10</v>
      </c>
      <c r="C189" s="106">
        <f t="shared" si="22"/>
        <v>1500</v>
      </c>
      <c r="D189" s="106">
        <f t="shared" si="23"/>
        <v>1700</v>
      </c>
      <c r="E189" s="106">
        <f t="shared" si="24"/>
        <v>4400</v>
      </c>
      <c r="F189" s="106">
        <f t="shared" si="25"/>
        <v>8700</v>
      </c>
      <c r="G189" s="106">
        <f t="shared" si="26"/>
        <v>3000</v>
      </c>
      <c r="H189" s="106">
        <f t="shared" si="27"/>
        <v>3700</v>
      </c>
      <c r="S189" s="130" t="s">
        <v>617</v>
      </c>
      <c r="T189" s="130" t="s">
        <v>592</v>
      </c>
      <c r="U189" s="319">
        <v>1.4</v>
      </c>
      <c r="V189" s="319">
        <v>1.5</v>
      </c>
      <c r="W189" s="319">
        <v>5</v>
      </c>
      <c r="X189" s="319">
        <v>8.8000000000000007</v>
      </c>
      <c r="Y189" s="319">
        <v>2.9</v>
      </c>
      <c r="Z189" s="319">
        <v>3.1</v>
      </c>
    </row>
    <row r="190" spans="1:26" ht="28.5" thickBot="1">
      <c r="A190" s="98" t="s">
        <v>617</v>
      </c>
      <c r="B190" s="25">
        <v>11</v>
      </c>
      <c r="C190" s="106">
        <f t="shared" si="22"/>
        <v>1400</v>
      </c>
      <c r="D190" s="106">
        <f t="shared" si="23"/>
        <v>1500</v>
      </c>
      <c r="E190" s="106">
        <f t="shared" si="24"/>
        <v>5000</v>
      </c>
      <c r="F190" s="106">
        <f t="shared" si="25"/>
        <v>8800</v>
      </c>
      <c r="G190" s="106">
        <f t="shared" si="26"/>
        <v>2900</v>
      </c>
      <c r="H190" s="106">
        <f t="shared" si="27"/>
        <v>3100</v>
      </c>
      <c r="S190" s="130" t="s">
        <v>618</v>
      </c>
      <c r="T190" s="130" t="s">
        <v>858</v>
      </c>
      <c r="U190" s="319">
        <v>1.4</v>
      </c>
      <c r="V190" s="319">
        <v>1.7</v>
      </c>
      <c r="W190" s="319">
        <v>3.6</v>
      </c>
      <c r="X190" s="319">
        <v>8.6</v>
      </c>
      <c r="Y190" s="319">
        <v>2.9</v>
      </c>
      <c r="Z190" s="319">
        <v>3.2</v>
      </c>
    </row>
    <row r="191" spans="1:26" ht="42.5" thickBot="1">
      <c r="A191" s="98" t="s">
        <v>618</v>
      </c>
      <c r="B191" s="25">
        <v>12</v>
      </c>
      <c r="C191" s="106">
        <f t="shared" si="22"/>
        <v>1400</v>
      </c>
      <c r="D191" s="106">
        <f t="shared" si="23"/>
        <v>1700</v>
      </c>
      <c r="E191" s="106">
        <f t="shared" si="24"/>
        <v>3600</v>
      </c>
      <c r="F191" s="106">
        <f t="shared" si="25"/>
        <v>8600</v>
      </c>
      <c r="G191" s="106">
        <f t="shared" si="26"/>
        <v>2900</v>
      </c>
      <c r="H191" s="106">
        <f t="shared" si="27"/>
        <v>3200</v>
      </c>
      <c r="S191" s="130" t="s">
        <v>501</v>
      </c>
      <c r="T191" s="130"/>
      <c r="U191" s="319">
        <v>1.5</v>
      </c>
      <c r="V191" s="319">
        <v>1.7</v>
      </c>
      <c r="W191" s="319">
        <v>4.0999999999999996</v>
      </c>
      <c r="X191" s="319">
        <v>8.6</v>
      </c>
      <c r="Y191" s="319">
        <v>2.8</v>
      </c>
      <c r="Z191" s="319">
        <v>3.1</v>
      </c>
    </row>
    <row r="192" spans="1:26" ht="35" thickBot="1">
      <c r="A192" s="98" t="s">
        <v>501</v>
      </c>
      <c r="B192" s="25">
        <v>13</v>
      </c>
      <c r="C192" s="106">
        <f t="shared" si="22"/>
        <v>1500</v>
      </c>
      <c r="D192" s="106">
        <f t="shared" si="23"/>
        <v>1700</v>
      </c>
      <c r="E192" s="106">
        <f t="shared" si="24"/>
        <v>4100</v>
      </c>
      <c r="F192" s="106">
        <f t="shared" si="25"/>
        <v>8600</v>
      </c>
      <c r="G192" s="106">
        <f t="shared" si="26"/>
        <v>2800</v>
      </c>
      <c r="H192" s="106">
        <f t="shared" si="27"/>
        <v>3100</v>
      </c>
      <c r="S192" s="313"/>
      <c r="T192" s="313"/>
      <c r="U192" s="313"/>
      <c r="V192" s="313"/>
      <c r="W192" s="313"/>
      <c r="X192" s="313"/>
      <c r="Y192" s="313"/>
      <c r="Z192" s="313"/>
    </row>
    <row r="193" spans="1:26" ht="20" thickBot="1">
      <c r="A193" s="102"/>
      <c r="B193" s="25">
        <v>14</v>
      </c>
      <c r="S193" s="129" t="s">
        <v>867</v>
      </c>
      <c r="T193"/>
      <c r="U193"/>
      <c r="V193"/>
      <c r="W193"/>
      <c r="X193"/>
      <c r="Y193"/>
      <c r="Z193"/>
    </row>
    <row r="194" spans="1:26" ht="20.25" customHeight="1" thickBot="1">
      <c r="A194" s="102" t="s">
        <v>542</v>
      </c>
      <c r="B194" s="102" t="s">
        <v>543</v>
      </c>
      <c r="S194" s="318" t="s">
        <v>868</v>
      </c>
      <c r="T194" s="318"/>
      <c r="U194" s="318" t="s">
        <v>847</v>
      </c>
      <c r="V194" s="318"/>
      <c r="W194" s="318"/>
      <c r="X194" s="318"/>
      <c r="Y194" s="318"/>
      <c r="Z194" s="318"/>
    </row>
    <row r="195" spans="1:26" ht="42.5" thickBot="1">
      <c r="A195" s="101" t="s">
        <v>629</v>
      </c>
      <c r="B195" s="101" t="s">
        <v>630</v>
      </c>
      <c r="S195" s="314" t="s">
        <v>465</v>
      </c>
      <c r="T195" s="314" t="s">
        <v>547</v>
      </c>
      <c r="U195" s="314" t="s">
        <v>848</v>
      </c>
      <c r="V195" s="314" t="s">
        <v>849</v>
      </c>
      <c r="W195" s="314" t="s">
        <v>604</v>
      </c>
      <c r="X195" s="314" t="s">
        <v>605</v>
      </c>
      <c r="Y195" s="314" t="s">
        <v>850</v>
      </c>
      <c r="Z195" s="314" t="s">
        <v>468</v>
      </c>
    </row>
    <row r="196" spans="1:26" ht="34.4" customHeight="1" thickBot="1">
      <c r="A196" s="604" t="s">
        <v>631</v>
      </c>
      <c r="B196" s="606"/>
      <c r="C196" s="604" t="s">
        <v>838</v>
      </c>
      <c r="D196" s="605"/>
      <c r="E196" s="605"/>
      <c r="F196" s="605"/>
      <c r="G196" s="605"/>
      <c r="H196" s="606"/>
      <c r="S196" s="130" t="s">
        <v>608</v>
      </c>
      <c r="T196" s="130" t="s">
        <v>851</v>
      </c>
      <c r="U196" s="315">
        <v>13.6</v>
      </c>
      <c r="V196" s="315">
        <v>14.4</v>
      </c>
      <c r="W196" s="315">
        <v>19.899999999999999</v>
      </c>
      <c r="X196" s="315">
        <v>15.5</v>
      </c>
      <c r="Y196" s="315">
        <v>17.5</v>
      </c>
      <c r="Z196" s="315">
        <v>16.600000000000001</v>
      </c>
    </row>
    <row r="197" spans="1:26" ht="35" thickBot="1">
      <c r="A197" s="143" t="s">
        <v>465</v>
      </c>
      <c r="B197" s="142" t="s">
        <v>632</v>
      </c>
      <c r="C197" s="142" t="s">
        <v>602</v>
      </c>
      <c r="D197" s="142" t="s">
        <v>603</v>
      </c>
      <c r="E197" s="142" t="s">
        <v>604</v>
      </c>
      <c r="F197" s="142" t="s">
        <v>605</v>
      </c>
      <c r="G197" s="142" t="s">
        <v>612</v>
      </c>
      <c r="H197" s="142" t="s">
        <v>468</v>
      </c>
      <c r="S197" s="130" t="s">
        <v>609</v>
      </c>
      <c r="T197" s="130" t="s">
        <v>510</v>
      </c>
      <c r="U197" s="315">
        <v>12.7</v>
      </c>
      <c r="V197" s="315">
        <v>13.5</v>
      </c>
      <c r="W197" s="315">
        <v>18.100000000000001</v>
      </c>
      <c r="X197" s="315">
        <v>14.6</v>
      </c>
      <c r="Y197" s="315">
        <v>14.9</v>
      </c>
      <c r="Z197" s="315">
        <v>13.6</v>
      </c>
    </row>
    <row r="198" spans="1:26" ht="42.5" thickBot="1">
      <c r="A198" s="98" t="s">
        <v>608</v>
      </c>
      <c r="B198" s="25">
        <v>1</v>
      </c>
      <c r="C198" s="106">
        <f>U196*1000000</f>
        <v>13600000</v>
      </c>
      <c r="D198" s="106">
        <f t="shared" ref="D198:H198" si="28">V196*1000000</f>
        <v>14400000</v>
      </c>
      <c r="E198" s="106">
        <f t="shared" si="28"/>
        <v>19900000</v>
      </c>
      <c r="F198" s="106">
        <f t="shared" si="28"/>
        <v>15500000</v>
      </c>
      <c r="G198" s="106">
        <f t="shared" si="28"/>
        <v>17500000</v>
      </c>
      <c r="H198" s="106">
        <f t="shared" si="28"/>
        <v>16600000.000000002</v>
      </c>
      <c r="S198" s="130" t="s">
        <v>466</v>
      </c>
      <c r="T198" s="130" t="s">
        <v>852</v>
      </c>
      <c r="U198" s="315">
        <v>12.7</v>
      </c>
      <c r="V198" s="315">
        <v>13</v>
      </c>
      <c r="W198" s="315">
        <v>18.100000000000001</v>
      </c>
      <c r="X198" s="315">
        <v>13.2</v>
      </c>
      <c r="Y198" s="315">
        <v>15.9</v>
      </c>
      <c r="Z198" s="315">
        <v>15.5</v>
      </c>
    </row>
    <row r="199" spans="1:26" ht="42.5" thickBot="1">
      <c r="A199" s="98" t="s">
        <v>609</v>
      </c>
      <c r="B199" s="25">
        <v>2</v>
      </c>
      <c r="C199" s="106">
        <f t="shared" ref="C199:C210" si="29">U197*1000000</f>
        <v>12700000</v>
      </c>
      <c r="D199" s="106">
        <f t="shared" ref="D199:D210" si="30">V197*1000000</f>
        <v>13500000</v>
      </c>
      <c r="E199" s="106">
        <f t="shared" ref="E199:E210" si="31">W197*1000000</f>
        <v>18100000</v>
      </c>
      <c r="F199" s="106">
        <f t="shared" ref="F199:F210" si="32">X197*1000000</f>
        <v>14600000</v>
      </c>
      <c r="G199" s="106">
        <f t="shared" ref="G199:G210" si="33">Y197*1000000</f>
        <v>14900000</v>
      </c>
      <c r="H199" s="106">
        <f t="shared" ref="H199:H210" si="34">Z197*1000000</f>
        <v>13600000</v>
      </c>
      <c r="J199" s="105">
        <f ca="1">IF(I129=0,0,OFFSET(B197,$J$127,$M$127))</f>
        <v>0</v>
      </c>
      <c r="S199" s="130" t="s">
        <v>610</v>
      </c>
      <c r="T199" s="130" t="s">
        <v>557</v>
      </c>
      <c r="U199" s="315">
        <v>12.7</v>
      </c>
      <c r="V199" s="315">
        <v>13.5</v>
      </c>
      <c r="W199" s="315">
        <v>18.100000000000001</v>
      </c>
      <c r="X199" s="315">
        <v>14.6</v>
      </c>
      <c r="Y199" s="315">
        <v>14.9</v>
      </c>
      <c r="Z199" s="315">
        <v>15.5</v>
      </c>
    </row>
    <row r="200" spans="1:26" ht="35" thickBot="1">
      <c r="A200" s="98" t="s">
        <v>466</v>
      </c>
      <c r="B200" s="25">
        <v>3</v>
      </c>
      <c r="C200" s="106">
        <f t="shared" si="29"/>
        <v>12700000</v>
      </c>
      <c r="D200" s="106">
        <f t="shared" si="30"/>
        <v>13000000</v>
      </c>
      <c r="E200" s="106">
        <f t="shared" si="31"/>
        <v>18100000</v>
      </c>
      <c r="F200" s="106">
        <f t="shared" si="32"/>
        <v>13200000</v>
      </c>
      <c r="G200" s="106">
        <f t="shared" si="33"/>
        <v>15900000</v>
      </c>
      <c r="H200" s="106">
        <f t="shared" si="34"/>
        <v>15500000</v>
      </c>
      <c r="S200" s="130" t="s">
        <v>611</v>
      </c>
      <c r="T200" s="130" t="s">
        <v>559</v>
      </c>
      <c r="U200" s="315">
        <v>12.7</v>
      </c>
      <c r="V200" s="315">
        <v>13.5</v>
      </c>
      <c r="W200" s="315">
        <v>18.100000000000001</v>
      </c>
      <c r="X200" s="315">
        <v>14.3</v>
      </c>
      <c r="Y200" s="315">
        <v>14</v>
      </c>
      <c r="Z200" s="315">
        <v>14</v>
      </c>
    </row>
    <row r="201" spans="1:26" ht="42.5" thickBot="1">
      <c r="A201" s="98" t="s">
        <v>610</v>
      </c>
      <c r="B201" s="25">
        <v>4</v>
      </c>
      <c r="C201" s="106">
        <f t="shared" si="29"/>
        <v>12700000</v>
      </c>
      <c r="D201" s="106">
        <f t="shared" si="30"/>
        <v>13500000</v>
      </c>
      <c r="E201" s="106">
        <f t="shared" si="31"/>
        <v>18100000</v>
      </c>
      <c r="F201" s="106">
        <f t="shared" si="32"/>
        <v>14600000</v>
      </c>
      <c r="G201" s="106">
        <f t="shared" si="33"/>
        <v>14900000</v>
      </c>
      <c r="H201" s="106">
        <f t="shared" si="34"/>
        <v>15500000</v>
      </c>
      <c r="S201" s="130" t="s">
        <v>613</v>
      </c>
      <c r="T201" s="130" t="s">
        <v>853</v>
      </c>
      <c r="U201" s="315">
        <v>12.7</v>
      </c>
      <c r="V201" s="315">
        <v>15.6</v>
      </c>
      <c r="W201" s="315">
        <v>18.100000000000001</v>
      </c>
      <c r="X201" s="315">
        <v>14.6</v>
      </c>
      <c r="Y201" s="315">
        <v>14.9</v>
      </c>
      <c r="Z201" s="315">
        <v>14.1</v>
      </c>
    </row>
    <row r="202" spans="1:26" ht="28.5" thickBot="1">
      <c r="A202" s="98" t="s">
        <v>611</v>
      </c>
      <c r="B202" s="25">
        <v>5</v>
      </c>
      <c r="C202" s="106">
        <f t="shared" si="29"/>
        <v>12700000</v>
      </c>
      <c r="D202" s="106">
        <f t="shared" si="30"/>
        <v>13500000</v>
      </c>
      <c r="E202" s="106">
        <f t="shared" si="31"/>
        <v>18100000</v>
      </c>
      <c r="F202" s="106">
        <f t="shared" si="32"/>
        <v>14300000</v>
      </c>
      <c r="G202" s="106">
        <f t="shared" si="33"/>
        <v>14000000</v>
      </c>
      <c r="H202" s="106">
        <f t="shared" si="34"/>
        <v>14000000</v>
      </c>
      <c r="S202" s="130" t="s">
        <v>479</v>
      </c>
      <c r="T202" s="130" t="s">
        <v>854</v>
      </c>
      <c r="U202" s="315">
        <v>12.7</v>
      </c>
      <c r="V202" s="315">
        <v>13.5</v>
      </c>
      <c r="W202" s="315">
        <v>18.100000000000001</v>
      </c>
      <c r="X202" s="315">
        <v>13.3</v>
      </c>
      <c r="Y202" s="315">
        <v>12.7</v>
      </c>
      <c r="Z202" s="315">
        <v>13</v>
      </c>
    </row>
    <row r="203" spans="1:26" ht="28.5" thickBot="1">
      <c r="A203" s="98" t="s">
        <v>613</v>
      </c>
      <c r="B203" s="25">
        <v>6</v>
      </c>
      <c r="C203" s="106">
        <f t="shared" si="29"/>
        <v>12700000</v>
      </c>
      <c r="D203" s="106">
        <f t="shared" si="30"/>
        <v>15600000</v>
      </c>
      <c r="E203" s="106">
        <f t="shared" si="31"/>
        <v>18100000</v>
      </c>
      <c r="F203" s="106">
        <f t="shared" si="32"/>
        <v>14600000</v>
      </c>
      <c r="G203" s="106">
        <f t="shared" si="33"/>
        <v>14900000</v>
      </c>
      <c r="H203" s="106">
        <f t="shared" si="34"/>
        <v>14100000</v>
      </c>
      <c r="S203" s="130" t="s">
        <v>614</v>
      </c>
      <c r="T203" s="130" t="s">
        <v>855</v>
      </c>
      <c r="U203" s="315">
        <v>12.7</v>
      </c>
      <c r="V203" s="315">
        <v>13.5</v>
      </c>
      <c r="W203" s="315">
        <v>18.100000000000001</v>
      </c>
      <c r="X203" s="315">
        <v>14.6</v>
      </c>
      <c r="Y203" s="315">
        <v>15.2</v>
      </c>
      <c r="Z203" s="315">
        <v>14.2</v>
      </c>
    </row>
    <row r="204" spans="1:26" ht="28.5" thickBot="1">
      <c r="A204" s="98" t="s">
        <v>479</v>
      </c>
      <c r="B204" s="25">
        <v>7</v>
      </c>
      <c r="C204" s="106">
        <f t="shared" si="29"/>
        <v>12700000</v>
      </c>
      <c r="D204" s="106">
        <f t="shared" si="30"/>
        <v>13500000</v>
      </c>
      <c r="E204" s="106">
        <f t="shared" si="31"/>
        <v>18100000</v>
      </c>
      <c r="F204" s="106">
        <f t="shared" si="32"/>
        <v>13300000</v>
      </c>
      <c r="G204" s="106">
        <f t="shared" si="33"/>
        <v>12700000</v>
      </c>
      <c r="H204" s="106">
        <f t="shared" si="34"/>
        <v>13000000</v>
      </c>
      <c r="S204" s="130" t="s">
        <v>615</v>
      </c>
      <c r="T204" s="130" t="s">
        <v>856</v>
      </c>
      <c r="U204" s="315">
        <v>12.7</v>
      </c>
      <c r="V204" s="315">
        <v>13.5</v>
      </c>
      <c r="W204" s="315">
        <v>18.100000000000001</v>
      </c>
      <c r="X204" s="315">
        <v>14.6</v>
      </c>
      <c r="Y204" s="315">
        <v>15.2</v>
      </c>
      <c r="Z204" s="315">
        <v>14.2</v>
      </c>
    </row>
    <row r="205" spans="1:26" ht="42.5" thickBot="1">
      <c r="A205" s="98" t="s">
        <v>614</v>
      </c>
      <c r="B205" s="25">
        <v>8</v>
      </c>
      <c r="C205" s="106">
        <f t="shared" si="29"/>
        <v>12700000</v>
      </c>
      <c r="D205" s="106">
        <f t="shared" si="30"/>
        <v>13500000</v>
      </c>
      <c r="E205" s="106">
        <f t="shared" si="31"/>
        <v>18100000</v>
      </c>
      <c r="F205" s="106">
        <f t="shared" si="32"/>
        <v>14600000</v>
      </c>
      <c r="G205" s="106">
        <f t="shared" si="33"/>
        <v>15200000</v>
      </c>
      <c r="H205" s="106">
        <f t="shared" si="34"/>
        <v>14200000</v>
      </c>
      <c r="S205" s="130" t="s">
        <v>616</v>
      </c>
      <c r="T205" s="130" t="s">
        <v>857</v>
      </c>
      <c r="U205" s="315">
        <v>12.7</v>
      </c>
      <c r="V205" s="315">
        <v>13.5</v>
      </c>
      <c r="W205" s="315">
        <v>18.100000000000001</v>
      </c>
      <c r="X205" s="315">
        <v>14.6</v>
      </c>
      <c r="Y205" s="315">
        <v>15.2</v>
      </c>
      <c r="Z205" s="315">
        <v>14.2</v>
      </c>
    </row>
    <row r="206" spans="1:26" ht="28.5" thickBot="1">
      <c r="A206" s="98" t="s">
        <v>615</v>
      </c>
      <c r="B206" s="25">
        <v>9</v>
      </c>
      <c r="C206" s="106">
        <f t="shared" si="29"/>
        <v>12700000</v>
      </c>
      <c r="D206" s="106">
        <f t="shared" si="30"/>
        <v>13500000</v>
      </c>
      <c r="E206" s="106">
        <f t="shared" si="31"/>
        <v>18100000</v>
      </c>
      <c r="F206" s="106">
        <f t="shared" si="32"/>
        <v>14600000</v>
      </c>
      <c r="G206" s="106">
        <f t="shared" si="33"/>
        <v>15200000</v>
      </c>
      <c r="H206" s="106">
        <f t="shared" si="34"/>
        <v>14200000</v>
      </c>
      <c r="S206" s="130" t="s">
        <v>617</v>
      </c>
      <c r="T206" s="130" t="s">
        <v>592</v>
      </c>
      <c r="U206" s="315">
        <v>12.7</v>
      </c>
      <c r="V206" s="315">
        <v>13.5</v>
      </c>
      <c r="W206" s="315">
        <v>18.100000000000001</v>
      </c>
      <c r="X206" s="315">
        <v>12.9</v>
      </c>
      <c r="Y206" s="315">
        <v>15.3</v>
      </c>
      <c r="Z206" s="315">
        <v>14.3</v>
      </c>
    </row>
    <row r="207" spans="1:26" ht="35" thickBot="1">
      <c r="A207" s="98" t="s">
        <v>616</v>
      </c>
      <c r="B207" s="25">
        <v>10</v>
      </c>
      <c r="C207" s="106">
        <f t="shared" si="29"/>
        <v>12700000</v>
      </c>
      <c r="D207" s="106">
        <f t="shared" si="30"/>
        <v>13500000</v>
      </c>
      <c r="E207" s="106">
        <f t="shared" si="31"/>
        <v>18100000</v>
      </c>
      <c r="F207" s="106">
        <f t="shared" si="32"/>
        <v>14600000</v>
      </c>
      <c r="G207" s="106">
        <f t="shared" si="33"/>
        <v>15200000</v>
      </c>
      <c r="H207" s="106">
        <f t="shared" si="34"/>
        <v>14200000</v>
      </c>
      <c r="S207" s="130" t="s">
        <v>618</v>
      </c>
      <c r="T207" s="130" t="s">
        <v>858</v>
      </c>
      <c r="U207" s="315">
        <v>12.7</v>
      </c>
      <c r="V207" s="315">
        <v>12.9</v>
      </c>
      <c r="W207" s="315">
        <v>18.100000000000001</v>
      </c>
      <c r="X207" s="315">
        <v>15.3</v>
      </c>
      <c r="Y207" s="315">
        <v>14.9</v>
      </c>
      <c r="Z207" s="315">
        <v>14.3</v>
      </c>
    </row>
    <row r="208" spans="1:26" ht="42.5" thickBot="1">
      <c r="A208" s="98" t="s">
        <v>617</v>
      </c>
      <c r="B208" s="25">
        <v>11</v>
      </c>
      <c r="C208" s="106">
        <f t="shared" si="29"/>
        <v>12700000</v>
      </c>
      <c r="D208" s="106">
        <f t="shared" si="30"/>
        <v>13500000</v>
      </c>
      <c r="E208" s="106">
        <f t="shared" si="31"/>
        <v>18100000</v>
      </c>
      <c r="F208" s="106">
        <f t="shared" si="32"/>
        <v>12900000</v>
      </c>
      <c r="G208" s="106">
        <f t="shared" si="33"/>
        <v>15300000</v>
      </c>
      <c r="H208" s="106">
        <f t="shared" si="34"/>
        <v>14300000</v>
      </c>
      <c r="S208" s="130" t="s">
        <v>501</v>
      </c>
      <c r="T208" s="130"/>
      <c r="U208" s="315">
        <v>12.7</v>
      </c>
      <c r="V208" s="315">
        <v>13.5</v>
      </c>
      <c r="W208" s="315">
        <v>18.100000000000001</v>
      </c>
      <c r="X208" s="315">
        <v>14.6</v>
      </c>
      <c r="Y208" s="315">
        <v>15.2</v>
      </c>
      <c r="Z208" s="315">
        <v>14.9</v>
      </c>
    </row>
    <row r="209" spans="1:26" ht="23.5" thickBot="1">
      <c r="A209" s="98" t="s">
        <v>618</v>
      </c>
      <c r="B209" s="25">
        <v>12</v>
      </c>
      <c r="C209" s="106">
        <f t="shared" si="29"/>
        <v>12700000</v>
      </c>
      <c r="D209" s="106">
        <f t="shared" si="30"/>
        <v>12900000</v>
      </c>
      <c r="E209" s="106">
        <f t="shared" si="31"/>
        <v>18100000</v>
      </c>
      <c r="F209" s="106">
        <f t="shared" si="32"/>
        <v>15300000</v>
      </c>
      <c r="G209" s="106">
        <f t="shared" si="33"/>
        <v>14900000</v>
      </c>
      <c r="H209" s="106">
        <f t="shared" si="34"/>
        <v>14300000</v>
      </c>
      <c r="S209" s="313"/>
      <c r="T209" s="313"/>
      <c r="U209" s="313"/>
      <c r="V209" s="313"/>
      <c r="W209" s="313"/>
      <c r="X209" s="313"/>
      <c r="Y209" s="313"/>
      <c r="Z209" s="313"/>
    </row>
    <row r="210" spans="1:26" ht="35" thickBot="1">
      <c r="A210" s="98" t="s">
        <v>501</v>
      </c>
      <c r="B210" s="25">
        <v>13</v>
      </c>
      <c r="C210" s="106">
        <f t="shared" si="29"/>
        <v>12700000</v>
      </c>
      <c r="D210" s="106">
        <f t="shared" si="30"/>
        <v>13500000</v>
      </c>
      <c r="E210" s="106">
        <f t="shared" si="31"/>
        <v>18100000</v>
      </c>
      <c r="F210" s="106">
        <f t="shared" si="32"/>
        <v>14600000</v>
      </c>
      <c r="G210" s="106">
        <f t="shared" si="33"/>
        <v>15200000</v>
      </c>
      <c r="H210" s="106">
        <f t="shared" si="34"/>
        <v>14900000</v>
      </c>
      <c r="S210" s="129" t="s">
        <v>869</v>
      </c>
      <c r="T210"/>
      <c r="U210"/>
      <c r="V210"/>
      <c r="W210"/>
      <c r="X210"/>
      <c r="Y210"/>
      <c r="Z210"/>
    </row>
    <row r="211" spans="1:26" ht="14.25" customHeight="1">
      <c r="A211" s="104"/>
      <c r="B211" s="25">
        <v>14</v>
      </c>
      <c r="S211" s="321" t="s">
        <v>870</v>
      </c>
      <c r="T211" s="321"/>
      <c r="U211" s="321" t="s">
        <v>861</v>
      </c>
      <c r="V211" s="321"/>
      <c r="W211" s="321"/>
      <c r="X211" s="321"/>
      <c r="Y211" s="321"/>
      <c r="Z211" s="321"/>
    </row>
    <row r="212" spans="1:26" ht="15" customHeight="1" thickBot="1">
      <c r="A212" s="101" t="s">
        <v>633</v>
      </c>
      <c r="B212" s="101" t="s">
        <v>634</v>
      </c>
      <c r="S212" s="140" t="s">
        <v>871</v>
      </c>
      <c r="T212" s="140"/>
      <c r="U212" s="140"/>
      <c r="V212" s="140"/>
      <c r="W212" s="140"/>
      <c r="X212" s="140"/>
      <c r="Y212" s="140"/>
      <c r="Z212" s="140"/>
    </row>
    <row r="213" spans="1:26" ht="34.4" customHeight="1" thickBot="1">
      <c r="A213" s="604" t="s">
        <v>635</v>
      </c>
      <c r="B213" s="606"/>
      <c r="C213" s="604" t="s">
        <v>838</v>
      </c>
      <c r="D213" s="605"/>
      <c r="E213" s="605"/>
      <c r="F213" s="605"/>
      <c r="G213" s="605"/>
      <c r="H213" s="606"/>
      <c r="S213" s="314" t="s">
        <v>465</v>
      </c>
      <c r="T213" s="314" t="s">
        <v>547</v>
      </c>
      <c r="U213" s="314" t="s">
        <v>848</v>
      </c>
      <c r="V213" s="314" t="s">
        <v>849</v>
      </c>
      <c r="W213" s="314" t="s">
        <v>604</v>
      </c>
      <c r="X213" s="314" t="s">
        <v>605</v>
      </c>
      <c r="Y213" s="314" t="s">
        <v>850</v>
      </c>
      <c r="Z213" s="314" t="s">
        <v>468</v>
      </c>
    </row>
    <row r="214" spans="1:26" ht="35" thickBot="1">
      <c r="A214" s="99" t="s">
        <v>465</v>
      </c>
      <c r="B214" s="142" t="s">
        <v>547</v>
      </c>
      <c r="C214" s="142" t="s">
        <v>602</v>
      </c>
      <c r="D214" s="142" t="s">
        <v>603</v>
      </c>
      <c r="E214" s="142" t="s">
        <v>604</v>
      </c>
      <c r="F214" s="142" t="s">
        <v>605</v>
      </c>
      <c r="G214" s="142" t="s">
        <v>612</v>
      </c>
      <c r="H214" s="142" t="s">
        <v>468</v>
      </c>
      <c r="S214" s="130" t="s">
        <v>608</v>
      </c>
      <c r="T214" s="130" t="s">
        <v>851</v>
      </c>
      <c r="U214" s="317">
        <v>746</v>
      </c>
      <c r="V214" s="317">
        <v>722</v>
      </c>
      <c r="W214" s="317">
        <v>1075</v>
      </c>
      <c r="X214" s="317">
        <v>882</v>
      </c>
      <c r="Y214" s="317">
        <v>1083</v>
      </c>
      <c r="Z214" s="317">
        <v>979</v>
      </c>
    </row>
    <row r="215" spans="1:26" ht="14.5" thickBot="1">
      <c r="A215" s="98" t="s">
        <v>608</v>
      </c>
      <c r="B215" s="25">
        <v>1</v>
      </c>
      <c r="C215" s="106">
        <f>U214*1000</f>
        <v>746000</v>
      </c>
      <c r="D215" s="106">
        <f t="shared" ref="D215:H215" si="35">V214*1000</f>
        <v>722000</v>
      </c>
      <c r="E215" s="106">
        <f t="shared" si="35"/>
        <v>1075000</v>
      </c>
      <c r="F215" s="106">
        <f t="shared" si="35"/>
        <v>882000</v>
      </c>
      <c r="G215" s="106">
        <f t="shared" si="35"/>
        <v>1083000</v>
      </c>
      <c r="H215" s="106">
        <f t="shared" si="35"/>
        <v>979000</v>
      </c>
      <c r="S215" s="130" t="s">
        <v>609</v>
      </c>
      <c r="T215" s="130" t="s">
        <v>510</v>
      </c>
      <c r="U215" s="317">
        <v>690</v>
      </c>
      <c r="V215" s="317">
        <v>746</v>
      </c>
      <c r="W215" s="317">
        <v>987</v>
      </c>
      <c r="X215" s="317">
        <v>810</v>
      </c>
      <c r="Y215" s="317">
        <v>842</v>
      </c>
      <c r="Z215" s="317">
        <v>802</v>
      </c>
    </row>
    <row r="216" spans="1:26" ht="42.5" thickBot="1">
      <c r="A216" s="98" t="s">
        <v>609</v>
      </c>
      <c r="B216" s="25">
        <v>2</v>
      </c>
      <c r="C216" s="106">
        <f t="shared" ref="C216:C227" si="36">U215*1000</f>
        <v>690000</v>
      </c>
      <c r="D216" s="106">
        <f t="shared" ref="D216:D227" si="37">V215*1000</f>
        <v>746000</v>
      </c>
      <c r="E216" s="106">
        <f t="shared" ref="E216:E227" si="38">W215*1000</f>
        <v>987000</v>
      </c>
      <c r="F216" s="106">
        <f t="shared" ref="F216:F227" si="39">X215*1000</f>
        <v>810000</v>
      </c>
      <c r="G216" s="106">
        <f t="shared" ref="G216:G227" si="40">Y215*1000</f>
        <v>842000</v>
      </c>
      <c r="H216" s="106">
        <f t="shared" ref="H216:H227" si="41">Z215*1000</f>
        <v>802000</v>
      </c>
      <c r="J216" s="105">
        <f ca="1">IF(I129=0,0,OFFSET(B214,$J$127,$M$127))</f>
        <v>0</v>
      </c>
      <c r="S216" s="130" t="s">
        <v>466</v>
      </c>
      <c r="T216" s="130" t="s">
        <v>852</v>
      </c>
      <c r="U216" s="317">
        <v>762</v>
      </c>
      <c r="V216" s="317">
        <v>730</v>
      </c>
      <c r="W216" s="317">
        <v>1283</v>
      </c>
      <c r="X216" s="317">
        <v>803</v>
      </c>
      <c r="Y216" s="317">
        <v>835</v>
      </c>
      <c r="Z216" s="317">
        <v>810</v>
      </c>
    </row>
    <row r="217" spans="1:26" ht="42.5" thickBot="1">
      <c r="A217" s="98" t="s">
        <v>466</v>
      </c>
      <c r="B217" s="25">
        <v>3</v>
      </c>
      <c r="C217" s="106">
        <f t="shared" si="36"/>
        <v>762000</v>
      </c>
      <c r="D217" s="106">
        <f t="shared" si="37"/>
        <v>730000</v>
      </c>
      <c r="E217" s="106">
        <f t="shared" si="38"/>
        <v>1283000</v>
      </c>
      <c r="F217" s="106">
        <f t="shared" si="39"/>
        <v>803000</v>
      </c>
      <c r="G217" s="106">
        <f t="shared" si="40"/>
        <v>835000</v>
      </c>
      <c r="H217" s="106">
        <f t="shared" si="41"/>
        <v>810000</v>
      </c>
      <c r="S217" s="130" t="s">
        <v>610</v>
      </c>
      <c r="T217" s="130" t="s">
        <v>557</v>
      </c>
      <c r="U217" s="317">
        <v>746</v>
      </c>
      <c r="V217" s="317">
        <v>690</v>
      </c>
      <c r="W217" s="317">
        <v>987</v>
      </c>
      <c r="X217" s="317">
        <v>810</v>
      </c>
      <c r="Y217" s="317">
        <v>827</v>
      </c>
      <c r="Z217" s="317">
        <v>762</v>
      </c>
    </row>
    <row r="218" spans="1:26" ht="35" thickBot="1">
      <c r="A218" s="98" t="s">
        <v>610</v>
      </c>
      <c r="B218" s="25">
        <v>4</v>
      </c>
      <c r="C218" s="106">
        <f t="shared" si="36"/>
        <v>746000</v>
      </c>
      <c r="D218" s="106">
        <f t="shared" si="37"/>
        <v>690000</v>
      </c>
      <c r="E218" s="106">
        <f t="shared" si="38"/>
        <v>987000</v>
      </c>
      <c r="F218" s="106">
        <f t="shared" si="39"/>
        <v>810000</v>
      </c>
      <c r="G218" s="106">
        <f t="shared" si="40"/>
        <v>827000</v>
      </c>
      <c r="H218" s="106">
        <f t="shared" si="41"/>
        <v>762000</v>
      </c>
      <c r="S218" s="130" t="s">
        <v>611</v>
      </c>
      <c r="T218" s="130" t="s">
        <v>559</v>
      </c>
      <c r="U218" s="317">
        <v>746</v>
      </c>
      <c r="V218" s="317">
        <v>778</v>
      </c>
      <c r="W218" s="317">
        <v>987</v>
      </c>
      <c r="X218" s="317">
        <v>786</v>
      </c>
      <c r="Y218" s="317">
        <v>802</v>
      </c>
      <c r="Z218" s="317">
        <v>794</v>
      </c>
    </row>
    <row r="219" spans="1:26" ht="42.5" thickBot="1">
      <c r="A219" s="98" t="s">
        <v>611</v>
      </c>
      <c r="B219" s="25">
        <v>5</v>
      </c>
      <c r="C219" s="106">
        <f t="shared" si="36"/>
        <v>746000</v>
      </c>
      <c r="D219" s="106">
        <f t="shared" si="37"/>
        <v>778000</v>
      </c>
      <c r="E219" s="106">
        <f t="shared" si="38"/>
        <v>987000</v>
      </c>
      <c r="F219" s="106">
        <f t="shared" si="39"/>
        <v>786000</v>
      </c>
      <c r="G219" s="106">
        <f t="shared" si="40"/>
        <v>802000</v>
      </c>
      <c r="H219" s="106">
        <f t="shared" si="41"/>
        <v>794000</v>
      </c>
      <c r="S219" s="130" t="s">
        <v>613</v>
      </c>
      <c r="T219" s="130" t="s">
        <v>853</v>
      </c>
      <c r="U219" s="317">
        <v>746</v>
      </c>
      <c r="V219" s="317">
        <v>746</v>
      </c>
      <c r="W219" s="317">
        <v>987</v>
      </c>
      <c r="X219" s="317">
        <v>794</v>
      </c>
      <c r="Y219" s="317">
        <v>874</v>
      </c>
      <c r="Z219" s="317">
        <v>802</v>
      </c>
    </row>
    <row r="220" spans="1:26" ht="28.5" thickBot="1">
      <c r="A220" s="98" t="s">
        <v>613</v>
      </c>
      <c r="B220" s="25">
        <v>6</v>
      </c>
      <c r="C220" s="106">
        <f t="shared" si="36"/>
        <v>746000</v>
      </c>
      <c r="D220" s="106">
        <f t="shared" si="37"/>
        <v>746000</v>
      </c>
      <c r="E220" s="106">
        <f t="shared" si="38"/>
        <v>987000</v>
      </c>
      <c r="F220" s="106">
        <f t="shared" si="39"/>
        <v>794000</v>
      </c>
      <c r="G220" s="106">
        <f t="shared" si="40"/>
        <v>874000</v>
      </c>
      <c r="H220" s="106">
        <f t="shared" si="41"/>
        <v>802000</v>
      </c>
      <c r="S220" s="130" t="s">
        <v>479</v>
      </c>
      <c r="T220" s="130" t="s">
        <v>854</v>
      </c>
      <c r="U220" s="317">
        <v>755</v>
      </c>
      <c r="V220" s="317">
        <v>787</v>
      </c>
      <c r="W220" s="317">
        <v>987</v>
      </c>
      <c r="X220" s="317">
        <v>810</v>
      </c>
      <c r="Y220" s="317">
        <v>706</v>
      </c>
      <c r="Z220" s="317">
        <v>700</v>
      </c>
    </row>
    <row r="221" spans="1:26" ht="28.5" thickBot="1">
      <c r="A221" s="98" t="s">
        <v>479</v>
      </c>
      <c r="B221" s="25">
        <v>7</v>
      </c>
      <c r="C221" s="106">
        <f t="shared" si="36"/>
        <v>755000</v>
      </c>
      <c r="D221" s="106">
        <f t="shared" si="37"/>
        <v>787000</v>
      </c>
      <c r="E221" s="106">
        <f t="shared" si="38"/>
        <v>987000</v>
      </c>
      <c r="F221" s="106">
        <f t="shared" si="39"/>
        <v>810000</v>
      </c>
      <c r="G221" s="106">
        <f t="shared" si="40"/>
        <v>706000</v>
      </c>
      <c r="H221" s="106">
        <f t="shared" si="41"/>
        <v>700000</v>
      </c>
      <c r="S221" s="130" t="s">
        <v>614</v>
      </c>
      <c r="T221" s="130" t="s">
        <v>855</v>
      </c>
      <c r="U221" s="317">
        <v>746</v>
      </c>
      <c r="V221" s="317">
        <v>762</v>
      </c>
      <c r="W221" s="317">
        <v>987</v>
      </c>
      <c r="X221" s="317">
        <v>810</v>
      </c>
      <c r="Y221" s="317">
        <v>882</v>
      </c>
      <c r="Z221" s="317">
        <v>842</v>
      </c>
    </row>
    <row r="222" spans="1:26" ht="28.5" thickBot="1">
      <c r="A222" s="98" t="s">
        <v>614</v>
      </c>
      <c r="B222" s="25">
        <v>8</v>
      </c>
      <c r="C222" s="106">
        <f t="shared" si="36"/>
        <v>746000</v>
      </c>
      <c r="D222" s="106">
        <f t="shared" si="37"/>
        <v>762000</v>
      </c>
      <c r="E222" s="106">
        <f t="shared" si="38"/>
        <v>987000</v>
      </c>
      <c r="F222" s="106">
        <f t="shared" si="39"/>
        <v>810000</v>
      </c>
      <c r="G222" s="106">
        <f t="shared" si="40"/>
        <v>882000</v>
      </c>
      <c r="H222" s="106">
        <f t="shared" si="41"/>
        <v>842000</v>
      </c>
      <c r="S222" s="130" t="s">
        <v>615</v>
      </c>
      <c r="T222" s="130" t="s">
        <v>856</v>
      </c>
      <c r="U222" s="317">
        <v>746</v>
      </c>
      <c r="V222" s="317">
        <v>730</v>
      </c>
      <c r="W222" s="317">
        <v>987</v>
      </c>
      <c r="X222" s="317">
        <v>810</v>
      </c>
      <c r="Y222" s="317">
        <v>842</v>
      </c>
      <c r="Z222" s="317">
        <v>802</v>
      </c>
    </row>
    <row r="223" spans="1:26" ht="42.5" thickBot="1">
      <c r="A223" s="98" t="s">
        <v>615</v>
      </c>
      <c r="B223" s="25">
        <v>9</v>
      </c>
      <c r="C223" s="106">
        <f t="shared" si="36"/>
        <v>746000</v>
      </c>
      <c r="D223" s="106">
        <f t="shared" si="37"/>
        <v>730000</v>
      </c>
      <c r="E223" s="106">
        <f t="shared" si="38"/>
        <v>987000</v>
      </c>
      <c r="F223" s="106">
        <f t="shared" si="39"/>
        <v>810000</v>
      </c>
      <c r="G223" s="106">
        <f t="shared" si="40"/>
        <v>842000</v>
      </c>
      <c r="H223" s="106">
        <f t="shared" si="41"/>
        <v>802000</v>
      </c>
      <c r="S223" s="130" t="s">
        <v>616</v>
      </c>
      <c r="T223" s="130" t="s">
        <v>857</v>
      </c>
      <c r="U223" s="317">
        <v>722</v>
      </c>
      <c r="V223" s="317">
        <v>754</v>
      </c>
      <c r="W223" s="317">
        <v>987</v>
      </c>
      <c r="X223" s="317">
        <v>810</v>
      </c>
      <c r="Y223" s="317">
        <v>835</v>
      </c>
      <c r="Z223" s="317">
        <v>842</v>
      </c>
    </row>
    <row r="224" spans="1:26" ht="35" thickBot="1">
      <c r="A224" s="98" t="s">
        <v>616</v>
      </c>
      <c r="B224" s="25">
        <v>10</v>
      </c>
      <c r="C224" s="106">
        <f t="shared" si="36"/>
        <v>722000</v>
      </c>
      <c r="D224" s="106">
        <f t="shared" si="37"/>
        <v>754000</v>
      </c>
      <c r="E224" s="106">
        <f t="shared" si="38"/>
        <v>987000</v>
      </c>
      <c r="F224" s="106">
        <f t="shared" si="39"/>
        <v>810000</v>
      </c>
      <c r="G224" s="106">
        <f t="shared" si="40"/>
        <v>835000</v>
      </c>
      <c r="H224" s="106">
        <f t="shared" si="41"/>
        <v>842000</v>
      </c>
      <c r="S224" s="130" t="s">
        <v>617</v>
      </c>
      <c r="T224" s="130" t="s">
        <v>592</v>
      </c>
      <c r="U224" s="317">
        <v>898</v>
      </c>
      <c r="V224" s="317">
        <v>715</v>
      </c>
      <c r="W224" s="317">
        <v>987</v>
      </c>
      <c r="X224" s="317">
        <v>834</v>
      </c>
      <c r="Y224" s="317">
        <v>955</v>
      </c>
      <c r="Z224" s="317">
        <v>842</v>
      </c>
    </row>
    <row r="225" spans="1:26" ht="28.5" thickBot="1">
      <c r="A225" s="98" t="s">
        <v>617</v>
      </c>
      <c r="B225" s="25">
        <v>11</v>
      </c>
      <c r="C225" s="106">
        <f t="shared" si="36"/>
        <v>898000</v>
      </c>
      <c r="D225" s="106">
        <f t="shared" si="37"/>
        <v>715000</v>
      </c>
      <c r="E225" s="106">
        <f t="shared" si="38"/>
        <v>987000</v>
      </c>
      <c r="F225" s="106">
        <f t="shared" si="39"/>
        <v>834000</v>
      </c>
      <c r="G225" s="106">
        <f t="shared" si="40"/>
        <v>955000</v>
      </c>
      <c r="H225" s="106">
        <f t="shared" si="41"/>
        <v>842000</v>
      </c>
      <c r="S225" s="130" t="s">
        <v>618</v>
      </c>
      <c r="T225" s="130" t="s">
        <v>858</v>
      </c>
      <c r="U225" s="317">
        <v>700</v>
      </c>
      <c r="V225" s="317">
        <v>738</v>
      </c>
      <c r="W225" s="317">
        <v>987</v>
      </c>
      <c r="X225" s="317">
        <v>851</v>
      </c>
      <c r="Y225" s="317">
        <v>923</v>
      </c>
      <c r="Z225" s="317">
        <v>842</v>
      </c>
    </row>
    <row r="226" spans="1:26" ht="42.5" thickBot="1">
      <c r="A226" s="98" t="s">
        <v>618</v>
      </c>
      <c r="B226" s="25">
        <v>12</v>
      </c>
      <c r="C226" s="106">
        <f t="shared" si="36"/>
        <v>700000</v>
      </c>
      <c r="D226" s="106">
        <f t="shared" si="37"/>
        <v>738000</v>
      </c>
      <c r="E226" s="106">
        <f t="shared" si="38"/>
        <v>987000</v>
      </c>
      <c r="F226" s="106">
        <f t="shared" si="39"/>
        <v>851000</v>
      </c>
      <c r="G226" s="106">
        <f t="shared" si="40"/>
        <v>923000</v>
      </c>
      <c r="H226" s="106">
        <f t="shared" si="41"/>
        <v>842000</v>
      </c>
      <c r="S226" s="130" t="s">
        <v>501</v>
      </c>
      <c r="T226" s="130"/>
      <c r="U226" s="317">
        <v>746</v>
      </c>
      <c r="V226" s="317">
        <v>730</v>
      </c>
      <c r="W226" s="317">
        <v>987</v>
      </c>
      <c r="X226" s="317">
        <v>810</v>
      </c>
      <c r="Y226" s="317">
        <v>882</v>
      </c>
      <c r="Z226" s="317">
        <v>842</v>
      </c>
    </row>
    <row r="227" spans="1:26" ht="35" thickBot="1">
      <c r="A227" s="98" t="s">
        <v>501</v>
      </c>
      <c r="B227" s="25">
        <v>13</v>
      </c>
      <c r="C227" s="106">
        <f t="shared" si="36"/>
        <v>746000</v>
      </c>
      <c r="D227" s="106">
        <f t="shared" si="37"/>
        <v>730000</v>
      </c>
      <c r="E227" s="106">
        <f t="shared" si="38"/>
        <v>987000</v>
      </c>
      <c r="F227" s="106">
        <f t="shared" si="39"/>
        <v>810000</v>
      </c>
      <c r="G227" s="106">
        <f t="shared" si="40"/>
        <v>882000</v>
      </c>
      <c r="H227" s="106">
        <f t="shared" si="41"/>
        <v>842000</v>
      </c>
      <c r="S227" s="313"/>
      <c r="T227" s="313"/>
      <c r="U227" s="313"/>
      <c r="V227" s="313"/>
      <c r="W227" s="313"/>
      <c r="X227" s="313"/>
      <c r="Y227" s="313"/>
      <c r="Z227" s="313"/>
    </row>
    <row r="228" spans="1:26" ht="19.5">
      <c r="A228" s="102"/>
      <c r="B228" s="25">
        <v>14</v>
      </c>
      <c r="S228" s="129" t="s">
        <v>872</v>
      </c>
      <c r="T228"/>
      <c r="U228"/>
      <c r="V228"/>
      <c r="W228"/>
      <c r="X228"/>
      <c r="Y228"/>
      <c r="Z228"/>
    </row>
    <row r="229" spans="1:26" ht="19.5" customHeight="1">
      <c r="A229" s="102" t="s">
        <v>542</v>
      </c>
      <c r="B229" s="102" t="s">
        <v>543</v>
      </c>
      <c r="S229" s="139" t="s">
        <v>870</v>
      </c>
      <c r="T229" s="139"/>
      <c r="U229" s="139" t="s">
        <v>861</v>
      </c>
      <c r="V229" s="139"/>
      <c r="W229" s="139"/>
      <c r="X229" s="139"/>
      <c r="Y229" s="139"/>
      <c r="Z229" s="139"/>
    </row>
    <row r="230" spans="1:26" ht="15" customHeight="1" thickBot="1">
      <c r="A230" s="101" t="s">
        <v>636</v>
      </c>
      <c r="B230" s="101" t="s">
        <v>637</v>
      </c>
      <c r="S230" s="140" t="s">
        <v>864</v>
      </c>
      <c r="T230" s="140"/>
      <c r="U230" s="140"/>
      <c r="V230" s="140"/>
      <c r="W230" s="140"/>
      <c r="X230" s="140"/>
      <c r="Y230" s="140"/>
      <c r="Z230" s="140"/>
    </row>
    <row r="231" spans="1:26" ht="34.4" customHeight="1" thickBot="1">
      <c r="A231" s="604" t="s">
        <v>638</v>
      </c>
      <c r="B231" s="606"/>
      <c r="C231" s="604" t="s">
        <v>838</v>
      </c>
      <c r="D231" s="605"/>
      <c r="E231" s="605"/>
      <c r="F231" s="605"/>
      <c r="G231" s="605"/>
      <c r="H231" s="606"/>
      <c r="S231" s="314" t="s">
        <v>465</v>
      </c>
      <c r="T231" s="314" t="s">
        <v>547</v>
      </c>
      <c r="U231" s="314" t="s">
        <v>848</v>
      </c>
      <c r="V231" s="314" t="s">
        <v>849</v>
      </c>
      <c r="W231" s="314" t="s">
        <v>604</v>
      </c>
      <c r="X231" s="314" t="s">
        <v>605</v>
      </c>
      <c r="Y231" s="314" t="s">
        <v>850</v>
      </c>
      <c r="Z231" s="314" t="s">
        <v>468</v>
      </c>
    </row>
    <row r="232" spans="1:26" ht="35" thickBot="1">
      <c r="A232" s="143" t="s">
        <v>465</v>
      </c>
      <c r="B232" s="142" t="s">
        <v>547</v>
      </c>
      <c r="C232" s="142" t="s">
        <v>602</v>
      </c>
      <c r="D232" s="142" t="s">
        <v>603</v>
      </c>
      <c r="E232" s="142" t="s">
        <v>604</v>
      </c>
      <c r="F232" s="142" t="s">
        <v>605</v>
      </c>
      <c r="G232" s="142" t="s">
        <v>612</v>
      </c>
      <c r="H232" s="142" t="s">
        <v>468</v>
      </c>
      <c r="S232" s="130" t="s">
        <v>608</v>
      </c>
      <c r="T232" s="130" t="s">
        <v>851</v>
      </c>
      <c r="U232" s="317">
        <v>77</v>
      </c>
      <c r="V232" s="317">
        <v>77</v>
      </c>
      <c r="W232" s="317">
        <v>74</v>
      </c>
      <c r="X232" s="317">
        <v>89</v>
      </c>
      <c r="Y232" s="317">
        <v>106</v>
      </c>
      <c r="Z232" s="317">
        <v>103</v>
      </c>
    </row>
    <row r="233" spans="1:26" ht="14.5" thickBot="1">
      <c r="A233" s="98" t="s">
        <v>608</v>
      </c>
      <c r="B233" s="25">
        <v>1</v>
      </c>
      <c r="C233" s="106">
        <f>U232*1000</f>
        <v>77000</v>
      </c>
      <c r="D233" s="106">
        <f t="shared" ref="D233:H233" si="42">V232*1000</f>
        <v>77000</v>
      </c>
      <c r="E233" s="106">
        <f t="shared" si="42"/>
        <v>74000</v>
      </c>
      <c r="F233" s="106">
        <f t="shared" si="42"/>
        <v>89000</v>
      </c>
      <c r="G233" s="106">
        <f t="shared" si="42"/>
        <v>106000</v>
      </c>
      <c r="H233" s="106">
        <f t="shared" si="42"/>
        <v>103000</v>
      </c>
      <c r="S233" s="130" t="s">
        <v>609</v>
      </c>
      <c r="T233" s="130" t="s">
        <v>510</v>
      </c>
      <c r="U233" s="317">
        <v>68</v>
      </c>
      <c r="V233" s="317">
        <v>69</v>
      </c>
      <c r="W233" s="317">
        <v>94</v>
      </c>
      <c r="X233" s="317">
        <v>77</v>
      </c>
      <c r="Y233" s="317">
        <v>77</v>
      </c>
      <c r="Z233" s="317">
        <v>77</v>
      </c>
    </row>
    <row r="234" spans="1:26" ht="42.5" thickBot="1">
      <c r="A234" s="98" t="s">
        <v>609</v>
      </c>
      <c r="B234" s="25">
        <v>2</v>
      </c>
      <c r="C234" s="106">
        <f t="shared" ref="C234:C245" si="43">U233*1000</f>
        <v>68000</v>
      </c>
      <c r="D234" s="106">
        <f t="shared" ref="D234:D245" si="44">V233*1000</f>
        <v>69000</v>
      </c>
      <c r="E234" s="106">
        <f t="shared" ref="E234:E245" si="45">W233*1000</f>
        <v>94000</v>
      </c>
      <c r="F234" s="106">
        <f t="shared" ref="F234:F245" si="46">X233*1000</f>
        <v>77000</v>
      </c>
      <c r="G234" s="106">
        <f t="shared" ref="G234:G245" si="47">Y233*1000</f>
        <v>77000</v>
      </c>
      <c r="H234" s="106">
        <f t="shared" ref="H234:H245" si="48">Z233*1000</f>
        <v>77000</v>
      </c>
      <c r="J234" s="105">
        <f ca="1">IF(I129=0,0,OFFSET(B232,$J$127,$M$127))</f>
        <v>0</v>
      </c>
      <c r="S234" s="130" t="s">
        <v>466</v>
      </c>
      <c r="T234" s="130" t="s">
        <v>852</v>
      </c>
      <c r="U234" s="317">
        <v>74</v>
      </c>
      <c r="V234" s="317">
        <v>72</v>
      </c>
      <c r="W234" s="317">
        <v>100</v>
      </c>
      <c r="X234" s="317">
        <v>74</v>
      </c>
      <c r="Y234" s="317">
        <v>83</v>
      </c>
      <c r="Z234" s="317">
        <v>80</v>
      </c>
    </row>
    <row r="235" spans="1:26" ht="42.5" thickBot="1">
      <c r="A235" s="98" t="s">
        <v>466</v>
      </c>
      <c r="B235" s="25">
        <v>3</v>
      </c>
      <c r="C235" s="106">
        <f t="shared" si="43"/>
        <v>74000</v>
      </c>
      <c r="D235" s="106">
        <f t="shared" si="44"/>
        <v>72000</v>
      </c>
      <c r="E235" s="106">
        <f t="shared" si="45"/>
        <v>100000</v>
      </c>
      <c r="F235" s="106">
        <f t="shared" si="46"/>
        <v>74000</v>
      </c>
      <c r="G235" s="106">
        <f t="shared" si="47"/>
        <v>83000</v>
      </c>
      <c r="H235" s="106">
        <f t="shared" si="48"/>
        <v>80000</v>
      </c>
      <c r="S235" s="130" t="s">
        <v>610</v>
      </c>
      <c r="T235" s="130" t="s">
        <v>557</v>
      </c>
      <c r="U235" s="317">
        <v>80</v>
      </c>
      <c r="V235" s="317">
        <v>72</v>
      </c>
      <c r="W235" s="317">
        <v>94</v>
      </c>
      <c r="X235" s="317">
        <v>86</v>
      </c>
      <c r="Y235" s="317">
        <v>86</v>
      </c>
      <c r="Z235" s="317">
        <v>80</v>
      </c>
    </row>
    <row r="236" spans="1:26" ht="35" thickBot="1">
      <c r="A236" s="98" t="s">
        <v>610</v>
      </c>
      <c r="B236" s="25">
        <v>4</v>
      </c>
      <c r="C236" s="106">
        <f t="shared" si="43"/>
        <v>80000</v>
      </c>
      <c r="D236" s="106">
        <f t="shared" si="44"/>
        <v>72000</v>
      </c>
      <c r="E236" s="106">
        <f t="shared" si="45"/>
        <v>94000</v>
      </c>
      <c r="F236" s="106">
        <f t="shared" si="46"/>
        <v>86000</v>
      </c>
      <c r="G236" s="106">
        <f t="shared" si="47"/>
        <v>86000</v>
      </c>
      <c r="H236" s="106">
        <f t="shared" si="48"/>
        <v>80000</v>
      </c>
      <c r="S236" s="130" t="s">
        <v>611</v>
      </c>
      <c r="T236" s="130" t="s">
        <v>559</v>
      </c>
      <c r="U236" s="317">
        <v>72</v>
      </c>
      <c r="V236" s="317">
        <v>74</v>
      </c>
      <c r="W236" s="317">
        <v>94</v>
      </c>
      <c r="X236" s="317">
        <v>80</v>
      </c>
      <c r="Y236" s="317">
        <v>77</v>
      </c>
      <c r="Z236" s="317">
        <v>77</v>
      </c>
    </row>
    <row r="237" spans="1:26" ht="42.5" thickBot="1">
      <c r="A237" s="98" t="s">
        <v>611</v>
      </c>
      <c r="B237" s="25">
        <v>5</v>
      </c>
      <c r="C237" s="106">
        <f t="shared" si="43"/>
        <v>72000</v>
      </c>
      <c r="D237" s="106">
        <f t="shared" si="44"/>
        <v>74000</v>
      </c>
      <c r="E237" s="106">
        <f t="shared" si="45"/>
        <v>94000</v>
      </c>
      <c r="F237" s="106">
        <f t="shared" si="46"/>
        <v>80000</v>
      </c>
      <c r="G237" s="106">
        <f t="shared" si="47"/>
        <v>77000</v>
      </c>
      <c r="H237" s="106">
        <f t="shared" si="48"/>
        <v>77000</v>
      </c>
      <c r="S237" s="130" t="s">
        <v>613</v>
      </c>
      <c r="T237" s="130" t="s">
        <v>853</v>
      </c>
      <c r="U237" s="317">
        <v>74</v>
      </c>
      <c r="V237" s="317">
        <v>72</v>
      </c>
      <c r="W237" s="317">
        <v>94</v>
      </c>
      <c r="X237" s="317">
        <v>77</v>
      </c>
      <c r="Y237" s="317">
        <v>92</v>
      </c>
      <c r="Z237" s="317">
        <v>83</v>
      </c>
    </row>
    <row r="238" spans="1:26" ht="28.5" thickBot="1">
      <c r="A238" s="98" t="s">
        <v>613</v>
      </c>
      <c r="B238" s="25">
        <v>6</v>
      </c>
      <c r="C238" s="106">
        <f t="shared" si="43"/>
        <v>74000</v>
      </c>
      <c r="D238" s="106">
        <f t="shared" si="44"/>
        <v>72000</v>
      </c>
      <c r="E238" s="106">
        <f t="shared" si="45"/>
        <v>94000</v>
      </c>
      <c r="F238" s="106">
        <f t="shared" si="46"/>
        <v>77000</v>
      </c>
      <c r="G238" s="106">
        <f t="shared" si="47"/>
        <v>92000</v>
      </c>
      <c r="H238" s="106">
        <f t="shared" si="48"/>
        <v>83000</v>
      </c>
      <c r="S238" s="130" t="s">
        <v>479</v>
      </c>
      <c r="T238" s="130" t="s">
        <v>854</v>
      </c>
      <c r="U238" s="317">
        <v>103</v>
      </c>
      <c r="V238" s="317">
        <v>88</v>
      </c>
      <c r="W238" s="317">
        <v>94</v>
      </c>
      <c r="X238" s="317">
        <v>68</v>
      </c>
      <c r="Y238" s="317">
        <v>69</v>
      </c>
      <c r="Z238" s="317">
        <v>71</v>
      </c>
    </row>
    <row r="239" spans="1:26" ht="28.5" thickBot="1">
      <c r="A239" s="98" t="s">
        <v>479</v>
      </c>
      <c r="B239" s="25">
        <v>7</v>
      </c>
      <c r="C239" s="106">
        <f t="shared" si="43"/>
        <v>103000</v>
      </c>
      <c r="D239" s="106">
        <f t="shared" si="44"/>
        <v>88000</v>
      </c>
      <c r="E239" s="106">
        <f t="shared" si="45"/>
        <v>94000</v>
      </c>
      <c r="F239" s="106">
        <f t="shared" si="46"/>
        <v>68000</v>
      </c>
      <c r="G239" s="106">
        <f t="shared" si="47"/>
        <v>69000</v>
      </c>
      <c r="H239" s="106">
        <f t="shared" si="48"/>
        <v>71000</v>
      </c>
      <c r="S239" s="130" t="s">
        <v>614</v>
      </c>
      <c r="T239" s="130" t="s">
        <v>855</v>
      </c>
      <c r="U239" s="317">
        <v>72</v>
      </c>
      <c r="V239" s="317">
        <v>74</v>
      </c>
      <c r="W239" s="317">
        <v>94</v>
      </c>
      <c r="X239" s="317">
        <v>97</v>
      </c>
      <c r="Y239" s="317">
        <v>100</v>
      </c>
      <c r="Z239" s="317">
        <v>97</v>
      </c>
    </row>
    <row r="240" spans="1:26" ht="28.5" thickBot="1">
      <c r="A240" s="98" t="s">
        <v>614</v>
      </c>
      <c r="B240" s="25">
        <v>8</v>
      </c>
      <c r="C240" s="106">
        <f t="shared" si="43"/>
        <v>72000</v>
      </c>
      <c r="D240" s="106">
        <f t="shared" si="44"/>
        <v>74000</v>
      </c>
      <c r="E240" s="106">
        <f t="shared" si="45"/>
        <v>94000</v>
      </c>
      <c r="F240" s="106">
        <f t="shared" si="46"/>
        <v>97000</v>
      </c>
      <c r="G240" s="106">
        <f t="shared" si="47"/>
        <v>100000</v>
      </c>
      <c r="H240" s="106">
        <f t="shared" si="48"/>
        <v>97000</v>
      </c>
      <c r="S240" s="130" t="s">
        <v>615</v>
      </c>
      <c r="T240" s="130" t="s">
        <v>856</v>
      </c>
      <c r="U240" s="317">
        <v>72</v>
      </c>
      <c r="V240" s="317">
        <v>77</v>
      </c>
      <c r="W240" s="317">
        <v>109</v>
      </c>
      <c r="X240" s="317">
        <v>86</v>
      </c>
      <c r="Y240" s="317">
        <v>89</v>
      </c>
      <c r="Z240" s="317">
        <v>89</v>
      </c>
    </row>
    <row r="241" spans="1:26" ht="42.5" thickBot="1">
      <c r="A241" s="98" t="s">
        <v>615</v>
      </c>
      <c r="B241" s="25">
        <v>9</v>
      </c>
      <c r="C241" s="106">
        <f t="shared" si="43"/>
        <v>72000</v>
      </c>
      <c r="D241" s="106">
        <f t="shared" si="44"/>
        <v>77000</v>
      </c>
      <c r="E241" s="106">
        <f t="shared" si="45"/>
        <v>109000</v>
      </c>
      <c r="F241" s="106">
        <f t="shared" si="46"/>
        <v>86000</v>
      </c>
      <c r="G241" s="106">
        <f t="shared" si="47"/>
        <v>89000</v>
      </c>
      <c r="H241" s="106">
        <f t="shared" si="48"/>
        <v>89000</v>
      </c>
      <c r="S241" s="130" t="s">
        <v>616</v>
      </c>
      <c r="T241" s="130" t="s">
        <v>857</v>
      </c>
      <c r="U241" s="317">
        <v>72</v>
      </c>
      <c r="V241" s="317">
        <v>80</v>
      </c>
      <c r="W241" s="317">
        <v>86</v>
      </c>
      <c r="X241" s="317">
        <v>83</v>
      </c>
      <c r="Y241" s="317">
        <v>97</v>
      </c>
      <c r="Z241" s="317">
        <v>92</v>
      </c>
    </row>
    <row r="242" spans="1:26" ht="35" thickBot="1">
      <c r="A242" s="98" t="s">
        <v>616</v>
      </c>
      <c r="B242" s="25">
        <v>10</v>
      </c>
      <c r="C242" s="106">
        <f t="shared" si="43"/>
        <v>72000</v>
      </c>
      <c r="D242" s="106">
        <f t="shared" si="44"/>
        <v>80000</v>
      </c>
      <c r="E242" s="106">
        <f t="shared" si="45"/>
        <v>86000</v>
      </c>
      <c r="F242" s="106">
        <f t="shared" si="46"/>
        <v>83000</v>
      </c>
      <c r="G242" s="106">
        <f t="shared" si="47"/>
        <v>97000</v>
      </c>
      <c r="H242" s="106">
        <f t="shared" si="48"/>
        <v>92000</v>
      </c>
      <c r="S242" s="130" t="s">
        <v>617</v>
      </c>
      <c r="T242" s="130" t="s">
        <v>592</v>
      </c>
      <c r="U242" s="317">
        <v>68</v>
      </c>
      <c r="V242" s="317">
        <v>71</v>
      </c>
      <c r="W242" s="317">
        <v>88</v>
      </c>
      <c r="X242" s="317">
        <v>92</v>
      </c>
      <c r="Y242" s="317">
        <v>106</v>
      </c>
      <c r="Z242" s="317">
        <v>100</v>
      </c>
    </row>
    <row r="243" spans="1:26" ht="28.5" thickBot="1">
      <c r="A243" s="98" t="s">
        <v>617</v>
      </c>
      <c r="B243" s="25">
        <v>11</v>
      </c>
      <c r="C243" s="106">
        <f t="shared" si="43"/>
        <v>68000</v>
      </c>
      <c r="D243" s="106">
        <f t="shared" si="44"/>
        <v>71000</v>
      </c>
      <c r="E243" s="106">
        <f t="shared" si="45"/>
        <v>88000</v>
      </c>
      <c r="F243" s="106">
        <f t="shared" si="46"/>
        <v>92000</v>
      </c>
      <c r="G243" s="106">
        <f t="shared" si="47"/>
        <v>106000</v>
      </c>
      <c r="H243" s="106">
        <f t="shared" si="48"/>
        <v>100000</v>
      </c>
      <c r="S243" s="130" t="s">
        <v>618</v>
      </c>
      <c r="T243" s="130" t="s">
        <v>858</v>
      </c>
      <c r="U243" s="317">
        <v>69</v>
      </c>
      <c r="V243" s="317">
        <v>77</v>
      </c>
      <c r="W243" s="317">
        <v>120</v>
      </c>
      <c r="X243" s="317">
        <v>86</v>
      </c>
      <c r="Y243" s="317">
        <v>103</v>
      </c>
      <c r="Z243" s="317">
        <v>100</v>
      </c>
    </row>
    <row r="244" spans="1:26" ht="42.5" thickBot="1">
      <c r="A244" s="98" t="s">
        <v>618</v>
      </c>
      <c r="B244" s="25">
        <v>12</v>
      </c>
      <c r="C244" s="106">
        <f t="shared" si="43"/>
        <v>69000</v>
      </c>
      <c r="D244" s="106">
        <f t="shared" si="44"/>
        <v>77000</v>
      </c>
      <c r="E244" s="106">
        <f t="shared" si="45"/>
        <v>120000</v>
      </c>
      <c r="F244" s="106">
        <f t="shared" si="46"/>
        <v>86000</v>
      </c>
      <c r="G244" s="106">
        <f t="shared" si="47"/>
        <v>103000</v>
      </c>
      <c r="H244" s="106">
        <f t="shared" si="48"/>
        <v>100000</v>
      </c>
      <c r="S244" s="130" t="s">
        <v>501</v>
      </c>
      <c r="T244" s="130"/>
      <c r="U244" s="317">
        <v>72</v>
      </c>
      <c r="V244" s="317">
        <v>72</v>
      </c>
      <c r="W244" s="317">
        <v>94</v>
      </c>
      <c r="X244" s="317">
        <v>80</v>
      </c>
      <c r="Y244" s="317">
        <v>89</v>
      </c>
      <c r="Z244" s="317">
        <v>86</v>
      </c>
    </row>
    <row r="245" spans="1:26" ht="35" thickBot="1">
      <c r="A245" s="98" t="s">
        <v>501</v>
      </c>
      <c r="B245" s="25">
        <v>13</v>
      </c>
      <c r="C245" s="106">
        <f t="shared" si="43"/>
        <v>72000</v>
      </c>
      <c r="D245" s="106">
        <f t="shared" si="44"/>
        <v>72000</v>
      </c>
      <c r="E245" s="106">
        <f t="shared" si="45"/>
        <v>94000</v>
      </c>
      <c r="F245" s="106">
        <f t="shared" si="46"/>
        <v>80000</v>
      </c>
      <c r="G245" s="106">
        <f t="shared" si="47"/>
        <v>89000</v>
      </c>
      <c r="H245" s="106">
        <f t="shared" si="48"/>
        <v>86000</v>
      </c>
      <c r="S245" s="313"/>
      <c r="T245" s="313"/>
      <c r="U245" s="313"/>
      <c r="V245" s="313"/>
      <c r="W245" s="313"/>
      <c r="X245" s="313"/>
      <c r="Y245" s="313"/>
      <c r="Z245" s="313"/>
    </row>
    <row r="246" spans="1:26" ht="16" thickBot="1">
      <c r="A246" s="104"/>
      <c r="B246" s="25">
        <v>14</v>
      </c>
      <c r="S246" s="129" t="s">
        <v>873</v>
      </c>
      <c r="T246"/>
      <c r="U246"/>
      <c r="V246"/>
      <c r="W246"/>
      <c r="X246"/>
      <c r="Y246"/>
      <c r="Z246"/>
    </row>
    <row r="247" spans="1:26" ht="15" customHeight="1" thickBot="1">
      <c r="A247" s="101" t="s">
        <v>639</v>
      </c>
      <c r="B247" s="101" t="s">
        <v>640</v>
      </c>
      <c r="S247" s="322" t="s">
        <v>870</v>
      </c>
      <c r="T247" s="321"/>
      <c r="U247" s="321" t="s">
        <v>861</v>
      </c>
      <c r="V247" s="321"/>
      <c r="W247" s="321"/>
      <c r="X247" s="321"/>
      <c r="Y247" s="321"/>
      <c r="Z247" s="321"/>
    </row>
    <row r="248" spans="1:26" ht="34.4" customHeight="1" thickBot="1">
      <c r="A248" s="604" t="s">
        <v>641</v>
      </c>
      <c r="B248" s="606"/>
      <c r="C248" s="604" t="s">
        <v>838</v>
      </c>
      <c r="D248" s="605"/>
      <c r="E248" s="605"/>
      <c r="F248" s="605"/>
      <c r="G248" s="605"/>
      <c r="H248" s="606"/>
      <c r="S248" s="323" t="s">
        <v>874</v>
      </c>
      <c r="T248" s="140"/>
      <c r="U248" s="140"/>
      <c r="V248" s="140"/>
      <c r="W248" s="140"/>
      <c r="X248" s="140"/>
      <c r="Y248" s="140"/>
      <c r="Z248" s="140"/>
    </row>
    <row r="249" spans="1:26" ht="42.5" thickBot="1">
      <c r="A249" s="143" t="s">
        <v>465</v>
      </c>
      <c r="B249" s="142" t="s">
        <v>547</v>
      </c>
      <c r="C249" s="142" t="s">
        <v>602</v>
      </c>
      <c r="D249" s="142" t="s">
        <v>603</v>
      </c>
      <c r="E249" s="142" t="s">
        <v>604</v>
      </c>
      <c r="F249" s="142" t="s">
        <v>605</v>
      </c>
      <c r="G249" s="142" t="s">
        <v>612</v>
      </c>
      <c r="H249" s="142" t="s">
        <v>468</v>
      </c>
      <c r="S249" s="320" t="s">
        <v>465</v>
      </c>
      <c r="T249" s="314" t="s">
        <v>547</v>
      </c>
      <c r="U249" s="314" t="s">
        <v>848</v>
      </c>
      <c r="V249" s="314" t="s">
        <v>849</v>
      </c>
      <c r="W249" s="314" t="s">
        <v>604</v>
      </c>
      <c r="X249" s="314" t="s">
        <v>605</v>
      </c>
      <c r="Y249" s="314" t="s">
        <v>850</v>
      </c>
      <c r="Z249" s="314" t="s">
        <v>468</v>
      </c>
    </row>
    <row r="250" spans="1:26" ht="14.5" thickBot="1">
      <c r="A250" s="98" t="s">
        <v>608</v>
      </c>
      <c r="B250" s="25">
        <v>1</v>
      </c>
      <c r="C250" s="106">
        <f>U250*1000</f>
        <v>1900</v>
      </c>
      <c r="D250" s="106">
        <f t="shared" ref="D250:D262" si="49">V250*1000</f>
        <v>2400</v>
      </c>
      <c r="E250" s="106">
        <f t="shared" ref="E250:E262" si="50">W250*1000</f>
        <v>6400</v>
      </c>
      <c r="F250" s="106">
        <f t="shared" ref="F250:F262" si="51">X250*1000</f>
        <v>11300</v>
      </c>
      <c r="G250" s="106">
        <f t="shared" ref="G250:G262" si="52">Y250*1000</f>
        <v>3600</v>
      </c>
      <c r="H250" s="106">
        <f t="shared" ref="H250:H262" si="53">Z250*1000</f>
        <v>5200</v>
      </c>
      <c r="S250" s="130" t="s">
        <v>608</v>
      </c>
      <c r="T250" s="130" t="s">
        <v>851</v>
      </c>
      <c r="U250" s="319">
        <v>1.9</v>
      </c>
      <c r="V250" s="319">
        <v>2.4</v>
      </c>
      <c r="W250" s="319">
        <v>6.4</v>
      </c>
      <c r="X250" s="319">
        <v>11.3</v>
      </c>
      <c r="Y250" s="319">
        <v>3.6</v>
      </c>
      <c r="Z250" s="319">
        <v>5.2</v>
      </c>
    </row>
    <row r="251" spans="1:26" ht="14.5" thickBot="1">
      <c r="A251" s="98" t="s">
        <v>609</v>
      </c>
      <c r="B251" s="25">
        <v>2</v>
      </c>
      <c r="C251" s="106">
        <f t="shared" ref="C251:C262" si="54">U251*1000</f>
        <v>1900</v>
      </c>
      <c r="D251" s="106">
        <f t="shared" si="49"/>
        <v>2400</v>
      </c>
      <c r="E251" s="106">
        <f t="shared" si="50"/>
        <v>7300</v>
      </c>
      <c r="F251" s="106">
        <f t="shared" si="51"/>
        <v>10000</v>
      </c>
      <c r="G251" s="106">
        <f t="shared" si="52"/>
        <v>2900</v>
      </c>
      <c r="H251" s="106">
        <f t="shared" si="53"/>
        <v>3700</v>
      </c>
      <c r="J251" s="105">
        <f ca="1">IF(I129=0,0,OFFSET(B249,$J$127,$M$127))</f>
        <v>0</v>
      </c>
      <c r="S251" s="130" t="s">
        <v>609</v>
      </c>
      <c r="T251" s="130" t="s">
        <v>510</v>
      </c>
      <c r="U251" s="319">
        <v>1.9</v>
      </c>
      <c r="V251" s="319">
        <v>2.4</v>
      </c>
      <c r="W251" s="319">
        <v>7.3</v>
      </c>
      <c r="X251" s="319">
        <v>10</v>
      </c>
      <c r="Y251" s="319">
        <v>2.9</v>
      </c>
      <c r="Z251" s="319">
        <v>3.7</v>
      </c>
    </row>
    <row r="252" spans="1:26" ht="42.5" thickBot="1">
      <c r="A252" s="98" t="s">
        <v>466</v>
      </c>
      <c r="B252" s="25">
        <v>3</v>
      </c>
      <c r="C252" s="106">
        <f t="shared" si="54"/>
        <v>1900</v>
      </c>
      <c r="D252" s="106">
        <f t="shared" si="49"/>
        <v>2000</v>
      </c>
      <c r="E252" s="106">
        <f t="shared" si="50"/>
        <v>3000</v>
      </c>
      <c r="F252" s="106">
        <f t="shared" si="51"/>
        <v>9200</v>
      </c>
      <c r="G252" s="106">
        <f t="shared" si="52"/>
        <v>1900</v>
      </c>
      <c r="H252" s="106">
        <f t="shared" si="53"/>
        <v>2300</v>
      </c>
      <c r="S252" s="130" t="s">
        <v>466</v>
      </c>
      <c r="T252" s="130" t="s">
        <v>852</v>
      </c>
      <c r="U252" s="319">
        <v>1.9</v>
      </c>
      <c r="V252" s="319">
        <v>2</v>
      </c>
      <c r="W252" s="319">
        <v>3</v>
      </c>
      <c r="X252" s="319">
        <v>9.1999999999999993</v>
      </c>
      <c r="Y252" s="319">
        <v>1.9</v>
      </c>
      <c r="Z252" s="319">
        <v>2.2999999999999998</v>
      </c>
    </row>
    <row r="253" spans="1:26" ht="42.5" thickBot="1">
      <c r="A253" s="98" t="s">
        <v>610</v>
      </c>
      <c r="B253" s="25">
        <v>4</v>
      </c>
      <c r="C253" s="106">
        <f t="shared" si="54"/>
        <v>1900</v>
      </c>
      <c r="D253" s="106">
        <f t="shared" si="49"/>
        <v>2000</v>
      </c>
      <c r="E253" s="106">
        <f t="shared" si="50"/>
        <v>1500</v>
      </c>
      <c r="F253" s="106">
        <f t="shared" si="51"/>
        <v>9800</v>
      </c>
      <c r="G253" s="106">
        <f t="shared" si="52"/>
        <v>2500</v>
      </c>
      <c r="H253" s="106">
        <f>Z253*1000</f>
        <v>3700</v>
      </c>
      <c r="S253" s="130" t="s">
        <v>610</v>
      </c>
      <c r="T253" s="130" t="s">
        <v>557</v>
      </c>
      <c r="U253" s="319">
        <v>1.9</v>
      </c>
      <c r="V253" s="319">
        <v>2</v>
      </c>
      <c r="W253" s="319">
        <v>1.5</v>
      </c>
      <c r="X253" s="319">
        <v>9.8000000000000007</v>
      </c>
      <c r="Y253" s="319">
        <v>2.5</v>
      </c>
      <c r="Z253" s="319">
        <v>3.7</v>
      </c>
    </row>
    <row r="254" spans="1:26" ht="28.5" thickBot="1">
      <c r="A254" s="98" t="s">
        <v>611</v>
      </c>
      <c r="B254" s="25">
        <v>5</v>
      </c>
      <c r="C254" s="106">
        <f t="shared" si="54"/>
        <v>1900</v>
      </c>
      <c r="D254" s="106">
        <f t="shared" si="49"/>
        <v>2000</v>
      </c>
      <c r="E254" s="106">
        <f t="shared" si="50"/>
        <v>9900</v>
      </c>
      <c r="F254" s="106">
        <f t="shared" si="51"/>
        <v>9600</v>
      </c>
      <c r="G254" s="106">
        <f t="shared" si="52"/>
        <v>2400</v>
      </c>
      <c r="H254" s="106">
        <f t="shared" si="53"/>
        <v>5500</v>
      </c>
      <c r="S254" s="130" t="s">
        <v>611</v>
      </c>
      <c r="T254" s="130" t="s">
        <v>559</v>
      </c>
      <c r="U254" s="319">
        <v>1.9</v>
      </c>
      <c r="V254" s="319">
        <v>2</v>
      </c>
      <c r="W254" s="319">
        <v>9.9</v>
      </c>
      <c r="X254" s="319">
        <v>9.6</v>
      </c>
      <c r="Y254" s="319">
        <v>2.4</v>
      </c>
      <c r="Z254" s="319">
        <v>5.5</v>
      </c>
    </row>
    <row r="255" spans="1:26" ht="42.5" thickBot="1">
      <c r="A255" s="98" t="s">
        <v>613</v>
      </c>
      <c r="B255" s="25">
        <v>6</v>
      </c>
      <c r="C255" s="106">
        <f t="shared" si="54"/>
        <v>2200</v>
      </c>
      <c r="D255" s="106">
        <f t="shared" si="49"/>
        <v>2200</v>
      </c>
      <c r="E255" s="106">
        <f t="shared" si="50"/>
        <v>5900</v>
      </c>
      <c r="F255" s="106">
        <f t="shared" si="51"/>
        <v>10900</v>
      </c>
      <c r="G255" s="106">
        <f t="shared" si="52"/>
        <v>3600</v>
      </c>
      <c r="H255" s="106">
        <f t="shared" si="53"/>
        <v>5800</v>
      </c>
      <c r="S255" s="130" t="s">
        <v>613</v>
      </c>
      <c r="T255" s="130" t="s">
        <v>853</v>
      </c>
      <c r="U255" s="319">
        <v>2.2000000000000002</v>
      </c>
      <c r="V255" s="319">
        <v>2.2000000000000002</v>
      </c>
      <c r="W255" s="319">
        <v>5.9</v>
      </c>
      <c r="X255" s="319">
        <v>10.9</v>
      </c>
      <c r="Y255" s="319">
        <v>3.6</v>
      </c>
      <c r="Z255" s="319">
        <v>5.8</v>
      </c>
    </row>
    <row r="256" spans="1:26" ht="28.5" thickBot="1">
      <c r="A256" s="98" t="s">
        <v>479</v>
      </c>
      <c r="B256" s="25">
        <v>7</v>
      </c>
      <c r="C256" s="106">
        <f t="shared" si="54"/>
        <v>1900</v>
      </c>
      <c r="D256" s="106">
        <f t="shared" si="49"/>
        <v>2200</v>
      </c>
      <c r="E256" s="106">
        <f t="shared" si="50"/>
        <v>4300</v>
      </c>
      <c r="F256" s="106">
        <f t="shared" si="51"/>
        <v>9900</v>
      </c>
      <c r="G256" s="106">
        <f t="shared" si="52"/>
        <v>2100</v>
      </c>
      <c r="H256" s="106">
        <f t="shared" si="53"/>
        <v>4100</v>
      </c>
      <c r="S256" s="130" t="s">
        <v>479</v>
      </c>
      <c r="T256" s="130" t="s">
        <v>854</v>
      </c>
      <c r="U256" s="319">
        <v>1.9</v>
      </c>
      <c r="V256" s="319">
        <v>2.2000000000000002</v>
      </c>
      <c r="W256" s="319">
        <v>4.3</v>
      </c>
      <c r="X256" s="319">
        <v>9.9</v>
      </c>
      <c r="Y256" s="319">
        <v>2.1</v>
      </c>
      <c r="Z256" s="319">
        <v>4.0999999999999996</v>
      </c>
    </row>
    <row r="257" spans="1:26" ht="28.5" thickBot="1">
      <c r="A257" s="98" t="s">
        <v>614</v>
      </c>
      <c r="B257" s="25">
        <v>8</v>
      </c>
      <c r="C257" s="106">
        <f t="shared" si="54"/>
        <v>2000</v>
      </c>
      <c r="D257" s="106">
        <f t="shared" si="49"/>
        <v>2000</v>
      </c>
      <c r="E257" s="106">
        <f t="shared" si="50"/>
        <v>7600</v>
      </c>
      <c r="F257" s="106">
        <f t="shared" si="51"/>
        <v>11400</v>
      </c>
      <c r="G257" s="106">
        <f t="shared" si="52"/>
        <v>3600</v>
      </c>
      <c r="H257" s="106">
        <f t="shared" si="53"/>
        <v>4400</v>
      </c>
      <c r="S257" s="130" t="s">
        <v>614</v>
      </c>
      <c r="T257" s="130" t="s">
        <v>855</v>
      </c>
      <c r="U257" s="319">
        <v>2</v>
      </c>
      <c r="V257" s="319">
        <v>2</v>
      </c>
      <c r="W257" s="319">
        <v>7.6</v>
      </c>
      <c r="X257" s="319">
        <v>11.4</v>
      </c>
      <c r="Y257" s="319">
        <v>3.6</v>
      </c>
      <c r="Z257" s="319">
        <v>4.4000000000000004</v>
      </c>
    </row>
    <row r="258" spans="1:26" ht="28.5" thickBot="1">
      <c r="A258" s="98" t="s">
        <v>615</v>
      </c>
      <c r="B258" s="25">
        <v>9</v>
      </c>
      <c r="C258" s="106">
        <f t="shared" si="54"/>
        <v>1900</v>
      </c>
      <c r="D258" s="106">
        <f t="shared" si="49"/>
        <v>2800</v>
      </c>
      <c r="E258" s="106">
        <f t="shared" si="50"/>
        <v>6500</v>
      </c>
      <c r="F258" s="106">
        <f t="shared" si="51"/>
        <v>11000</v>
      </c>
      <c r="G258" s="106">
        <f t="shared" si="52"/>
        <v>3600</v>
      </c>
      <c r="H258" s="106">
        <f t="shared" si="53"/>
        <v>4300</v>
      </c>
      <c r="S258" s="130" t="s">
        <v>615</v>
      </c>
      <c r="T258" s="130" t="s">
        <v>856</v>
      </c>
      <c r="U258" s="319">
        <v>1.9</v>
      </c>
      <c r="V258" s="319">
        <v>2.8</v>
      </c>
      <c r="W258" s="319">
        <v>6.5</v>
      </c>
      <c r="X258" s="319">
        <v>11</v>
      </c>
      <c r="Y258" s="319">
        <v>3.6</v>
      </c>
      <c r="Z258" s="319">
        <v>4.3</v>
      </c>
    </row>
    <row r="259" spans="1:26" ht="42.5" thickBot="1">
      <c r="A259" s="98" t="s">
        <v>616</v>
      </c>
      <c r="B259" s="25">
        <v>10</v>
      </c>
      <c r="C259" s="106">
        <f t="shared" si="54"/>
        <v>1900</v>
      </c>
      <c r="D259" s="106">
        <f t="shared" si="49"/>
        <v>2000</v>
      </c>
      <c r="E259" s="106">
        <f t="shared" si="50"/>
        <v>7700</v>
      </c>
      <c r="F259" s="106">
        <f t="shared" si="51"/>
        <v>11100</v>
      </c>
      <c r="G259" s="106">
        <f t="shared" si="52"/>
        <v>3600</v>
      </c>
      <c r="H259" s="106">
        <f t="shared" si="53"/>
        <v>4800</v>
      </c>
      <c r="S259" s="130" t="s">
        <v>616</v>
      </c>
      <c r="T259" s="130" t="s">
        <v>857</v>
      </c>
      <c r="U259" s="319">
        <v>1.9</v>
      </c>
      <c r="V259" s="319">
        <v>2</v>
      </c>
      <c r="W259" s="319">
        <v>7.7</v>
      </c>
      <c r="X259" s="319">
        <v>11.1</v>
      </c>
      <c r="Y259" s="319">
        <v>3.6</v>
      </c>
      <c r="Z259" s="319">
        <v>4.8</v>
      </c>
    </row>
    <row r="260" spans="1:26" ht="28.5" thickBot="1">
      <c r="A260" s="98" t="s">
        <v>617</v>
      </c>
      <c r="B260" s="25">
        <v>11</v>
      </c>
      <c r="C260" s="106">
        <f t="shared" si="54"/>
        <v>1900</v>
      </c>
      <c r="D260" s="106">
        <f t="shared" si="49"/>
        <v>2200</v>
      </c>
      <c r="E260" s="106">
        <f t="shared" si="50"/>
        <v>7300</v>
      </c>
      <c r="F260" s="106">
        <f t="shared" si="51"/>
        <v>11200</v>
      </c>
      <c r="G260" s="106">
        <f t="shared" si="52"/>
        <v>3700</v>
      </c>
      <c r="H260" s="106">
        <f t="shared" si="53"/>
        <v>4600</v>
      </c>
      <c r="S260" s="130" t="s">
        <v>617</v>
      </c>
      <c r="T260" s="130" t="s">
        <v>592</v>
      </c>
      <c r="U260" s="319">
        <v>1.9</v>
      </c>
      <c r="V260" s="319">
        <v>2.2000000000000002</v>
      </c>
      <c r="W260" s="319">
        <v>7.3</v>
      </c>
      <c r="X260" s="319">
        <v>11.2</v>
      </c>
      <c r="Y260" s="319">
        <v>3.7</v>
      </c>
      <c r="Z260" s="319">
        <v>4.5999999999999996</v>
      </c>
    </row>
    <row r="261" spans="1:26" ht="28.5" thickBot="1">
      <c r="A261" s="98" t="s">
        <v>618</v>
      </c>
      <c r="B261" s="25">
        <v>12</v>
      </c>
      <c r="C261" s="106">
        <f t="shared" si="54"/>
        <v>1900</v>
      </c>
      <c r="D261" s="106">
        <f t="shared" si="49"/>
        <v>2000</v>
      </c>
      <c r="E261" s="106">
        <f t="shared" si="50"/>
        <v>4700</v>
      </c>
      <c r="F261" s="106">
        <f t="shared" si="51"/>
        <v>11000</v>
      </c>
      <c r="G261" s="106">
        <f t="shared" si="52"/>
        <v>3600</v>
      </c>
      <c r="H261" s="106">
        <f t="shared" si="53"/>
        <v>4600</v>
      </c>
      <c r="S261" s="130" t="s">
        <v>618</v>
      </c>
      <c r="T261" s="130" t="s">
        <v>858</v>
      </c>
      <c r="U261" s="319">
        <v>1.9</v>
      </c>
      <c r="V261" s="319">
        <v>2</v>
      </c>
      <c r="W261" s="319">
        <v>4.7</v>
      </c>
      <c r="X261" s="319">
        <v>11</v>
      </c>
      <c r="Y261" s="319">
        <v>3.6</v>
      </c>
      <c r="Z261" s="319">
        <v>4.5999999999999996</v>
      </c>
    </row>
    <row r="262" spans="1:26" ht="42.5" thickBot="1">
      <c r="A262" s="98" t="s">
        <v>501</v>
      </c>
      <c r="B262" s="25">
        <v>13</v>
      </c>
      <c r="C262" s="106">
        <f t="shared" si="54"/>
        <v>1900</v>
      </c>
      <c r="D262" s="106">
        <f t="shared" si="49"/>
        <v>2200</v>
      </c>
      <c r="E262" s="106">
        <f t="shared" si="50"/>
        <v>4300</v>
      </c>
      <c r="F262" s="106">
        <f t="shared" si="51"/>
        <v>10500</v>
      </c>
      <c r="G262" s="106">
        <f t="shared" si="52"/>
        <v>2800</v>
      </c>
      <c r="H262" s="106">
        <f t="shared" si="53"/>
        <v>3500</v>
      </c>
      <c r="S262" s="130" t="s">
        <v>501</v>
      </c>
      <c r="T262" s="130"/>
      <c r="U262" s="319">
        <v>1.9</v>
      </c>
      <c r="V262" s="319">
        <v>2.2000000000000002</v>
      </c>
      <c r="W262" s="319">
        <v>4.3</v>
      </c>
      <c r="X262" s="319">
        <v>10.5</v>
      </c>
      <c r="Y262" s="319">
        <v>2.8</v>
      </c>
      <c r="Z262" s="319">
        <v>3.5</v>
      </c>
    </row>
    <row r="263" spans="1:26">
      <c r="B263" s="25">
        <v>14</v>
      </c>
    </row>
    <row r="266" spans="1:26" ht="19.5">
      <c r="A266" s="102" t="s">
        <v>542</v>
      </c>
      <c r="B266" s="102" t="s">
        <v>543</v>
      </c>
    </row>
    <row r="267" spans="1:26">
      <c r="A267" s="101" t="s">
        <v>544</v>
      </c>
      <c r="B267" s="101" t="s">
        <v>545</v>
      </c>
    </row>
    <row r="268" spans="1:26" ht="13" thickBot="1">
      <c r="A268" s="101" t="s">
        <v>546</v>
      </c>
    </row>
    <row r="269" spans="1:26" ht="13.4" customHeight="1">
      <c r="A269" s="100" t="s">
        <v>465</v>
      </c>
      <c r="B269" s="100" t="s">
        <v>547</v>
      </c>
      <c r="C269" s="141" t="s">
        <v>548</v>
      </c>
      <c r="D269" s="141" t="s">
        <v>549</v>
      </c>
    </row>
    <row r="270" spans="1:26" ht="23.5" thickBot="1">
      <c r="A270" s="99"/>
      <c r="B270" s="99"/>
      <c r="C270" s="142" t="s">
        <v>550</v>
      </c>
      <c r="D270" s="142" t="s">
        <v>550</v>
      </c>
      <c r="F270" s="105" t="str">
        <f>IF('SP3-6'!E10="","",LOOKUP('SP3-6'!E10,{0,70,100},{"0","17","35"}))</f>
        <v/>
      </c>
      <c r="G270" s="105" t="str">
        <f ca="1">IF(F270="","",OFFSET(B270,J127+F270,1))</f>
        <v/>
      </c>
      <c r="H270" s="105" t="str">
        <f ca="1">IF(F270="","",OFFSET(B270,J127+F270,2))</f>
        <v/>
      </c>
    </row>
    <row r="271" spans="1:26" ht="13" thickBot="1">
      <c r="A271" s="98" t="s">
        <v>551</v>
      </c>
      <c r="B271" s="97" t="s">
        <v>552</v>
      </c>
      <c r="C271" s="97">
        <v>0.13</v>
      </c>
      <c r="D271" s="97">
        <v>0.87</v>
      </c>
    </row>
    <row r="272" spans="1:26" ht="13" thickBot="1">
      <c r="A272" s="98" t="s">
        <v>553</v>
      </c>
      <c r="B272" s="97" t="s">
        <v>510</v>
      </c>
      <c r="C272" s="97">
        <v>0.06</v>
      </c>
      <c r="D272" s="97">
        <v>0.94</v>
      </c>
    </row>
    <row r="273" spans="1:4" ht="35" thickBot="1">
      <c r="A273" s="98" t="s">
        <v>554</v>
      </c>
      <c r="B273" s="97" t="s">
        <v>555</v>
      </c>
      <c r="C273" s="97">
        <v>0.13</v>
      </c>
      <c r="D273" s="97">
        <v>0.87</v>
      </c>
    </row>
    <row r="274" spans="1:4" ht="35" thickBot="1">
      <c r="A274" s="98" t="s">
        <v>556</v>
      </c>
      <c r="B274" s="97" t="s">
        <v>557</v>
      </c>
      <c r="C274" s="97">
        <v>0.05</v>
      </c>
      <c r="D274" s="97">
        <v>0.95</v>
      </c>
    </row>
    <row r="275" spans="1:4" ht="23.5" thickBot="1">
      <c r="A275" s="98" t="s">
        <v>558</v>
      </c>
      <c r="B275" s="97" t="s">
        <v>559</v>
      </c>
      <c r="C275" s="97">
        <v>0.13</v>
      </c>
      <c r="D275" s="97">
        <v>0.87</v>
      </c>
    </row>
    <row r="276" spans="1:4" ht="23.5" thickBot="1">
      <c r="A276" s="98" t="s">
        <v>560</v>
      </c>
      <c r="B276" s="97" t="s">
        <v>561</v>
      </c>
      <c r="C276" s="97">
        <v>0.04</v>
      </c>
      <c r="D276" s="97">
        <v>0.96</v>
      </c>
    </row>
    <row r="277" spans="1:4" ht="13" thickBot="1">
      <c r="A277" s="98" t="s">
        <v>562</v>
      </c>
      <c r="B277" s="97" t="s">
        <v>563</v>
      </c>
      <c r="C277" s="97">
        <v>0.08</v>
      </c>
      <c r="D277" s="97">
        <v>0.92</v>
      </c>
    </row>
    <row r="278" spans="1:4" ht="23.5" thickBot="1">
      <c r="A278" s="98" t="s">
        <v>564</v>
      </c>
      <c r="B278" s="97" t="s">
        <v>565</v>
      </c>
      <c r="C278" s="97">
        <v>7.0000000000000007E-2</v>
      </c>
      <c r="D278" s="97">
        <v>0.93</v>
      </c>
    </row>
    <row r="279" spans="1:4" ht="23.5" thickBot="1">
      <c r="A279" s="98" t="s">
        <v>566</v>
      </c>
      <c r="B279" s="97" t="s">
        <v>567</v>
      </c>
      <c r="C279" s="97">
        <v>7.0000000000000007E-2</v>
      </c>
      <c r="D279" s="97">
        <v>0.93</v>
      </c>
    </row>
    <row r="280" spans="1:4" ht="35" thickBot="1">
      <c r="A280" s="98" t="s">
        <v>568</v>
      </c>
      <c r="B280" s="97" t="s">
        <v>569</v>
      </c>
      <c r="C280" s="97">
        <v>0.05</v>
      </c>
      <c r="D280" s="97">
        <v>0.95</v>
      </c>
    </row>
    <row r="281" spans="1:4" ht="23.5" thickBot="1">
      <c r="A281" s="98" t="s">
        <v>570</v>
      </c>
      <c r="B281" s="97" t="s">
        <v>571</v>
      </c>
      <c r="C281" s="97">
        <v>0.05</v>
      </c>
      <c r="D281" s="97">
        <v>0.95</v>
      </c>
    </row>
    <row r="282" spans="1:4" ht="23.5" thickBot="1">
      <c r="A282" s="98" t="s">
        <v>572</v>
      </c>
      <c r="B282" s="97" t="s">
        <v>573</v>
      </c>
      <c r="C282" s="97">
        <v>0.03</v>
      </c>
      <c r="D282" s="97">
        <v>0.97</v>
      </c>
    </row>
    <row r="283" spans="1:4" ht="35" thickBot="1">
      <c r="A283" s="98" t="s">
        <v>574</v>
      </c>
      <c r="B283" s="103"/>
      <c r="C283" s="97">
        <v>7.0000000000000007E-2</v>
      </c>
      <c r="D283" s="97">
        <v>0.93</v>
      </c>
    </row>
    <row r="284" spans="1:4">
      <c r="A284" s="104"/>
    </row>
    <row r="285" spans="1:4" ht="13" thickBot="1">
      <c r="A285" s="101" t="s">
        <v>575</v>
      </c>
      <c r="B285" s="101" t="s">
        <v>576</v>
      </c>
    </row>
    <row r="286" spans="1:4" ht="13.4" customHeight="1">
      <c r="A286" s="100" t="s">
        <v>465</v>
      </c>
      <c r="B286" s="100" t="s">
        <v>547</v>
      </c>
      <c r="C286" s="141" t="s">
        <v>548</v>
      </c>
      <c r="D286" s="141" t="s">
        <v>549</v>
      </c>
    </row>
    <row r="287" spans="1:4" ht="23.5" thickBot="1">
      <c r="A287" s="99"/>
      <c r="B287" s="99"/>
      <c r="C287" s="142" t="s">
        <v>550</v>
      </c>
      <c r="D287" s="142" t="s">
        <v>550</v>
      </c>
    </row>
    <row r="288" spans="1:4" ht="13" thickBot="1">
      <c r="A288" s="98" t="s">
        <v>551</v>
      </c>
      <c r="B288" s="97" t="s">
        <v>577</v>
      </c>
      <c r="C288" s="97">
        <v>0.24</v>
      </c>
      <c r="D288" s="97">
        <v>0.76</v>
      </c>
    </row>
    <row r="289" spans="1:4" ht="13" thickBot="1">
      <c r="A289" s="98" t="s">
        <v>553</v>
      </c>
      <c r="B289" s="97" t="s">
        <v>578</v>
      </c>
      <c r="C289" s="97">
        <v>0.1</v>
      </c>
      <c r="D289" s="97">
        <v>0.9</v>
      </c>
    </row>
    <row r="290" spans="1:4" ht="35" thickBot="1">
      <c r="A290" s="98" t="s">
        <v>579</v>
      </c>
      <c r="B290" s="97" t="s">
        <v>580</v>
      </c>
      <c r="C290" s="97">
        <v>0.1</v>
      </c>
      <c r="D290" s="97">
        <v>0.9</v>
      </c>
    </row>
    <row r="291" spans="1:4" ht="35" thickBot="1">
      <c r="A291" s="98" t="s">
        <v>556</v>
      </c>
      <c r="B291" s="97" t="s">
        <v>581</v>
      </c>
      <c r="C291" s="97">
        <v>0.1</v>
      </c>
      <c r="D291" s="97">
        <v>0.9</v>
      </c>
    </row>
    <row r="292" spans="1:4" ht="23.5" thickBot="1">
      <c r="A292" s="98" t="s">
        <v>558</v>
      </c>
      <c r="B292" s="97" t="s">
        <v>582</v>
      </c>
      <c r="C292" s="97">
        <v>0.2</v>
      </c>
      <c r="D292" s="97">
        <v>0.8</v>
      </c>
    </row>
    <row r="293" spans="1:4" ht="23.5" thickBot="1">
      <c r="A293" s="98" t="s">
        <v>560</v>
      </c>
      <c r="B293" s="97" t="s">
        <v>561</v>
      </c>
      <c r="C293" s="97">
        <v>0.08</v>
      </c>
      <c r="D293" s="97">
        <v>0.92</v>
      </c>
    </row>
    <row r="294" spans="1:4" ht="13" thickBot="1">
      <c r="A294" s="98" t="s">
        <v>562</v>
      </c>
      <c r="B294" s="97" t="s">
        <v>563</v>
      </c>
      <c r="C294" s="97">
        <v>0.26</v>
      </c>
      <c r="D294" s="97">
        <v>0.74</v>
      </c>
    </row>
    <row r="295" spans="1:4" ht="23.5" thickBot="1">
      <c r="A295" s="98" t="s">
        <v>564</v>
      </c>
      <c r="B295" s="97" t="s">
        <v>565</v>
      </c>
      <c r="C295" s="97">
        <v>0.11</v>
      </c>
      <c r="D295" s="97">
        <v>0.89</v>
      </c>
    </row>
    <row r="296" spans="1:4" ht="23.5" thickBot="1">
      <c r="A296" s="98" t="s">
        <v>566</v>
      </c>
      <c r="B296" s="97" t="s">
        <v>567</v>
      </c>
      <c r="C296" s="97">
        <v>0.11</v>
      </c>
      <c r="D296" s="97">
        <v>0.89</v>
      </c>
    </row>
    <row r="297" spans="1:4" ht="35" thickBot="1">
      <c r="A297" s="98" t="s">
        <v>568</v>
      </c>
      <c r="B297" s="97" t="s">
        <v>569</v>
      </c>
      <c r="C297" s="97">
        <v>0.1</v>
      </c>
      <c r="D297" s="97">
        <v>0.9</v>
      </c>
    </row>
    <row r="298" spans="1:4" ht="23.5" thickBot="1">
      <c r="A298" s="98" t="s">
        <v>570</v>
      </c>
      <c r="B298" s="97" t="s">
        <v>571</v>
      </c>
      <c r="C298" s="97">
        <v>0.09</v>
      </c>
      <c r="D298" s="97">
        <v>0.91</v>
      </c>
    </row>
    <row r="299" spans="1:4" ht="23.5" thickBot="1">
      <c r="A299" s="98" t="s">
        <v>572</v>
      </c>
      <c r="B299" s="97" t="s">
        <v>573</v>
      </c>
      <c r="C299" s="97">
        <v>0.1</v>
      </c>
      <c r="D299" s="97">
        <v>0.9</v>
      </c>
    </row>
    <row r="300" spans="1:4" ht="35" thickBot="1">
      <c r="A300" s="98" t="s">
        <v>574</v>
      </c>
      <c r="B300" s="103"/>
      <c r="C300" s="97">
        <v>0.14000000000000001</v>
      </c>
      <c r="D300" s="97">
        <v>0.86</v>
      </c>
    </row>
    <row r="301" spans="1:4" ht="19.5">
      <c r="A301" s="102"/>
    </row>
    <row r="302" spans="1:4" ht="19.5">
      <c r="A302" s="102" t="s">
        <v>542</v>
      </c>
      <c r="B302" s="102" t="s">
        <v>543</v>
      </c>
    </row>
    <row r="303" spans="1:4" ht="13" thickBot="1">
      <c r="A303" s="101" t="s">
        <v>583</v>
      </c>
      <c r="B303" s="101" t="s">
        <v>584</v>
      </c>
    </row>
    <row r="304" spans="1:4" ht="13.4" customHeight="1">
      <c r="A304" s="100" t="s">
        <v>465</v>
      </c>
      <c r="B304" s="100" t="s">
        <v>547</v>
      </c>
      <c r="C304" s="141" t="s">
        <v>585</v>
      </c>
      <c r="D304" s="141" t="s">
        <v>586</v>
      </c>
    </row>
    <row r="305" spans="1:24" ht="23.5" thickBot="1">
      <c r="A305" s="99"/>
      <c r="B305" s="99"/>
      <c r="C305" s="142" t="s">
        <v>550</v>
      </c>
      <c r="D305" s="142" t="s">
        <v>550</v>
      </c>
    </row>
    <row r="306" spans="1:24" ht="13" thickBot="1">
      <c r="A306" s="98" t="s">
        <v>551</v>
      </c>
      <c r="B306" s="97" t="s">
        <v>552</v>
      </c>
      <c r="C306" s="97">
        <v>0.36</v>
      </c>
      <c r="D306" s="97">
        <v>0.64</v>
      </c>
    </row>
    <row r="307" spans="1:24" ht="13" thickBot="1">
      <c r="A307" s="98" t="s">
        <v>553</v>
      </c>
      <c r="B307" s="97" t="s">
        <v>510</v>
      </c>
      <c r="C307" s="97">
        <v>0.16</v>
      </c>
      <c r="D307" s="97">
        <v>0.84</v>
      </c>
    </row>
    <row r="308" spans="1:24" ht="35" thickBot="1">
      <c r="A308" s="98" t="s">
        <v>579</v>
      </c>
      <c r="B308" s="97" t="s">
        <v>555</v>
      </c>
      <c r="C308" s="97">
        <v>0.17</v>
      </c>
      <c r="D308" s="97">
        <v>0.83</v>
      </c>
    </row>
    <row r="309" spans="1:24" ht="35" thickBot="1">
      <c r="A309" s="98" t="s">
        <v>556</v>
      </c>
      <c r="B309" s="97" t="s">
        <v>557</v>
      </c>
      <c r="C309" s="97">
        <v>0.14000000000000001</v>
      </c>
      <c r="D309" s="97">
        <v>0.86</v>
      </c>
    </row>
    <row r="310" spans="1:24" ht="23.5" thickBot="1">
      <c r="A310" s="98" t="s">
        <v>558</v>
      </c>
      <c r="B310" s="97" t="s">
        <v>559</v>
      </c>
      <c r="C310" s="97">
        <v>0.26</v>
      </c>
      <c r="D310" s="97">
        <v>0.74</v>
      </c>
    </row>
    <row r="311" spans="1:24" ht="23.5" thickBot="1">
      <c r="A311" s="98" t="s">
        <v>560</v>
      </c>
      <c r="B311" s="97" t="s">
        <v>587</v>
      </c>
      <c r="C311" s="97">
        <v>0.12</v>
      </c>
      <c r="D311" s="97">
        <v>0.88</v>
      </c>
    </row>
    <row r="312" spans="1:24" ht="13" thickBot="1">
      <c r="A312" s="98" t="s">
        <v>562</v>
      </c>
      <c r="B312" s="97" t="s">
        <v>588</v>
      </c>
      <c r="C312" s="97">
        <v>0.44</v>
      </c>
      <c r="D312" s="97">
        <v>0.56000000000000005</v>
      </c>
    </row>
    <row r="313" spans="1:24" ht="23.5" thickBot="1">
      <c r="A313" s="98" t="s">
        <v>564</v>
      </c>
      <c r="B313" s="97" t="s">
        <v>589</v>
      </c>
      <c r="C313" s="97">
        <v>0.14000000000000001</v>
      </c>
      <c r="D313" s="97">
        <v>0.86</v>
      </c>
    </row>
    <row r="314" spans="1:24" ht="23.5" thickBot="1">
      <c r="A314" s="98" t="s">
        <v>566</v>
      </c>
      <c r="B314" s="97" t="s">
        <v>590</v>
      </c>
      <c r="C314" s="97">
        <v>0.14000000000000001</v>
      </c>
      <c r="D314" s="97">
        <v>0.86</v>
      </c>
    </row>
    <row r="315" spans="1:24" ht="35" thickBot="1">
      <c r="A315" s="98" t="s">
        <v>568</v>
      </c>
      <c r="B315" s="97" t="s">
        <v>591</v>
      </c>
      <c r="C315" s="97">
        <v>0.14000000000000001</v>
      </c>
      <c r="D315" s="97">
        <v>0.86</v>
      </c>
    </row>
    <row r="316" spans="1:24" ht="23.5" thickBot="1">
      <c r="A316" s="98" t="s">
        <v>570</v>
      </c>
      <c r="B316" s="97" t="s">
        <v>592</v>
      </c>
      <c r="C316" s="97">
        <v>0.13</v>
      </c>
      <c r="D316" s="97">
        <v>0.87</v>
      </c>
    </row>
    <row r="317" spans="1:24" ht="23.5" thickBot="1">
      <c r="A317" s="98" t="s">
        <v>572</v>
      </c>
      <c r="B317" s="97" t="s">
        <v>593</v>
      </c>
      <c r="C317" s="97">
        <v>0.16</v>
      </c>
      <c r="D317" s="97">
        <v>0.84</v>
      </c>
    </row>
    <row r="318" spans="1:24" ht="35" thickBot="1">
      <c r="A318" s="98" t="s">
        <v>574</v>
      </c>
      <c r="B318" s="97"/>
      <c r="C318" s="97">
        <v>0.2</v>
      </c>
      <c r="D318" s="97">
        <v>0.8</v>
      </c>
      <c r="I318" s="95" t="s">
        <v>423</v>
      </c>
    </row>
    <row r="319" spans="1:24">
      <c r="F319" s="25" t="s">
        <v>839</v>
      </c>
      <c r="I319" s="95">
        <v>1</v>
      </c>
      <c r="J319" s="25" t="s">
        <v>143</v>
      </c>
      <c r="K319" s="25">
        <f>(1-(1+H$320)^(-I319)) / (LN(1+H$320))</f>
        <v>0.98064352657801512</v>
      </c>
      <c r="N319" s="25" t="s">
        <v>840</v>
      </c>
      <c r="R319" s="25" t="s">
        <v>841</v>
      </c>
      <c r="V319" s="25" t="s">
        <v>842</v>
      </c>
    </row>
    <row r="320" spans="1:24" ht="13" thickBot="1">
      <c r="F320" s="25" t="s">
        <v>843</v>
      </c>
      <c r="H320" s="96">
        <f>'SP3-1'!$I$25</f>
        <v>0.04</v>
      </c>
      <c r="I320" s="95">
        <f>'SP3-1'!I$24</f>
        <v>0</v>
      </c>
      <c r="J320" s="25" t="s">
        <v>144</v>
      </c>
      <c r="K320" s="25">
        <f>(1-(1+H$320)^(-I320)) / (LN(1+H$320))</f>
        <v>0</v>
      </c>
      <c r="N320" s="25" t="s">
        <v>843</v>
      </c>
      <c r="P320" s="96">
        <f>'SP3-1'!$I$25</f>
        <v>0.04</v>
      </c>
      <c r="R320" s="25" t="s">
        <v>843</v>
      </c>
      <c r="T320" s="96">
        <f>'SP3-1'!$I$25</f>
        <v>0.04</v>
      </c>
      <c r="V320" s="25" t="s">
        <v>843</v>
      </c>
      <c r="X320" s="96">
        <f>'SP3-1'!$I$25</f>
        <v>0.04</v>
      </c>
    </row>
    <row r="321" spans="1:24" ht="13" thickBot="1">
      <c r="A321" s="94"/>
      <c r="F321" s="25" t="s">
        <v>642</v>
      </c>
      <c r="G321" s="25" t="s">
        <v>643</v>
      </c>
      <c r="H321" s="25" t="s">
        <v>644</v>
      </c>
      <c r="I321" s="95"/>
      <c r="J321" s="25" t="s">
        <v>645</v>
      </c>
      <c r="K321" s="25">
        <v>0.96150000000000002</v>
      </c>
      <c r="N321" s="25" t="s">
        <v>642</v>
      </c>
      <c r="O321" s="25" t="s">
        <v>643</v>
      </c>
      <c r="P321" s="25" t="s">
        <v>644</v>
      </c>
      <c r="R321" s="25" t="s">
        <v>642</v>
      </c>
      <c r="S321" s="25" t="s">
        <v>643</v>
      </c>
      <c r="T321" s="25" t="s">
        <v>644</v>
      </c>
      <c r="V321" s="25" t="s">
        <v>642</v>
      </c>
      <c r="W321" s="25" t="s">
        <v>643</v>
      </c>
      <c r="X321" s="25" t="s">
        <v>644</v>
      </c>
    </row>
    <row r="322" spans="1:24" ht="13" thickBot="1">
      <c r="A322" s="92"/>
      <c r="B322" s="93"/>
      <c r="D322" s="61" t="s">
        <v>646</v>
      </c>
      <c r="E322" s="25">
        <v>1</v>
      </c>
      <c r="F322" s="25">
        <v>0</v>
      </c>
      <c r="I322" s="95">
        <f>'SP3-1'!I$24</f>
        <v>0</v>
      </c>
      <c r="J322" s="25" t="s">
        <v>145</v>
      </c>
      <c r="K322" s="25">
        <f>((LN(1+H$320))^-2)-(I322*(1+H$320)^(I322*(-1))*(LN((1+H$320))^-1))-((1+H$320)^(I322*(-1))*(LN(1+H$320))^-2)</f>
        <v>0</v>
      </c>
      <c r="L322" s="61" t="s">
        <v>646</v>
      </c>
      <c r="M322" s="25">
        <v>1</v>
      </c>
      <c r="N322" s="25">
        <v>0</v>
      </c>
      <c r="R322" s="25">
        <v>0</v>
      </c>
      <c r="V322" s="25">
        <v>0</v>
      </c>
    </row>
    <row r="323" spans="1:24" ht="13" thickBot="1">
      <c r="A323" s="92"/>
      <c r="B323" s="311"/>
      <c r="D323" s="61" t="s">
        <v>647</v>
      </c>
      <c r="E323" s="25">
        <v>2</v>
      </c>
      <c r="F323" s="25" t="str">
        <f>IF('SP3-2'!B20="","no number",'SP3-2'!B20)</f>
        <v>no number</v>
      </c>
      <c r="G323" s="25" t="str">
        <f>IF(F323="no number","no number",F323-$F$322)</f>
        <v>no number</v>
      </c>
      <c r="H323" s="312" t="str">
        <f t="shared" ref="H323:H331" si="55">IF(G323="no number","",(1/((1+$H$320)^(G323))))</f>
        <v/>
      </c>
      <c r="I323" s="95">
        <v>1</v>
      </c>
      <c r="J323" s="25" t="s">
        <v>146</v>
      </c>
      <c r="K323" s="25">
        <f>((LN(1+H$320))^-2)-(I323*(1+H$320)^(I323*(-1))*(LN((1+H$320))^-1))-((1+H$320)^(I323*(-1))*(LN(1+H$320))^-2)</f>
        <v>0.48711671725311589</v>
      </c>
      <c r="L323" s="61" t="s">
        <v>647</v>
      </c>
      <c r="M323" s="25">
        <v>2</v>
      </c>
      <c r="N323" s="25" t="str">
        <f>IF('SP3-3 (1)'!B16="","no number",'SP3-3 (1)'!B16)</f>
        <v>no number</v>
      </c>
      <c r="O323" s="25" t="str">
        <f t="shared" ref="O323:O329" si="56">IF(N323="no number","no number",N323-$N$322)</f>
        <v>no number</v>
      </c>
      <c r="P323" s="312" t="str">
        <f t="shared" ref="P323:P329" si="57">IF(O323="no number","",(1/((1+$P$320)^(O323))))</f>
        <v/>
      </c>
      <c r="R323" s="25" t="str">
        <f>IF('SP3-3 (2)'!B16="","no number",'SP3-3 (2)'!B16)</f>
        <v>no number</v>
      </c>
      <c r="S323" s="25" t="str">
        <f t="shared" ref="S323:S329" si="58">IF(R323="no number","no number",R323-$N$322)</f>
        <v>no number</v>
      </c>
      <c r="T323" s="312" t="str">
        <f t="shared" ref="T323:T329" si="59">IF(S323="no number","",(1/((1+$P$320)^(S323))))</f>
        <v/>
      </c>
      <c r="V323" s="25" t="str">
        <f>IF('SP3-3 (3)'!B16="","no number",'SP3-3 (3)'!B16)</f>
        <v>no number</v>
      </c>
      <c r="W323" s="25" t="str">
        <f t="shared" ref="W323:W329" si="60">IF(V323="no number","no number",V323-$N$322)</f>
        <v>no number</v>
      </c>
      <c r="X323" s="312" t="str">
        <f t="shared" ref="X323:X329" si="61">IF(W323="no number","",(1/((1+$P$320)^(W323))))</f>
        <v/>
      </c>
    </row>
    <row r="324" spans="1:24" ht="13" thickBot="1">
      <c r="A324" s="92"/>
      <c r="B324" s="311"/>
      <c r="D324" s="61" t="s">
        <v>648</v>
      </c>
      <c r="E324" s="25">
        <v>3</v>
      </c>
      <c r="F324" s="25" t="str">
        <f>IF('SP3-2'!B21="","no number",'SP3-2'!B21)</f>
        <v>no number</v>
      </c>
      <c r="G324" s="25" t="str">
        <f t="shared" ref="G324:G330" si="62">IF(F324="no number","no number",F324-$F$322)</f>
        <v>no number</v>
      </c>
      <c r="H324" s="312" t="str">
        <f t="shared" si="55"/>
        <v/>
      </c>
      <c r="I324" s="95" t="s">
        <v>649</v>
      </c>
      <c r="L324" s="61" t="s">
        <v>648</v>
      </c>
      <c r="M324" s="25">
        <v>3</v>
      </c>
      <c r="N324" s="25" t="str">
        <f>IF('SP3-3 (1)'!B17="","no number",'SP3-3 (1)'!B17)</f>
        <v>no number</v>
      </c>
      <c r="O324" s="25" t="str">
        <f t="shared" si="56"/>
        <v>no number</v>
      </c>
      <c r="P324" s="312" t="str">
        <f t="shared" si="57"/>
        <v/>
      </c>
      <c r="R324" s="25" t="str">
        <f>IF('SP3-3 (2)'!B17="","no number",'SP3-3 (2)'!B17)</f>
        <v>no number</v>
      </c>
      <c r="S324" s="25" t="str">
        <f t="shared" si="58"/>
        <v>no number</v>
      </c>
      <c r="T324" s="312" t="str">
        <f t="shared" si="59"/>
        <v/>
      </c>
      <c r="V324" s="25" t="str">
        <f>IF('SP3-3 (3)'!B17="","no number",'SP3-3 (3)'!B17)</f>
        <v>no number</v>
      </c>
      <c r="W324" s="25" t="str">
        <f t="shared" si="60"/>
        <v>no number</v>
      </c>
      <c r="X324" s="312" t="str">
        <f t="shared" si="61"/>
        <v/>
      </c>
    </row>
    <row r="325" spans="1:24" ht="13" thickBot="1">
      <c r="A325" s="92"/>
      <c r="B325" s="311"/>
      <c r="D325" s="61" t="s">
        <v>650</v>
      </c>
      <c r="E325" s="25">
        <v>4</v>
      </c>
      <c r="F325" s="25" t="str">
        <f>IF('SP3-2'!B22="","no number",'SP3-2'!B22)</f>
        <v>no number</v>
      </c>
      <c r="G325" s="25" t="str">
        <f t="shared" si="62"/>
        <v>no number</v>
      </c>
      <c r="H325" s="312" t="str">
        <f t="shared" si="55"/>
        <v/>
      </c>
      <c r="I325" s="95">
        <f>'SP3-1'!I$24</f>
        <v>0</v>
      </c>
      <c r="J325" s="25" t="s">
        <v>145</v>
      </c>
      <c r="K325" s="25">
        <f>((LN(1+H$320))^-2)-(I325*(1+H$320)^(I325*(-1))*(LN((1+H$320))^-1))-((1+H$320)^(I325*(-1))*(LN(1+H$320))^-2)</f>
        <v>0</v>
      </c>
      <c r="L325" s="61" t="s">
        <v>650</v>
      </c>
      <c r="M325" s="25">
        <v>4</v>
      </c>
      <c r="N325" s="25" t="str">
        <f>IF('SP3-3 (1)'!B18="","no number",'SP3-3 (1)'!B18)</f>
        <v>no number</v>
      </c>
      <c r="O325" s="25" t="str">
        <f t="shared" si="56"/>
        <v>no number</v>
      </c>
      <c r="P325" s="312" t="str">
        <f t="shared" si="57"/>
        <v/>
      </c>
      <c r="R325" s="25" t="str">
        <f>IF('SP3-3 (2)'!B18="","no number",'SP3-3 (2)'!B18)</f>
        <v>no number</v>
      </c>
      <c r="S325" s="25" t="str">
        <f t="shared" si="58"/>
        <v>no number</v>
      </c>
      <c r="T325" s="312" t="str">
        <f t="shared" si="59"/>
        <v/>
      </c>
      <c r="V325" s="25" t="str">
        <f>IF('SP3-3 (3)'!B18="","no number",'SP3-3 (3)'!B18)</f>
        <v>no number</v>
      </c>
      <c r="W325" s="25" t="str">
        <f t="shared" si="60"/>
        <v>no number</v>
      </c>
      <c r="X325" s="312" t="str">
        <f t="shared" si="61"/>
        <v/>
      </c>
    </row>
    <row r="326" spans="1:24" ht="13" thickBot="1">
      <c r="A326" s="92"/>
      <c r="B326" s="311"/>
      <c r="D326" s="61" t="s">
        <v>651</v>
      </c>
      <c r="E326" s="25">
        <v>5</v>
      </c>
      <c r="F326" s="25" t="str">
        <f>IF('SP3-2'!B23="","no number",'SP3-2'!B23)</f>
        <v>no number</v>
      </c>
      <c r="G326" s="25" t="str">
        <f t="shared" si="62"/>
        <v>no number</v>
      </c>
      <c r="H326" s="312" t="str">
        <f t="shared" si="55"/>
        <v/>
      </c>
      <c r="L326" s="61" t="s">
        <v>651</v>
      </c>
      <c r="M326" s="25">
        <v>5</v>
      </c>
      <c r="N326" s="25" t="str">
        <f>IF('SP3-3 (1)'!B19="","no number",'SP3-3 (1)'!B19)</f>
        <v>no number</v>
      </c>
      <c r="O326" s="25" t="str">
        <f t="shared" si="56"/>
        <v>no number</v>
      </c>
      <c r="P326" s="312" t="str">
        <f t="shared" si="57"/>
        <v/>
      </c>
      <c r="R326" s="25" t="str">
        <f>IF('SP3-3 (2)'!B19="","no number",'SP3-3 (2)'!B19)</f>
        <v>no number</v>
      </c>
      <c r="S326" s="25" t="str">
        <f t="shared" si="58"/>
        <v>no number</v>
      </c>
      <c r="T326" s="312" t="str">
        <f t="shared" si="59"/>
        <v/>
      </c>
      <c r="V326" s="25" t="str">
        <f>IF('SP3-3 (3)'!B19="","no number",'SP3-3 (3)'!B19)</f>
        <v>no number</v>
      </c>
      <c r="W326" s="25" t="str">
        <f t="shared" si="60"/>
        <v>no number</v>
      </c>
      <c r="X326" s="312" t="str">
        <f t="shared" si="61"/>
        <v/>
      </c>
    </row>
    <row r="327" spans="1:24" ht="13" thickBot="1">
      <c r="A327" s="92"/>
      <c r="B327" s="311"/>
      <c r="D327" s="61" t="s">
        <v>652</v>
      </c>
      <c r="E327" s="25">
        <v>6</v>
      </c>
      <c r="F327" s="25" t="str">
        <f>IF('SP3-2'!B24="","no number",'SP3-2'!B24)</f>
        <v>no number</v>
      </c>
      <c r="G327" s="25" t="str">
        <f t="shared" si="62"/>
        <v>no number</v>
      </c>
      <c r="H327" s="312" t="str">
        <f t="shared" si="55"/>
        <v/>
      </c>
      <c r="L327" s="61" t="s">
        <v>652</v>
      </c>
      <c r="M327" s="25">
        <v>6</v>
      </c>
      <c r="N327" s="25" t="str">
        <f>IF('SP3-3 (1)'!B20="","no number",'SP3-3 (1)'!B20)</f>
        <v>no number</v>
      </c>
      <c r="O327" s="25" t="str">
        <f t="shared" si="56"/>
        <v>no number</v>
      </c>
      <c r="P327" s="312" t="str">
        <f t="shared" si="57"/>
        <v/>
      </c>
      <c r="R327" s="25" t="str">
        <f>IF('SP3-3 (2)'!B20="","no number",'SP3-3 (2)'!B20)</f>
        <v>no number</v>
      </c>
      <c r="S327" s="25" t="str">
        <f t="shared" si="58"/>
        <v>no number</v>
      </c>
      <c r="T327" s="312" t="str">
        <f t="shared" si="59"/>
        <v/>
      </c>
      <c r="V327" s="25" t="str">
        <f>IF('SP3-3 (3)'!B20="","no number",'SP3-3 (3)'!B20)</f>
        <v>no number</v>
      </c>
      <c r="W327" s="25" t="str">
        <f t="shared" si="60"/>
        <v>no number</v>
      </c>
      <c r="X327" s="312" t="str">
        <f t="shared" si="61"/>
        <v/>
      </c>
    </row>
    <row r="328" spans="1:24" ht="13" thickBot="1">
      <c r="A328" s="92"/>
      <c r="B328" s="311"/>
      <c r="D328" s="61" t="s">
        <v>653</v>
      </c>
      <c r="E328" s="25">
        <v>7</v>
      </c>
      <c r="F328" s="25" t="str">
        <f>IF('SP3-2'!B25="","no number",'SP3-2'!B25)</f>
        <v>no number</v>
      </c>
      <c r="G328" s="25" t="str">
        <f t="shared" si="62"/>
        <v>no number</v>
      </c>
      <c r="H328" s="312" t="str">
        <f t="shared" si="55"/>
        <v/>
      </c>
      <c r="L328" s="61" t="s">
        <v>653</v>
      </c>
      <c r="M328" s="25">
        <v>7</v>
      </c>
      <c r="N328" s="25" t="str">
        <f>IF('SP3-3 (1)'!B21="","no number",'SP3-3 (1)'!B21)</f>
        <v>no number</v>
      </c>
      <c r="O328" s="25" t="str">
        <f t="shared" si="56"/>
        <v>no number</v>
      </c>
      <c r="P328" s="312" t="str">
        <f t="shared" si="57"/>
        <v/>
      </c>
      <c r="R328" s="25" t="str">
        <f>IF('SP3-3 (2)'!B21="","no number",'SP3-3 (2)'!B21)</f>
        <v>no number</v>
      </c>
      <c r="S328" s="25" t="str">
        <f t="shared" si="58"/>
        <v>no number</v>
      </c>
      <c r="T328" s="312" t="str">
        <f t="shared" si="59"/>
        <v/>
      </c>
      <c r="V328" s="25" t="str">
        <f>IF('SP3-3 (3)'!B21="","no number",'SP3-3 (3)'!B21)</f>
        <v>no number</v>
      </c>
      <c r="W328" s="25" t="str">
        <f t="shared" si="60"/>
        <v>no number</v>
      </c>
      <c r="X328" s="312" t="str">
        <f t="shared" si="61"/>
        <v/>
      </c>
    </row>
    <row r="329" spans="1:24" ht="13" thickBot="1">
      <c r="A329" s="92"/>
      <c r="B329" s="311"/>
      <c r="D329" s="61" t="s">
        <v>654</v>
      </c>
      <c r="E329" s="25">
        <v>8</v>
      </c>
      <c r="F329" s="25" t="str">
        <f>IF('SP3-2'!B26="","no number",'SP3-2'!B26)</f>
        <v>no number</v>
      </c>
      <c r="G329" s="25" t="str">
        <f t="shared" si="62"/>
        <v>no number</v>
      </c>
      <c r="H329" s="312" t="str">
        <f t="shared" si="55"/>
        <v/>
      </c>
      <c r="L329" s="61" t="s">
        <v>654</v>
      </c>
      <c r="M329" s="25">
        <v>8</v>
      </c>
      <c r="N329" s="25" t="str">
        <f>IF('SP3-3 (1)'!B22="","no number",'SP3-3 (1)'!B22)</f>
        <v>no number</v>
      </c>
      <c r="O329" s="25" t="str">
        <f t="shared" si="56"/>
        <v>no number</v>
      </c>
      <c r="P329" s="312" t="str">
        <f t="shared" si="57"/>
        <v/>
      </c>
      <c r="R329" s="25" t="str">
        <f>IF('SP3-3 (2)'!B22="","no number",'SP3-3 (2)'!B22)</f>
        <v>no number</v>
      </c>
      <c r="S329" s="25" t="str">
        <f t="shared" si="58"/>
        <v>no number</v>
      </c>
      <c r="T329" s="312" t="str">
        <f t="shared" si="59"/>
        <v/>
      </c>
      <c r="V329" s="25" t="str">
        <f>IF('SP3-3 (3)'!B22="","no number",'SP3-3 (3)'!B22)</f>
        <v>no number</v>
      </c>
      <c r="W329" s="25" t="str">
        <f t="shared" si="60"/>
        <v>no number</v>
      </c>
      <c r="X329" s="312" t="str">
        <f t="shared" si="61"/>
        <v/>
      </c>
    </row>
    <row r="330" spans="1:24" ht="13" thickBot="1">
      <c r="A330" s="92"/>
      <c r="B330" s="311"/>
      <c r="D330" s="61" t="s">
        <v>655</v>
      </c>
      <c r="E330" s="25">
        <v>9</v>
      </c>
      <c r="F330" s="25" t="str">
        <f>IF('SP3-2'!B27="","no number",'SP3-2'!B27)</f>
        <v>no number</v>
      </c>
      <c r="G330" s="25" t="str">
        <f t="shared" si="62"/>
        <v>no number</v>
      </c>
      <c r="H330" s="312" t="str">
        <f t="shared" si="55"/>
        <v/>
      </c>
      <c r="L330" s="61" t="s">
        <v>655</v>
      </c>
      <c r="M330" s="25">
        <v>9</v>
      </c>
      <c r="N330" s="25" t="str">
        <f>IF('SP3-3 (1)'!B23="","no number",'SP3-3 (1)'!B23)</f>
        <v>no number</v>
      </c>
      <c r="O330" s="25" t="str">
        <f>IF(N330="no number","no number",N330-$N$322)</f>
        <v>no number</v>
      </c>
      <c r="P330" s="312" t="str">
        <f>IF(O330="no number","",(1/((1+$P$320)^(O330))))</f>
        <v/>
      </c>
      <c r="R330" s="25" t="str">
        <f>IF('SP3-3 (2)'!B23="","no number",'SP3-3 (2)'!B23)</f>
        <v>no number</v>
      </c>
      <c r="S330" s="25" t="str">
        <f>IF(R330="no number","no number",R330-$N$322)</f>
        <v>no number</v>
      </c>
      <c r="T330" s="312" t="str">
        <f>IF(S330="no number","",(1/((1+$P$320)^(S330))))</f>
        <v/>
      </c>
      <c r="V330" s="25" t="str">
        <f>IF('SP3-3 (3)'!B23="","no number",'SP3-3 (3)'!B23)</f>
        <v>no number</v>
      </c>
      <c r="W330" s="25" t="str">
        <f>IF(V330="no number","no number",V330-$N$322)</f>
        <v>no number</v>
      </c>
      <c r="X330" s="312" t="str">
        <f>IF(W330="no number","",(1/((1+$P$320)^(W330))))</f>
        <v/>
      </c>
    </row>
    <row r="331" spans="1:24" ht="13" thickBot="1">
      <c r="A331" s="92"/>
      <c r="B331" s="311"/>
      <c r="D331" s="61" t="s">
        <v>656</v>
      </c>
      <c r="E331" s="25">
        <v>10</v>
      </c>
      <c r="F331" s="25" t="str">
        <f>IF('SP3-2'!B28="","no number",'SP3-2'!B28)</f>
        <v>no number</v>
      </c>
      <c r="G331" s="25" t="str">
        <f>IF(F331="no number","no number",F331-$F$322)</f>
        <v>no number</v>
      </c>
      <c r="H331" s="312" t="str">
        <f t="shared" si="55"/>
        <v/>
      </c>
      <c r="L331" s="61" t="s">
        <v>656</v>
      </c>
      <c r="M331" s="25">
        <v>10</v>
      </c>
      <c r="N331" s="25" t="str">
        <f>IF('SP3-3 (1)'!B24="","no number",'SP3-3 (1)'!B24)</f>
        <v>no number</v>
      </c>
      <c r="O331" s="25" t="str">
        <f>IF(N331="no number","no number",N331-$N$322)</f>
        <v>no number</v>
      </c>
      <c r="P331" s="312" t="str">
        <f>IF(O331="no number","",(1/((1+$P$320)^(O331))))</f>
        <v/>
      </c>
      <c r="R331" s="25" t="str">
        <f>IF('SP3-3 (2)'!B24="","no number",'SP3-3 (2)'!B24)</f>
        <v>no number</v>
      </c>
      <c r="S331" s="25" t="str">
        <f>IF(R331="no number","no number",R331-$N$322)</f>
        <v>no number</v>
      </c>
      <c r="T331" s="312" t="str">
        <f>IF(S331="no number","",(1/((1+$P$320)^(S331))))</f>
        <v/>
      </c>
      <c r="V331" s="25" t="str">
        <f>IF('SP3-3 (3)'!B24="","no number",'SP3-3 (3)'!B24)</f>
        <v>no number</v>
      </c>
      <c r="W331" s="25" t="str">
        <f>IF(V331="no number","no number",V331-$N$322)</f>
        <v>no number</v>
      </c>
      <c r="X331" s="312" t="str">
        <f>IF(W331="no number","",(1/((1+$P$320)^(W331))))</f>
        <v/>
      </c>
    </row>
    <row r="332" spans="1:24" ht="13" thickBot="1">
      <c r="A332" s="92"/>
      <c r="B332" s="311"/>
      <c r="D332" s="61" t="s">
        <v>657</v>
      </c>
      <c r="E332" s="25">
        <v>11</v>
      </c>
      <c r="L332" s="61" t="s">
        <v>657</v>
      </c>
      <c r="M332" s="25">
        <v>11</v>
      </c>
    </row>
    <row r="333" spans="1:24" ht="13" thickBot="1">
      <c r="A333" s="92"/>
      <c r="B333" s="311"/>
      <c r="D333" s="61" t="s">
        <v>658</v>
      </c>
      <c r="E333" s="25">
        <v>12</v>
      </c>
      <c r="L333" s="61" t="s">
        <v>658</v>
      </c>
      <c r="M333" s="25">
        <v>12</v>
      </c>
    </row>
    <row r="334" spans="1:24" ht="13" thickBot="1">
      <c r="A334" s="92"/>
      <c r="B334" s="311"/>
      <c r="D334" s="61" t="s">
        <v>659</v>
      </c>
      <c r="E334" s="25">
        <v>13</v>
      </c>
      <c r="L334" s="61" t="s">
        <v>659</v>
      </c>
      <c r="M334" s="25">
        <v>13</v>
      </c>
    </row>
    <row r="335" spans="1:24" ht="13" thickBot="1">
      <c r="A335" s="91"/>
      <c r="B335" s="311"/>
      <c r="D335" s="61" t="s">
        <v>660</v>
      </c>
      <c r="E335" s="25">
        <v>14</v>
      </c>
      <c r="L335" s="61" t="s">
        <v>660</v>
      </c>
      <c r="M335" s="25">
        <v>14</v>
      </c>
    </row>
    <row r="336" spans="1:24" ht="13" thickBot="1">
      <c r="A336" s="91"/>
      <c r="B336" s="91"/>
      <c r="D336" s="61" t="s">
        <v>661</v>
      </c>
      <c r="E336" s="25">
        <v>15</v>
      </c>
      <c r="F336" s="25" t="s">
        <v>362</v>
      </c>
      <c r="G336" s="25" t="s">
        <v>362</v>
      </c>
      <c r="L336" s="61" t="s">
        <v>661</v>
      </c>
      <c r="M336" s="25">
        <v>15</v>
      </c>
      <c r="N336" s="25" t="s">
        <v>362</v>
      </c>
      <c r="O336" s="25" t="s">
        <v>362</v>
      </c>
    </row>
    <row r="337" spans="1:13" ht="13" thickBot="1">
      <c r="A337" s="91"/>
      <c r="B337" s="91"/>
      <c r="D337" s="61" t="s">
        <v>662</v>
      </c>
      <c r="E337" s="25">
        <v>16</v>
      </c>
      <c r="L337" s="61" t="s">
        <v>662</v>
      </c>
      <c r="M337" s="25">
        <v>16</v>
      </c>
    </row>
    <row r="338" spans="1:13" ht="13" thickBot="1">
      <c r="A338" s="91"/>
      <c r="B338" s="91"/>
      <c r="D338" s="61" t="s">
        <v>663</v>
      </c>
      <c r="E338" s="25">
        <v>17</v>
      </c>
      <c r="L338" s="61" t="s">
        <v>663</v>
      </c>
      <c r="M338" s="25">
        <v>17</v>
      </c>
    </row>
    <row r="339" spans="1:13" ht="13" thickBot="1">
      <c r="A339" s="91"/>
      <c r="B339" s="91"/>
      <c r="D339" s="61" t="s">
        <v>664</v>
      </c>
      <c r="E339" s="25">
        <v>18</v>
      </c>
      <c r="L339" s="61" t="s">
        <v>664</v>
      </c>
      <c r="M339" s="25">
        <v>18</v>
      </c>
    </row>
    <row r="340" spans="1:13" ht="13" thickBot="1">
      <c r="A340" s="91"/>
      <c r="B340" s="91"/>
      <c r="D340" s="61" t="s">
        <v>665</v>
      </c>
      <c r="E340" s="25">
        <v>19</v>
      </c>
      <c r="L340" s="61" t="s">
        <v>665</v>
      </c>
      <c r="M340" s="25">
        <v>19</v>
      </c>
    </row>
    <row r="341" spans="1:13" ht="13" thickBot="1">
      <c r="A341" s="91"/>
      <c r="B341" s="91"/>
      <c r="D341" s="61" t="s">
        <v>666</v>
      </c>
      <c r="E341" s="25">
        <v>20</v>
      </c>
      <c r="L341" s="61" t="s">
        <v>666</v>
      </c>
      <c r="M341" s="25">
        <v>20</v>
      </c>
    </row>
    <row r="342" spans="1:13" ht="13" thickBot="1">
      <c r="A342" s="91"/>
      <c r="B342" s="91"/>
      <c r="D342" s="61" t="s">
        <v>667</v>
      </c>
      <c r="E342" s="25">
        <v>21</v>
      </c>
      <c r="L342" s="61" t="s">
        <v>667</v>
      </c>
      <c r="M342" s="25">
        <v>21</v>
      </c>
    </row>
    <row r="343" spans="1:13" ht="13" thickBot="1">
      <c r="A343" s="91"/>
      <c r="B343" s="91"/>
      <c r="D343" s="61" t="s">
        <v>668</v>
      </c>
      <c r="E343" s="25">
        <v>22</v>
      </c>
      <c r="L343" s="61" t="s">
        <v>668</v>
      </c>
      <c r="M343" s="25">
        <v>22</v>
      </c>
    </row>
    <row r="344" spans="1:13" ht="13" thickBot="1">
      <c r="A344" s="91"/>
      <c r="B344" s="91"/>
      <c r="D344" s="61" t="s">
        <v>669</v>
      </c>
      <c r="E344" s="25">
        <v>23</v>
      </c>
      <c r="L344" s="61" t="s">
        <v>669</v>
      </c>
      <c r="M344" s="25">
        <v>23</v>
      </c>
    </row>
    <row r="345" spans="1:13" ht="13" thickBot="1">
      <c r="A345" s="91"/>
      <c r="B345" s="91"/>
      <c r="D345" s="61" t="s">
        <v>670</v>
      </c>
      <c r="E345" s="25">
        <v>24</v>
      </c>
      <c r="L345" s="61" t="s">
        <v>670</v>
      </c>
      <c r="M345" s="25">
        <v>24</v>
      </c>
    </row>
    <row r="346" spans="1:13" ht="13" thickBot="1">
      <c r="A346" s="91"/>
      <c r="B346" s="91"/>
      <c r="D346" s="61" t="s">
        <v>671</v>
      </c>
      <c r="E346" s="25">
        <v>25</v>
      </c>
      <c r="L346" s="61" t="s">
        <v>671</v>
      </c>
      <c r="M346" s="25">
        <v>25</v>
      </c>
    </row>
    <row r="347" spans="1:13" ht="13" thickBot="1">
      <c r="B347" s="91"/>
      <c r="D347" s="61" t="s">
        <v>672</v>
      </c>
      <c r="E347" s="25">
        <v>26</v>
      </c>
      <c r="L347" s="61" t="s">
        <v>672</v>
      </c>
      <c r="M347" s="25">
        <v>26</v>
      </c>
    </row>
    <row r="348" spans="1:13" ht="13" thickBot="1">
      <c r="D348" s="61" t="s">
        <v>673</v>
      </c>
      <c r="E348" s="25">
        <v>27</v>
      </c>
      <c r="L348" s="61" t="s">
        <v>673</v>
      </c>
      <c r="M348" s="25">
        <v>27</v>
      </c>
    </row>
    <row r="349" spans="1:13" ht="13" thickBot="1">
      <c r="A349" s="94"/>
      <c r="D349" s="61" t="s">
        <v>674</v>
      </c>
      <c r="E349" s="25">
        <v>28</v>
      </c>
      <c r="L349" s="61" t="s">
        <v>674</v>
      </c>
      <c r="M349" s="25">
        <v>28</v>
      </c>
    </row>
    <row r="350" spans="1:13" ht="13" thickBot="1">
      <c r="A350" s="92"/>
      <c r="B350" s="93"/>
      <c r="D350" s="61" t="s">
        <v>675</v>
      </c>
      <c r="E350" s="25">
        <v>29</v>
      </c>
      <c r="L350" s="61" t="s">
        <v>675</v>
      </c>
      <c r="M350" s="25">
        <v>29</v>
      </c>
    </row>
    <row r="351" spans="1:13" ht="13" thickBot="1">
      <c r="A351" s="92"/>
      <c r="B351" s="311"/>
      <c r="D351" s="61" t="s">
        <v>676</v>
      </c>
      <c r="E351" s="25">
        <v>30</v>
      </c>
      <c r="L351" s="61" t="s">
        <v>676</v>
      </c>
      <c r="M351" s="25">
        <v>30</v>
      </c>
    </row>
    <row r="352" spans="1:13" ht="13" thickBot="1">
      <c r="A352" s="92"/>
      <c r="B352" s="311"/>
      <c r="D352" s="61" t="s">
        <v>677</v>
      </c>
      <c r="E352" s="25">
        <v>31</v>
      </c>
      <c r="L352" s="61" t="s">
        <v>677</v>
      </c>
      <c r="M352" s="25">
        <v>31</v>
      </c>
    </row>
    <row r="353" spans="1:13" ht="13" thickBot="1">
      <c r="A353" s="92"/>
      <c r="B353" s="311"/>
      <c r="D353" s="61" t="s">
        <v>678</v>
      </c>
      <c r="E353" s="25">
        <v>32</v>
      </c>
      <c r="L353" s="61" t="s">
        <v>678</v>
      </c>
      <c r="M353" s="25">
        <v>32</v>
      </c>
    </row>
    <row r="354" spans="1:13" ht="13" thickBot="1">
      <c r="A354" s="92"/>
      <c r="B354" s="311"/>
      <c r="D354" s="61" t="s">
        <v>679</v>
      </c>
      <c r="E354" s="25">
        <v>33</v>
      </c>
      <c r="L354" s="61" t="s">
        <v>679</v>
      </c>
      <c r="M354" s="25">
        <v>33</v>
      </c>
    </row>
    <row r="355" spans="1:13" ht="13" thickBot="1">
      <c r="A355" s="92"/>
      <c r="B355" s="311"/>
      <c r="D355" s="61" t="s">
        <v>680</v>
      </c>
      <c r="E355" s="25">
        <v>34</v>
      </c>
      <c r="L355" s="61" t="s">
        <v>680</v>
      </c>
      <c r="M355" s="25">
        <v>34</v>
      </c>
    </row>
    <row r="356" spans="1:13" ht="13" thickBot="1">
      <c r="A356" s="92"/>
      <c r="B356" s="311"/>
      <c r="D356" s="61" t="s">
        <v>681</v>
      </c>
      <c r="E356" s="25">
        <v>35</v>
      </c>
      <c r="L356" s="61" t="s">
        <v>681</v>
      </c>
      <c r="M356" s="25">
        <v>35</v>
      </c>
    </row>
    <row r="357" spans="1:13" ht="13" thickBot="1">
      <c r="A357" s="92"/>
      <c r="B357" s="311"/>
      <c r="D357" s="61" t="s">
        <v>682</v>
      </c>
      <c r="E357" s="25">
        <v>36</v>
      </c>
      <c r="L357" s="61" t="s">
        <v>682</v>
      </c>
      <c r="M357" s="25">
        <v>36</v>
      </c>
    </row>
    <row r="358" spans="1:13" ht="13" thickBot="1">
      <c r="A358" s="92"/>
      <c r="B358" s="311"/>
      <c r="D358" s="61" t="s">
        <v>683</v>
      </c>
      <c r="E358" s="25">
        <v>37</v>
      </c>
      <c r="L358" s="61" t="s">
        <v>683</v>
      </c>
      <c r="M358" s="25">
        <v>37</v>
      </c>
    </row>
    <row r="359" spans="1:13" ht="13" thickBot="1">
      <c r="A359" s="92"/>
      <c r="B359" s="311"/>
      <c r="D359" s="61" t="s">
        <v>684</v>
      </c>
      <c r="E359" s="25">
        <v>38</v>
      </c>
      <c r="L359" s="61" t="s">
        <v>684</v>
      </c>
      <c r="M359" s="25">
        <v>38</v>
      </c>
    </row>
    <row r="360" spans="1:13" ht="13" thickBot="1">
      <c r="A360" s="92"/>
      <c r="B360" s="311"/>
      <c r="D360" s="61" t="s">
        <v>685</v>
      </c>
      <c r="E360" s="25">
        <v>39</v>
      </c>
      <c r="L360" s="61" t="s">
        <v>685</v>
      </c>
      <c r="M360" s="25">
        <v>39</v>
      </c>
    </row>
    <row r="361" spans="1:13" ht="13" thickBot="1">
      <c r="A361" s="92"/>
      <c r="B361" s="311"/>
      <c r="D361" s="61" t="s">
        <v>686</v>
      </c>
      <c r="E361" s="25">
        <v>40</v>
      </c>
      <c r="L361" s="61" t="s">
        <v>686</v>
      </c>
      <c r="M361" s="25">
        <v>40</v>
      </c>
    </row>
    <row r="362" spans="1:13" ht="13" thickBot="1">
      <c r="A362" s="92"/>
      <c r="B362" s="311"/>
      <c r="D362" s="61" t="s">
        <v>687</v>
      </c>
      <c r="E362" s="25">
        <v>41</v>
      </c>
      <c r="L362" s="61" t="s">
        <v>687</v>
      </c>
      <c r="M362" s="25">
        <v>41</v>
      </c>
    </row>
    <row r="363" spans="1:13" ht="13" thickBot="1">
      <c r="A363" s="92"/>
      <c r="B363" s="311"/>
      <c r="D363" s="61" t="s">
        <v>688</v>
      </c>
      <c r="E363" s="25">
        <v>42</v>
      </c>
      <c r="L363" s="61" t="s">
        <v>688</v>
      </c>
      <c r="M363" s="25">
        <v>42</v>
      </c>
    </row>
    <row r="364" spans="1:13" ht="13" thickBot="1">
      <c r="A364" s="92"/>
      <c r="B364" s="311"/>
      <c r="D364" s="61" t="s">
        <v>689</v>
      </c>
      <c r="E364" s="25">
        <v>43</v>
      </c>
      <c r="L364" s="61" t="s">
        <v>689</v>
      </c>
      <c r="M364" s="25">
        <v>43</v>
      </c>
    </row>
    <row r="365" spans="1:13" ht="13" thickBot="1">
      <c r="A365" s="92"/>
      <c r="B365" s="311"/>
      <c r="D365" s="61" t="s">
        <v>690</v>
      </c>
      <c r="E365" s="25">
        <v>44</v>
      </c>
      <c r="L365" s="61" t="s">
        <v>690</v>
      </c>
      <c r="M365" s="25">
        <v>44</v>
      </c>
    </row>
    <row r="366" spans="1:13" ht="13" thickBot="1">
      <c r="A366" s="92"/>
      <c r="B366" s="311"/>
      <c r="D366" s="61" t="s">
        <v>691</v>
      </c>
      <c r="E366" s="25">
        <v>45</v>
      </c>
      <c r="L366" s="61" t="s">
        <v>691</v>
      </c>
      <c r="M366" s="25">
        <v>45</v>
      </c>
    </row>
    <row r="367" spans="1:13" ht="13" thickBot="1">
      <c r="A367" s="92"/>
      <c r="B367" s="311"/>
      <c r="D367" s="61" t="s">
        <v>692</v>
      </c>
      <c r="E367" s="25">
        <v>46</v>
      </c>
      <c r="L367" s="61" t="s">
        <v>692</v>
      </c>
      <c r="M367" s="25">
        <v>46</v>
      </c>
    </row>
    <row r="368" spans="1:13" ht="13" thickBot="1">
      <c r="A368" s="92"/>
      <c r="B368" s="311"/>
      <c r="D368" s="61" t="s">
        <v>693</v>
      </c>
      <c r="E368" s="25">
        <v>47</v>
      </c>
      <c r="L368" s="61" t="s">
        <v>693</v>
      </c>
      <c r="M368" s="25">
        <v>47</v>
      </c>
    </row>
    <row r="369" spans="1:13" ht="13" thickBot="1">
      <c r="A369" s="92"/>
      <c r="B369" s="311"/>
      <c r="D369" s="61" t="s">
        <v>694</v>
      </c>
      <c r="E369" s="25">
        <v>48</v>
      </c>
      <c r="L369" s="61" t="s">
        <v>694</v>
      </c>
      <c r="M369" s="25">
        <v>48</v>
      </c>
    </row>
    <row r="370" spans="1:13" ht="13" thickBot="1">
      <c r="A370" s="91"/>
      <c r="B370" s="311"/>
      <c r="D370" s="61" t="s">
        <v>695</v>
      </c>
      <c r="E370" s="25">
        <v>49</v>
      </c>
      <c r="L370" s="61" t="s">
        <v>695</v>
      </c>
      <c r="M370" s="25">
        <v>49</v>
      </c>
    </row>
    <row r="371" spans="1:13" ht="13" thickBot="1">
      <c r="A371" s="91"/>
      <c r="B371" s="91"/>
      <c r="D371" s="61" t="s">
        <v>696</v>
      </c>
      <c r="E371" s="25">
        <v>50</v>
      </c>
      <c r="L371" s="61" t="s">
        <v>696</v>
      </c>
      <c r="M371" s="25">
        <v>50</v>
      </c>
    </row>
    <row r="372" spans="1:13" ht="13" thickBot="1">
      <c r="A372" s="91"/>
      <c r="B372" s="91"/>
    </row>
    <row r="373" spans="1:13" ht="13" thickBot="1">
      <c r="A373" s="91"/>
      <c r="B373" s="91"/>
    </row>
    <row r="374" spans="1:13" ht="13" thickBot="1">
      <c r="A374" s="91"/>
      <c r="B374" s="91"/>
    </row>
    <row r="375" spans="1:13" ht="13" thickBot="1">
      <c r="A375" s="91"/>
      <c r="B375" s="91"/>
    </row>
    <row r="376" spans="1:13" ht="13" thickBot="1">
      <c r="A376" s="91"/>
      <c r="B376" s="91"/>
    </row>
    <row r="377" spans="1:13" ht="13" thickBot="1">
      <c r="A377" s="91"/>
      <c r="B377" s="91"/>
    </row>
    <row r="378" spans="1:13" ht="13" thickBot="1">
      <c r="A378" s="91"/>
      <c r="B378" s="91"/>
    </row>
    <row r="379" spans="1:13" ht="13" thickBot="1">
      <c r="A379" s="91"/>
      <c r="B379" s="91"/>
    </row>
    <row r="380" spans="1:13" ht="13" thickBot="1">
      <c r="A380" s="91"/>
      <c r="B380" s="91"/>
    </row>
    <row r="381" spans="1:13" ht="13" thickBot="1">
      <c r="A381" s="91"/>
      <c r="B381" s="91"/>
    </row>
    <row r="382" spans="1:13" ht="13" thickBot="1">
      <c r="B382" s="91"/>
    </row>
  </sheetData>
  <sheetProtection selectLockedCells="1"/>
  <mergeCells count="39">
    <mergeCell ref="C142:H142"/>
    <mergeCell ref="A160:B160"/>
    <mergeCell ref="C160:H161"/>
    <mergeCell ref="A161:B161"/>
    <mergeCell ref="A248:B248"/>
    <mergeCell ref="C248:H248"/>
    <mergeCell ref="A196:B196"/>
    <mergeCell ref="C196:H196"/>
    <mergeCell ref="A213:B213"/>
    <mergeCell ref="C213:H213"/>
    <mergeCell ref="A231:B231"/>
    <mergeCell ref="C231:H231"/>
    <mergeCell ref="A178:B178"/>
    <mergeCell ref="C178:H178"/>
    <mergeCell ref="A142:B142"/>
    <mergeCell ref="A112:A113"/>
    <mergeCell ref="C112:C113"/>
    <mergeCell ref="D112:D113"/>
    <mergeCell ref="C125:C126"/>
    <mergeCell ref="D125:D126"/>
    <mergeCell ref="C124:H124"/>
    <mergeCell ref="E125:E126"/>
    <mergeCell ref="F125:F126"/>
    <mergeCell ref="H125:H126"/>
    <mergeCell ref="A114:A115"/>
    <mergeCell ref="C114:C115"/>
    <mergeCell ref="D114:D115"/>
    <mergeCell ref="A124:B124"/>
    <mergeCell ref="B3:F3"/>
    <mergeCell ref="B40:I40"/>
    <mergeCell ref="A58:A59"/>
    <mergeCell ref="B58:B59"/>
    <mergeCell ref="A75:A76"/>
    <mergeCell ref="B75:B76"/>
    <mergeCell ref="A93:A94"/>
    <mergeCell ref="B93:B94"/>
    <mergeCell ref="A110:A111"/>
    <mergeCell ref="C110:C111"/>
    <mergeCell ref="D110:D111"/>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E8B7-D675-42FB-A8ED-4219A3001E6D}">
  <sheetPr codeName="Sheet15"/>
  <dimension ref="A1"/>
  <sheetViews>
    <sheetView zoomScaleNormal="100" workbookViewId="0">
      <selection activeCell="M51" sqref="M51"/>
    </sheetView>
  </sheetViews>
  <sheetFormatPr defaultColWidth="9" defaultRowHeight="11.5"/>
  <cols>
    <col min="1" max="16384" width="9" style="76"/>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7A31-CCCD-4B60-84CD-CC7D64D2BC97}">
  <sheetPr codeName="Sheet16"/>
  <dimension ref="A1"/>
  <sheetViews>
    <sheetView zoomScaleNormal="100" workbookViewId="0">
      <selection activeCell="F84" sqref="F84"/>
    </sheetView>
  </sheetViews>
  <sheetFormatPr defaultColWidth="9" defaultRowHeight="11.5"/>
  <cols>
    <col min="1" max="16384" width="9" style="76"/>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B1F0-7FE1-4617-A6EF-DA9705A716B1}">
  <sheetPr codeName="Sheet17"/>
  <dimension ref="A1"/>
  <sheetViews>
    <sheetView zoomScaleNormal="100" workbookViewId="0">
      <selection activeCell="F84" sqref="F84"/>
    </sheetView>
  </sheetViews>
  <sheetFormatPr defaultColWidth="9" defaultRowHeight="11.5"/>
  <cols>
    <col min="1" max="16384" width="9" style="76"/>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411F-B2B0-4EEF-86BF-E0F698AD7F16}">
  <sheetPr codeName="Sheet18"/>
  <dimension ref="A1"/>
  <sheetViews>
    <sheetView zoomScaleNormal="100" workbookViewId="0">
      <selection activeCell="F84" sqref="F84"/>
    </sheetView>
  </sheetViews>
  <sheetFormatPr defaultColWidth="9" defaultRowHeight="11.5"/>
  <cols>
    <col min="1" max="16384" width="9" style="76"/>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workbookViewId="0">
      <selection activeCell="F19" sqref="F19:J19"/>
    </sheetView>
  </sheetViews>
  <sheetFormatPr defaultColWidth="11" defaultRowHeight="15.5"/>
  <cols>
    <col min="1" max="1" width="44.6640625" customWidth="1"/>
    <col min="2" max="2" width="4.6640625" customWidth="1"/>
    <col min="3" max="3" width="46.83203125" customWidth="1"/>
    <col min="4" max="4" width="4.1640625" customWidth="1"/>
    <col min="5" max="5" width="45.83203125" customWidth="1"/>
    <col min="6" max="6" width="4.6640625" customWidth="1"/>
    <col min="7" max="7" width="47.83203125" customWidth="1"/>
    <col min="8" max="8" width="4.6640625" customWidth="1"/>
    <col min="9" max="9" width="48.5" customWidth="1"/>
  </cols>
  <sheetData>
    <row r="1" spans="1:9">
      <c r="A1" t="s">
        <v>50</v>
      </c>
      <c r="C1" t="s">
        <v>51</v>
      </c>
      <c r="E1" t="s">
        <v>52</v>
      </c>
      <c r="G1" t="s">
        <v>53</v>
      </c>
      <c r="I1" t="s">
        <v>54</v>
      </c>
    </row>
    <row r="2" spans="1:9">
      <c r="A2" t="s">
        <v>31</v>
      </c>
      <c r="C2" t="s">
        <v>55</v>
      </c>
      <c r="E2" t="s">
        <v>56</v>
      </c>
      <c r="G2" t="s">
        <v>57</v>
      </c>
      <c r="I2" t="s">
        <v>48</v>
      </c>
    </row>
    <row r="3" spans="1:9">
      <c r="A3" t="s">
        <v>58</v>
      </c>
      <c r="C3" t="s">
        <v>59</v>
      </c>
      <c r="E3" t="s">
        <v>37</v>
      </c>
      <c r="G3" t="s">
        <v>60</v>
      </c>
      <c r="I3" t="s">
        <v>61</v>
      </c>
    </row>
    <row r="4" spans="1:9">
      <c r="A4" s="19" t="s">
        <v>62</v>
      </c>
      <c r="E4" t="s">
        <v>63</v>
      </c>
      <c r="G4" t="s">
        <v>40</v>
      </c>
      <c r="I4" t="s">
        <v>64</v>
      </c>
    </row>
    <row r="5" spans="1:9">
      <c r="A5" s="19" t="s">
        <v>33</v>
      </c>
      <c r="E5" t="s">
        <v>65</v>
      </c>
      <c r="G5" t="s">
        <v>43</v>
      </c>
      <c r="I5" t="s">
        <v>66</v>
      </c>
    </row>
    <row r="6" spans="1:9">
      <c r="A6" s="19" t="s">
        <v>67</v>
      </c>
      <c r="E6" t="s">
        <v>68</v>
      </c>
      <c r="G6" t="s">
        <v>59</v>
      </c>
      <c r="I6" s="19" t="s">
        <v>69</v>
      </c>
    </row>
    <row r="7" spans="1:9">
      <c r="A7" s="19" t="s">
        <v>70</v>
      </c>
      <c r="E7" t="s">
        <v>71</v>
      </c>
      <c r="I7" t="s">
        <v>72</v>
      </c>
    </row>
    <row r="8" spans="1:9">
      <c r="A8" s="20" t="s">
        <v>59</v>
      </c>
      <c r="C8" t="s">
        <v>73</v>
      </c>
      <c r="E8" t="s">
        <v>59</v>
      </c>
      <c r="I8" t="s">
        <v>74</v>
      </c>
    </row>
    <row r="9" spans="1:9">
      <c r="C9" s="21" t="s">
        <v>75</v>
      </c>
      <c r="I9" t="s">
        <v>46</v>
      </c>
    </row>
    <row r="10" spans="1:9">
      <c r="C10" s="19" t="s">
        <v>76</v>
      </c>
      <c r="I10" t="s">
        <v>59</v>
      </c>
    </row>
    <row r="11" spans="1:9">
      <c r="C11" s="21" t="s">
        <v>32</v>
      </c>
    </row>
    <row r="12" spans="1:9">
      <c r="A12" t="s">
        <v>73</v>
      </c>
      <c r="C12" s="19" t="s">
        <v>77</v>
      </c>
    </row>
    <row r="13" spans="1:9">
      <c r="A13" s="10" t="s">
        <v>78</v>
      </c>
      <c r="C13" s="19" t="s">
        <v>79</v>
      </c>
    </row>
    <row r="14" spans="1:9">
      <c r="A14" s="21" t="s">
        <v>75</v>
      </c>
      <c r="C14" s="21" t="s">
        <v>80</v>
      </c>
    </row>
    <row r="15" spans="1:9">
      <c r="A15" s="19" t="s">
        <v>76</v>
      </c>
      <c r="C15" s="19" t="s">
        <v>81</v>
      </c>
    </row>
    <row r="16" spans="1:9">
      <c r="A16" s="21" t="s">
        <v>32</v>
      </c>
      <c r="C16" s="21" t="s">
        <v>82</v>
      </c>
    </row>
    <row r="17" spans="1:3">
      <c r="A17" s="19" t="s">
        <v>77</v>
      </c>
      <c r="C17" s="19" t="s">
        <v>34</v>
      </c>
    </row>
    <row r="18" spans="1:3">
      <c r="A18" s="10" t="s">
        <v>58</v>
      </c>
      <c r="C18" s="21" t="s">
        <v>83</v>
      </c>
    </row>
    <row r="19" spans="1:3">
      <c r="A19" s="19" t="s">
        <v>79</v>
      </c>
      <c r="C19" s="19" t="s">
        <v>84</v>
      </c>
    </row>
    <row r="20" spans="1:3">
      <c r="A20" s="21" t="s">
        <v>80</v>
      </c>
      <c r="C20" s="20" t="s">
        <v>85</v>
      </c>
    </row>
    <row r="21" spans="1:3">
      <c r="A21" s="19" t="s">
        <v>81</v>
      </c>
      <c r="C21" s="19" t="s">
        <v>86</v>
      </c>
    </row>
    <row r="22" spans="1:3">
      <c r="A22" s="10" t="s">
        <v>62</v>
      </c>
      <c r="C22" s="20" t="s">
        <v>87</v>
      </c>
    </row>
    <row r="23" spans="1:3">
      <c r="A23" s="21" t="s">
        <v>82</v>
      </c>
      <c r="C23" s="19" t="s">
        <v>88</v>
      </c>
    </row>
    <row r="24" spans="1:3">
      <c r="A24" s="10" t="s">
        <v>33</v>
      </c>
      <c r="C24" s="19" t="s">
        <v>89</v>
      </c>
    </row>
    <row r="25" spans="1:3">
      <c r="A25" s="19" t="s">
        <v>34</v>
      </c>
      <c r="C25" s="19" t="s">
        <v>90</v>
      </c>
    </row>
    <row r="26" spans="1:3">
      <c r="A26" s="10" t="s">
        <v>67</v>
      </c>
      <c r="C26" s="20" t="s">
        <v>91</v>
      </c>
    </row>
    <row r="27" spans="1:3">
      <c r="A27" s="21" t="s">
        <v>83</v>
      </c>
      <c r="C27" s="19" t="s">
        <v>92</v>
      </c>
    </row>
    <row r="28" spans="1:3">
      <c r="A28" s="19" t="s">
        <v>84</v>
      </c>
      <c r="C28" s="19" t="s">
        <v>93</v>
      </c>
    </row>
    <row r="29" spans="1:3">
      <c r="A29" s="10" t="s">
        <v>70</v>
      </c>
      <c r="C29" s="19" t="s">
        <v>94</v>
      </c>
    </row>
    <row r="30" spans="1:3">
      <c r="A30" s="20" t="s">
        <v>85</v>
      </c>
      <c r="C30" s="19" t="s">
        <v>95</v>
      </c>
    </row>
    <row r="31" spans="1:3">
      <c r="A31" s="11" t="s">
        <v>55</v>
      </c>
      <c r="C31" s="19" t="s">
        <v>96</v>
      </c>
    </row>
    <row r="32" spans="1:3">
      <c r="A32" s="19" t="s">
        <v>86</v>
      </c>
      <c r="C32" s="20" t="s">
        <v>97</v>
      </c>
    </row>
    <row r="33" spans="1:3">
      <c r="A33" s="20" t="s">
        <v>87</v>
      </c>
      <c r="C33" s="20" t="s">
        <v>98</v>
      </c>
    </row>
    <row r="34" spans="1:3">
      <c r="A34" s="11" t="s">
        <v>56</v>
      </c>
      <c r="C34" s="19" t="s">
        <v>99</v>
      </c>
    </row>
    <row r="35" spans="1:3">
      <c r="A35" s="19" t="s">
        <v>88</v>
      </c>
      <c r="C35" s="20" t="s">
        <v>100</v>
      </c>
    </row>
    <row r="36" spans="1:3">
      <c r="A36" s="19" t="s">
        <v>89</v>
      </c>
      <c r="C36" s="19" t="s">
        <v>41</v>
      </c>
    </row>
    <row r="37" spans="1:3">
      <c r="A37" s="19" t="s">
        <v>90</v>
      </c>
      <c r="C37" s="132" t="s">
        <v>42</v>
      </c>
    </row>
    <row r="38" spans="1:3">
      <c r="A38" s="20" t="s">
        <v>91</v>
      </c>
      <c r="C38" s="19" t="s">
        <v>44</v>
      </c>
    </row>
    <row r="39" spans="1:3">
      <c r="A39" s="11" t="s">
        <v>37</v>
      </c>
      <c r="C39" s="19" t="s">
        <v>101</v>
      </c>
    </row>
    <row r="40" spans="1:3">
      <c r="A40" s="19" t="s">
        <v>92</v>
      </c>
      <c r="C40" s="20" t="s">
        <v>102</v>
      </c>
    </row>
    <row r="41" spans="1:3">
      <c r="A41" s="19" t="s">
        <v>93</v>
      </c>
      <c r="C41" s="19" t="s">
        <v>103</v>
      </c>
    </row>
    <row r="42" spans="1:3">
      <c r="A42" s="19" t="s">
        <v>94</v>
      </c>
      <c r="C42" s="19" t="s">
        <v>104</v>
      </c>
    </row>
    <row r="43" spans="1:3">
      <c r="A43" s="19" t="s">
        <v>95</v>
      </c>
      <c r="C43" s="19" t="s">
        <v>105</v>
      </c>
    </row>
    <row r="44" spans="1:3">
      <c r="A44" s="19" t="s">
        <v>96</v>
      </c>
      <c r="C44" s="19" t="s">
        <v>106</v>
      </c>
    </row>
    <row r="45" spans="1:3">
      <c r="A45" s="20" t="s">
        <v>97</v>
      </c>
      <c r="C45" s="19" t="s">
        <v>107</v>
      </c>
    </row>
    <row r="46" spans="1:3">
      <c r="A46" s="11" t="s">
        <v>57</v>
      </c>
      <c r="C46" s="19" t="s">
        <v>108</v>
      </c>
    </row>
    <row r="47" spans="1:3">
      <c r="A47" s="20" t="s">
        <v>98</v>
      </c>
      <c r="C47" s="19" t="s">
        <v>109</v>
      </c>
    </row>
    <row r="48" spans="1:3">
      <c r="A48" s="11" t="s">
        <v>60</v>
      </c>
      <c r="C48" s="19" t="s">
        <v>110</v>
      </c>
    </row>
    <row r="49" spans="1:3">
      <c r="A49" s="19" t="s">
        <v>99</v>
      </c>
      <c r="C49" s="19" t="s">
        <v>111</v>
      </c>
    </row>
    <row r="50" spans="1:3">
      <c r="A50" s="20" t="s">
        <v>100</v>
      </c>
      <c r="C50" s="20" t="s">
        <v>38</v>
      </c>
    </row>
    <row r="51" spans="1:3">
      <c r="A51" s="11" t="s">
        <v>40</v>
      </c>
      <c r="C51" s="19" t="s">
        <v>112</v>
      </c>
    </row>
    <row r="52" spans="1:3">
      <c r="A52" s="19" t="s">
        <v>41</v>
      </c>
      <c r="C52" s="19" t="s">
        <v>113</v>
      </c>
    </row>
    <row r="53" spans="1:3">
      <c r="A53" s="20" t="s">
        <v>114</v>
      </c>
      <c r="C53" s="19" t="s">
        <v>115</v>
      </c>
    </row>
    <row r="54" spans="1:3">
      <c r="A54" s="11" t="s">
        <v>43</v>
      </c>
      <c r="C54" s="19" t="s">
        <v>116</v>
      </c>
    </row>
    <row r="55" spans="1:3">
      <c r="A55" s="19" t="s">
        <v>44</v>
      </c>
      <c r="C55" s="19" t="s">
        <v>117</v>
      </c>
    </row>
    <row r="56" spans="1:3">
      <c r="A56" s="19" t="s">
        <v>101</v>
      </c>
      <c r="C56" s="19" t="s">
        <v>118</v>
      </c>
    </row>
    <row r="57" spans="1:3">
      <c r="A57" s="20" t="s">
        <v>102</v>
      </c>
      <c r="C57" s="19" t="s">
        <v>119</v>
      </c>
    </row>
    <row r="58" spans="1:3">
      <c r="A58" s="11" t="s">
        <v>48</v>
      </c>
      <c r="C58" s="19" t="s">
        <v>120</v>
      </c>
    </row>
    <row r="59" spans="1:3">
      <c r="A59" s="19" t="s">
        <v>103</v>
      </c>
      <c r="C59" s="19" t="s">
        <v>121</v>
      </c>
    </row>
    <row r="60" spans="1:3">
      <c r="A60" s="19" t="s">
        <v>104</v>
      </c>
      <c r="C60" s="19" t="s">
        <v>122</v>
      </c>
    </row>
    <row r="61" spans="1:3">
      <c r="A61" s="19" t="s">
        <v>105</v>
      </c>
      <c r="C61" s="19" t="s">
        <v>123</v>
      </c>
    </row>
    <row r="62" spans="1:3">
      <c r="A62" s="19" t="s">
        <v>106</v>
      </c>
      <c r="C62" s="19" t="s">
        <v>124</v>
      </c>
    </row>
    <row r="63" spans="1:3">
      <c r="A63" s="19" t="s">
        <v>107</v>
      </c>
      <c r="C63" s="20" t="s">
        <v>125</v>
      </c>
    </row>
    <row r="64" spans="1:3">
      <c r="A64" s="19" t="s">
        <v>108</v>
      </c>
      <c r="C64" s="20" t="s">
        <v>126</v>
      </c>
    </row>
    <row r="65" spans="1:3">
      <c r="A65" s="19" t="s">
        <v>109</v>
      </c>
      <c r="C65" s="19" t="s">
        <v>127</v>
      </c>
    </row>
    <row r="66" spans="1:3">
      <c r="A66" s="19" t="s">
        <v>110</v>
      </c>
      <c r="C66" s="19" t="s">
        <v>128</v>
      </c>
    </row>
    <row r="67" spans="1:3">
      <c r="A67" s="19" t="s">
        <v>111</v>
      </c>
      <c r="C67" s="20" t="s">
        <v>129</v>
      </c>
    </row>
    <row r="68" spans="1:3">
      <c r="A68" s="20" t="s">
        <v>38</v>
      </c>
      <c r="C68" s="19" t="s">
        <v>130</v>
      </c>
    </row>
    <row r="69" spans="1:3">
      <c r="A69" s="11" t="s">
        <v>61</v>
      </c>
      <c r="C69" s="20" t="s">
        <v>131</v>
      </c>
    </row>
    <row r="70" spans="1:3">
      <c r="A70" s="19" t="s">
        <v>112</v>
      </c>
      <c r="C70" s="20" t="s">
        <v>132</v>
      </c>
    </row>
    <row r="71" spans="1:3">
      <c r="A71" s="19" t="s">
        <v>113</v>
      </c>
      <c r="C71" s="20" t="s">
        <v>133</v>
      </c>
    </row>
    <row r="72" spans="1:3">
      <c r="A72" s="19" t="s">
        <v>115</v>
      </c>
      <c r="C72" s="20" t="s">
        <v>47</v>
      </c>
    </row>
    <row r="73" spans="1:3">
      <c r="A73" s="19" t="s">
        <v>116</v>
      </c>
      <c r="C73" s="15" t="s">
        <v>134</v>
      </c>
    </row>
    <row r="74" spans="1:3">
      <c r="A74" s="19" t="s">
        <v>117</v>
      </c>
    </row>
    <row r="75" spans="1:3">
      <c r="A75" s="19" t="s">
        <v>118</v>
      </c>
    </row>
    <row r="76" spans="1:3">
      <c r="A76" s="19" t="s">
        <v>119</v>
      </c>
    </row>
    <row r="77" spans="1:3">
      <c r="A77" s="19" t="s">
        <v>120</v>
      </c>
    </row>
    <row r="78" spans="1:3">
      <c r="A78" s="19" t="s">
        <v>121</v>
      </c>
    </row>
    <row r="79" spans="1:3">
      <c r="A79" s="19" t="s">
        <v>122</v>
      </c>
    </row>
    <row r="80" spans="1:3">
      <c r="A80" s="19" t="s">
        <v>123</v>
      </c>
    </row>
    <row r="81" spans="1:1">
      <c r="A81" s="19" t="s">
        <v>124</v>
      </c>
    </row>
    <row r="82" spans="1:1">
      <c r="A82" s="20" t="s">
        <v>125</v>
      </c>
    </row>
    <row r="83" spans="1:1">
      <c r="A83" s="11" t="s">
        <v>64</v>
      </c>
    </row>
    <row r="84" spans="1:1">
      <c r="A84" s="20" t="s">
        <v>126</v>
      </c>
    </row>
    <row r="85" spans="1:1">
      <c r="A85" s="11" t="s">
        <v>66</v>
      </c>
    </row>
    <row r="86" spans="1:1">
      <c r="A86" s="19" t="s">
        <v>127</v>
      </c>
    </row>
    <row r="87" spans="1:1">
      <c r="A87" s="19" t="s">
        <v>128</v>
      </c>
    </row>
    <row r="88" spans="1:1">
      <c r="A88" s="20" t="s">
        <v>129</v>
      </c>
    </row>
    <row r="89" spans="1:1">
      <c r="A89" s="11" t="s">
        <v>69</v>
      </c>
    </row>
    <row r="90" spans="1:1">
      <c r="A90" s="19" t="s">
        <v>130</v>
      </c>
    </row>
    <row r="91" spans="1:1">
      <c r="A91" s="20" t="s">
        <v>131</v>
      </c>
    </row>
    <row r="92" spans="1:1">
      <c r="A92" s="11" t="s">
        <v>72</v>
      </c>
    </row>
    <row r="93" spans="1:1">
      <c r="A93" s="20" t="s">
        <v>132</v>
      </c>
    </row>
    <row r="94" spans="1:1">
      <c r="A94" s="11" t="s">
        <v>74</v>
      </c>
    </row>
    <row r="95" spans="1:1">
      <c r="A95" s="20" t="s">
        <v>133</v>
      </c>
    </row>
    <row r="96" spans="1:1">
      <c r="A96" s="11" t="s">
        <v>46</v>
      </c>
    </row>
    <row r="97" spans="1:1">
      <c r="A97" s="20" t="s">
        <v>47</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E35F6-CDAC-4961-AA1D-17F089CB12E2}">
  <sheetPr codeName="Sheet3"/>
  <dimension ref="A1:N365"/>
  <sheetViews>
    <sheetView topLeftCell="D73" zoomScaleNormal="100" workbookViewId="0">
      <selection activeCell="F19" sqref="F19:J19"/>
    </sheetView>
  </sheetViews>
  <sheetFormatPr defaultRowHeight="12.5"/>
  <cols>
    <col min="1" max="1" width="28.1640625" style="149" hidden="1" customWidth="1"/>
    <col min="2" max="3" width="11.25" style="149" hidden="1" customWidth="1"/>
    <col min="4" max="4" width="39.83203125" style="26" customWidth="1"/>
    <col min="5" max="5" width="8.75" style="26" bestFit="1" customWidth="1"/>
    <col min="6" max="10" width="13.1640625" style="26" customWidth="1"/>
    <col min="11" max="11" width="3.1640625" style="26" customWidth="1"/>
    <col min="12" max="12" width="100.1640625" style="26" customWidth="1"/>
    <col min="13" max="13" width="2.25" style="26" customWidth="1"/>
    <col min="14" max="256" width="9" style="149"/>
    <col min="257" max="259" width="0" style="149" hidden="1" customWidth="1"/>
    <col min="260" max="260" width="39.83203125" style="149" customWidth="1"/>
    <col min="261" max="261" width="8.75" style="149" bestFit="1" customWidth="1"/>
    <col min="262" max="266" width="13.1640625" style="149" customWidth="1"/>
    <col min="267" max="267" width="3.1640625" style="149" customWidth="1"/>
    <col min="268" max="268" width="100.1640625" style="149" customWidth="1"/>
    <col min="269" max="269" width="2.25" style="149" customWidth="1"/>
    <col min="270" max="512" width="9" style="149"/>
    <col min="513" max="515" width="0" style="149" hidden="1" customWidth="1"/>
    <col min="516" max="516" width="39.83203125" style="149" customWidth="1"/>
    <col min="517" max="517" width="8.75" style="149" bestFit="1" customWidth="1"/>
    <col min="518" max="522" width="13.1640625" style="149" customWidth="1"/>
    <col min="523" max="523" width="3.1640625" style="149" customWidth="1"/>
    <col min="524" max="524" width="100.1640625" style="149" customWidth="1"/>
    <col min="525" max="525" width="2.25" style="149" customWidth="1"/>
    <col min="526" max="768" width="9" style="149"/>
    <col min="769" max="771" width="0" style="149" hidden="1" customWidth="1"/>
    <col min="772" max="772" width="39.83203125" style="149" customWidth="1"/>
    <col min="773" max="773" width="8.75" style="149" bestFit="1" customWidth="1"/>
    <col min="774" max="778" width="13.1640625" style="149" customWidth="1"/>
    <col min="779" max="779" width="3.1640625" style="149" customWidth="1"/>
    <col min="780" max="780" width="100.1640625" style="149" customWidth="1"/>
    <col min="781" max="781" width="2.25" style="149" customWidth="1"/>
    <col min="782" max="1024" width="9" style="149"/>
    <col min="1025" max="1027" width="0" style="149" hidden="1" customWidth="1"/>
    <col min="1028" max="1028" width="39.83203125" style="149" customWidth="1"/>
    <col min="1029" max="1029" width="8.75" style="149" bestFit="1" customWidth="1"/>
    <col min="1030" max="1034" width="13.1640625" style="149" customWidth="1"/>
    <col min="1035" max="1035" width="3.1640625" style="149" customWidth="1"/>
    <col min="1036" max="1036" width="100.1640625" style="149" customWidth="1"/>
    <col min="1037" max="1037" width="2.25" style="149" customWidth="1"/>
    <col min="1038" max="1280" width="9" style="149"/>
    <col min="1281" max="1283" width="0" style="149" hidden="1" customWidth="1"/>
    <col min="1284" max="1284" width="39.83203125" style="149" customWidth="1"/>
    <col min="1285" max="1285" width="8.75" style="149" bestFit="1" customWidth="1"/>
    <col min="1286" max="1290" width="13.1640625" style="149" customWidth="1"/>
    <col min="1291" max="1291" width="3.1640625" style="149" customWidth="1"/>
    <col min="1292" max="1292" width="100.1640625" style="149" customWidth="1"/>
    <col min="1293" max="1293" width="2.25" style="149" customWidth="1"/>
    <col min="1294" max="1536" width="9" style="149"/>
    <col min="1537" max="1539" width="0" style="149" hidden="1" customWidth="1"/>
    <col min="1540" max="1540" width="39.83203125" style="149" customWidth="1"/>
    <col min="1541" max="1541" width="8.75" style="149" bestFit="1" customWidth="1"/>
    <col min="1542" max="1546" width="13.1640625" style="149" customWidth="1"/>
    <col min="1547" max="1547" width="3.1640625" style="149" customWidth="1"/>
    <col min="1548" max="1548" width="100.1640625" style="149" customWidth="1"/>
    <col min="1549" max="1549" width="2.25" style="149" customWidth="1"/>
    <col min="1550" max="1792" width="9" style="149"/>
    <col min="1793" max="1795" width="0" style="149" hidden="1" customWidth="1"/>
    <col min="1796" max="1796" width="39.83203125" style="149" customWidth="1"/>
    <col min="1797" max="1797" width="8.75" style="149" bestFit="1" customWidth="1"/>
    <col min="1798" max="1802" width="13.1640625" style="149" customWidth="1"/>
    <col min="1803" max="1803" width="3.1640625" style="149" customWidth="1"/>
    <col min="1804" max="1804" width="100.1640625" style="149" customWidth="1"/>
    <col min="1805" max="1805" width="2.25" style="149" customWidth="1"/>
    <col min="1806" max="2048" width="9" style="149"/>
    <col min="2049" max="2051" width="0" style="149" hidden="1" customWidth="1"/>
    <col min="2052" max="2052" width="39.83203125" style="149" customWidth="1"/>
    <col min="2053" max="2053" width="8.75" style="149" bestFit="1" customWidth="1"/>
    <col min="2054" max="2058" width="13.1640625" style="149" customWidth="1"/>
    <col min="2059" max="2059" width="3.1640625" style="149" customWidth="1"/>
    <col min="2060" max="2060" width="100.1640625" style="149" customWidth="1"/>
    <col min="2061" max="2061" width="2.25" style="149" customWidth="1"/>
    <col min="2062" max="2304" width="9" style="149"/>
    <col min="2305" max="2307" width="0" style="149" hidden="1" customWidth="1"/>
    <col min="2308" max="2308" width="39.83203125" style="149" customWidth="1"/>
    <col min="2309" max="2309" width="8.75" style="149" bestFit="1" customWidth="1"/>
    <col min="2310" max="2314" width="13.1640625" style="149" customWidth="1"/>
    <col min="2315" max="2315" width="3.1640625" style="149" customWidth="1"/>
    <col min="2316" max="2316" width="100.1640625" style="149" customWidth="1"/>
    <col min="2317" max="2317" width="2.25" style="149" customWidth="1"/>
    <col min="2318" max="2560" width="9" style="149"/>
    <col min="2561" max="2563" width="0" style="149" hidden="1" customWidth="1"/>
    <col min="2564" max="2564" width="39.83203125" style="149" customWidth="1"/>
    <col min="2565" max="2565" width="8.75" style="149" bestFit="1" customWidth="1"/>
    <col min="2566" max="2570" width="13.1640625" style="149" customWidth="1"/>
    <col min="2571" max="2571" width="3.1640625" style="149" customWidth="1"/>
    <col min="2572" max="2572" width="100.1640625" style="149" customWidth="1"/>
    <col min="2573" max="2573" width="2.25" style="149" customWidth="1"/>
    <col min="2574" max="2816" width="9" style="149"/>
    <col min="2817" max="2819" width="0" style="149" hidden="1" customWidth="1"/>
    <col min="2820" max="2820" width="39.83203125" style="149" customWidth="1"/>
    <col min="2821" max="2821" width="8.75" style="149" bestFit="1" customWidth="1"/>
    <col min="2822" max="2826" width="13.1640625" style="149" customWidth="1"/>
    <col min="2827" max="2827" width="3.1640625" style="149" customWidth="1"/>
    <col min="2828" max="2828" width="100.1640625" style="149" customWidth="1"/>
    <col min="2829" max="2829" width="2.25" style="149" customWidth="1"/>
    <col min="2830" max="3072" width="9" style="149"/>
    <col min="3073" max="3075" width="0" style="149" hidden="1" customWidth="1"/>
    <col min="3076" max="3076" width="39.83203125" style="149" customWidth="1"/>
    <col min="3077" max="3077" width="8.75" style="149" bestFit="1" customWidth="1"/>
    <col min="3078" max="3082" width="13.1640625" style="149" customWidth="1"/>
    <col min="3083" max="3083" width="3.1640625" style="149" customWidth="1"/>
    <col min="3084" max="3084" width="100.1640625" style="149" customWidth="1"/>
    <col min="3085" max="3085" width="2.25" style="149" customWidth="1"/>
    <col min="3086" max="3328" width="9" style="149"/>
    <col min="3329" max="3331" width="0" style="149" hidden="1" customWidth="1"/>
    <col min="3332" max="3332" width="39.83203125" style="149" customWidth="1"/>
    <col min="3333" max="3333" width="8.75" style="149" bestFit="1" customWidth="1"/>
    <col min="3334" max="3338" width="13.1640625" style="149" customWidth="1"/>
    <col min="3339" max="3339" width="3.1640625" style="149" customWidth="1"/>
    <col min="3340" max="3340" width="100.1640625" style="149" customWidth="1"/>
    <col min="3341" max="3341" width="2.25" style="149" customWidth="1"/>
    <col min="3342" max="3584" width="9" style="149"/>
    <col min="3585" max="3587" width="0" style="149" hidden="1" customWidth="1"/>
    <col min="3588" max="3588" width="39.83203125" style="149" customWidth="1"/>
    <col min="3589" max="3589" width="8.75" style="149" bestFit="1" customWidth="1"/>
    <col min="3590" max="3594" width="13.1640625" style="149" customWidth="1"/>
    <col min="3595" max="3595" width="3.1640625" style="149" customWidth="1"/>
    <col min="3596" max="3596" width="100.1640625" style="149" customWidth="1"/>
    <col min="3597" max="3597" width="2.25" style="149" customWidth="1"/>
    <col min="3598" max="3840" width="9" style="149"/>
    <col min="3841" max="3843" width="0" style="149" hidden="1" customWidth="1"/>
    <col min="3844" max="3844" width="39.83203125" style="149" customWidth="1"/>
    <col min="3845" max="3845" width="8.75" style="149" bestFit="1" customWidth="1"/>
    <col min="3846" max="3850" width="13.1640625" style="149" customWidth="1"/>
    <col min="3851" max="3851" width="3.1640625" style="149" customWidth="1"/>
    <col min="3852" max="3852" width="100.1640625" style="149" customWidth="1"/>
    <col min="3853" max="3853" width="2.25" style="149" customWidth="1"/>
    <col min="3854" max="4096" width="9" style="149"/>
    <col min="4097" max="4099" width="0" style="149" hidden="1" customWidth="1"/>
    <col min="4100" max="4100" width="39.83203125" style="149" customWidth="1"/>
    <col min="4101" max="4101" width="8.75" style="149" bestFit="1" customWidth="1"/>
    <col min="4102" max="4106" width="13.1640625" style="149" customWidth="1"/>
    <col min="4107" max="4107" width="3.1640625" style="149" customWidth="1"/>
    <col min="4108" max="4108" width="100.1640625" style="149" customWidth="1"/>
    <col min="4109" max="4109" width="2.25" style="149" customWidth="1"/>
    <col min="4110" max="4352" width="9" style="149"/>
    <col min="4353" max="4355" width="0" style="149" hidden="1" customWidth="1"/>
    <col min="4356" max="4356" width="39.83203125" style="149" customWidth="1"/>
    <col min="4357" max="4357" width="8.75" style="149" bestFit="1" customWidth="1"/>
    <col min="4358" max="4362" width="13.1640625" style="149" customWidth="1"/>
    <col min="4363" max="4363" width="3.1640625" style="149" customWidth="1"/>
    <col min="4364" max="4364" width="100.1640625" style="149" customWidth="1"/>
    <col min="4365" max="4365" width="2.25" style="149" customWidth="1"/>
    <col min="4366" max="4608" width="9" style="149"/>
    <col min="4609" max="4611" width="0" style="149" hidden="1" customWidth="1"/>
    <col min="4612" max="4612" width="39.83203125" style="149" customWidth="1"/>
    <col min="4613" max="4613" width="8.75" style="149" bestFit="1" customWidth="1"/>
    <col min="4614" max="4618" width="13.1640625" style="149" customWidth="1"/>
    <col min="4619" max="4619" width="3.1640625" style="149" customWidth="1"/>
    <col min="4620" max="4620" width="100.1640625" style="149" customWidth="1"/>
    <col min="4621" max="4621" width="2.25" style="149" customWidth="1"/>
    <col min="4622" max="4864" width="9" style="149"/>
    <col min="4865" max="4867" width="0" style="149" hidden="1" customWidth="1"/>
    <col min="4868" max="4868" width="39.83203125" style="149" customWidth="1"/>
    <col min="4869" max="4869" width="8.75" style="149" bestFit="1" customWidth="1"/>
    <col min="4870" max="4874" width="13.1640625" style="149" customWidth="1"/>
    <col min="4875" max="4875" width="3.1640625" style="149" customWidth="1"/>
    <col min="4876" max="4876" width="100.1640625" style="149" customWidth="1"/>
    <col min="4877" max="4877" width="2.25" style="149" customWidth="1"/>
    <col min="4878" max="5120" width="9" style="149"/>
    <col min="5121" max="5123" width="0" style="149" hidden="1" customWidth="1"/>
    <col min="5124" max="5124" width="39.83203125" style="149" customWidth="1"/>
    <col min="5125" max="5125" width="8.75" style="149" bestFit="1" customWidth="1"/>
    <col min="5126" max="5130" width="13.1640625" style="149" customWidth="1"/>
    <col min="5131" max="5131" width="3.1640625" style="149" customWidth="1"/>
    <col min="5132" max="5132" width="100.1640625" style="149" customWidth="1"/>
    <col min="5133" max="5133" width="2.25" style="149" customWidth="1"/>
    <col min="5134" max="5376" width="9" style="149"/>
    <col min="5377" max="5379" width="0" style="149" hidden="1" customWidth="1"/>
    <col min="5380" max="5380" width="39.83203125" style="149" customWidth="1"/>
    <col min="5381" max="5381" width="8.75" style="149" bestFit="1" customWidth="1"/>
    <col min="5382" max="5386" width="13.1640625" style="149" customWidth="1"/>
    <col min="5387" max="5387" width="3.1640625" style="149" customWidth="1"/>
    <col min="5388" max="5388" width="100.1640625" style="149" customWidth="1"/>
    <col min="5389" max="5389" width="2.25" style="149" customWidth="1"/>
    <col min="5390" max="5632" width="9" style="149"/>
    <col min="5633" max="5635" width="0" style="149" hidden="1" customWidth="1"/>
    <col min="5636" max="5636" width="39.83203125" style="149" customWidth="1"/>
    <col min="5637" max="5637" width="8.75" style="149" bestFit="1" customWidth="1"/>
    <col min="5638" max="5642" width="13.1640625" style="149" customWidth="1"/>
    <col min="5643" max="5643" width="3.1640625" style="149" customWidth="1"/>
    <col min="5644" max="5644" width="100.1640625" style="149" customWidth="1"/>
    <col min="5645" max="5645" width="2.25" style="149" customWidth="1"/>
    <col min="5646" max="5888" width="9" style="149"/>
    <col min="5889" max="5891" width="0" style="149" hidden="1" customWidth="1"/>
    <col min="5892" max="5892" width="39.83203125" style="149" customWidth="1"/>
    <col min="5893" max="5893" width="8.75" style="149" bestFit="1" customWidth="1"/>
    <col min="5894" max="5898" width="13.1640625" style="149" customWidth="1"/>
    <col min="5899" max="5899" width="3.1640625" style="149" customWidth="1"/>
    <col min="5900" max="5900" width="100.1640625" style="149" customWidth="1"/>
    <col min="5901" max="5901" width="2.25" style="149" customWidth="1"/>
    <col min="5902" max="6144" width="9" style="149"/>
    <col min="6145" max="6147" width="0" style="149" hidden="1" customWidth="1"/>
    <col min="6148" max="6148" width="39.83203125" style="149" customWidth="1"/>
    <col min="6149" max="6149" width="8.75" style="149" bestFit="1" customWidth="1"/>
    <col min="6150" max="6154" width="13.1640625" style="149" customWidth="1"/>
    <col min="6155" max="6155" width="3.1640625" style="149" customWidth="1"/>
    <col min="6156" max="6156" width="100.1640625" style="149" customWidth="1"/>
    <col min="6157" max="6157" width="2.25" style="149" customWidth="1"/>
    <col min="6158" max="6400" width="9" style="149"/>
    <col min="6401" max="6403" width="0" style="149" hidden="1" customWidth="1"/>
    <col min="6404" max="6404" width="39.83203125" style="149" customWidth="1"/>
    <col min="6405" max="6405" width="8.75" style="149" bestFit="1" customWidth="1"/>
    <col min="6406" max="6410" width="13.1640625" style="149" customWidth="1"/>
    <col min="6411" max="6411" width="3.1640625" style="149" customWidth="1"/>
    <col min="6412" max="6412" width="100.1640625" style="149" customWidth="1"/>
    <col min="6413" max="6413" width="2.25" style="149" customWidth="1"/>
    <col min="6414" max="6656" width="9" style="149"/>
    <col min="6657" max="6659" width="0" style="149" hidden="1" customWidth="1"/>
    <col min="6660" max="6660" width="39.83203125" style="149" customWidth="1"/>
    <col min="6661" max="6661" width="8.75" style="149" bestFit="1" customWidth="1"/>
    <col min="6662" max="6666" width="13.1640625" style="149" customWidth="1"/>
    <col min="6667" max="6667" width="3.1640625" style="149" customWidth="1"/>
    <col min="6668" max="6668" width="100.1640625" style="149" customWidth="1"/>
    <col min="6669" max="6669" width="2.25" style="149" customWidth="1"/>
    <col min="6670" max="6912" width="9" style="149"/>
    <col min="6913" max="6915" width="0" style="149" hidden="1" customWidth="1"/>
    <col min="6916" max="6916" width="39.83203125" style="149" customWidth="1"/>
    <col min="6917" max="6917" width="8.75" style="149" bestFit="1" customWidth="1"/>
    <col min="6918" max="6922" width="13.1640625" style="149" customWidth="1"/>
    <col min="6923" max="6923" width="3.1640625" style="149" customWidth="1"/>
    <col min="6924" max="6924" width="100.1640625" style="149" customWidth="1"/>
    <col min="6925" max="6925" width="2.25" style="149" customWidth="1"/>
    <col min="6926" max="7168" width="9" style="149"/>
    <col min="7169" max="7171" width="0" style="149" hidden="1" customWidth="1"/>
    <col min="7172" max="7172" width="39.83203125" style="149" customWidth="1"/>
    <col min="7173" max="7173" width="8.75" style="149" bestFit="1" customWidth="1"/>
    <col min="7174" max="7178" width="13.1640625" style="149" customWidth="1"/>
    <col min="7179" max="7179" width="3.1640625" style="149" customWidth="1"/>
    <col min="7180" max="7180" width="100.1640625" style="149" customWidth="1"/>
    <col min="7181" max="7181" width="2.25" style="149" customWidth="1"/>
    <col min="7182" max="7424" width="9" style="149"/>
    <col min="7425" max="7427" width="0" style="149" hidden="1" customWidth="1"/>
    <col min="7428" max="7428" width="39.83203125" style="149" customWidth="1"/>
    <col min="7429" max="7429" width="8.75" style="149" bestFit="1" customWidth="1"/>
    <col min="7430" max="7434" width="13.1640625" style="149" customWidth="1"/>
    <col min="7435" max="7435" width="3.1640625" style="149" customWidth="1"/>
    <col min="7436" max="7436" width="100.1640625" style="149" customWidth="1"/>
    <col min="7437" max="7437" width="2.25" style="149" customWidth="1"/>
    <col min="7438" max="7680" width="9" style="149"/>
    <col min="7681" max="7683" width="0" style="149" hidden="1" customWidth="1"/>
    <col min="7684" max="7684" width="39.83203125" style="149" customWidth="1"/>
    <col min="7685" max="7685" width="8.75" style="149" bestFit="1" customWidth="1"/>
    <col min="7686" max="7690" width="13.1640625" style="149" customWidth="1"/>
    <col min="7691" max="7691" width="3.1640625" style="149" customWidth="1"/>
    <col min="7692" max="7692" width="100.1640625" style="149" customWidth="1"/>
    <col min="7693" max="7693" width="2.25" style="149" customWidth="1"/>
    <col min="7694" max="7936" width="9" style="149"/>
    <col min="7937" max="7939" width="0" style="149" hidden="1" customWidth="1"/>
    <col min="7940" max="7940" width="39.83203125" style="149" customWidth="1"/>
    <col min="7941" max="7941" width="8.75" style="149" bestFit="1" customWidth="1"/>
    <col min="7942" max="7946" width="13.1640625" style="149" customWidth="1"/>
    <col min="7947" max="7947" width="3.1640625" style="149" customWidth="1"/>
    <col min="7948" max="7948" width="100.1640625" style="149" customWidth="1"/>
    <col min="7949" max="7949" width="2.25" style="149" customWidth="1"/>
    <col min="7950" max="8192" width="9" style="149"/>
    <col min="8193" max="8195" width="0" style="149" hidden="1" customWidth="1"/>
    <col min="8196" max="8196" width="39.83203125" style="149" customWidth="1"/>
    <col min="8197" max="8197" width="8.75" style="149" bestFit="1" customWidth="1"/>
    <col min="8198" max="8202" width="13.1640625" style="149" customWidth="1"/>
    <col min="8203" max="8203" width="3.1640625" style="149" customWidth="1"/>
    <col min="8204" max="8204" width="100.1640625" style="149" customWidth="1"/>
    <col min="8205" max="8205" width="2.25" style="149" customWidth="1"/>
    <col min="8206" max="8448" width="9" style="149"/>
    <col min="8449" max="8451" width="0" style="149" hidden="1" customWidth="1"/>
    <col min="8452" max="8452" width="39.83203125" style="149" customWidth="1"/>
    <col min="8453" max="8453" width="8.75" style="149" bestFit="1" customWidth="1"/>
    <col min="8454" max="8458" width="13.1640625" style="149" customWidth="1"/>
    <col min="8459" max="8459" width="3.1640625" style="149" customWidth="1"/>
    <col min="8460" max="8460" width="100.1640625" style="149" customWidth="1"/>
    <col min="8461" max="8461" width="2.25" style="149" customWidth="1"/>
    <col min="8462" max="8704" width="9" style="149"/>
    <col min="8705" max="8707" width="0" style="149" hidden="1" customWidth="1"/>
    <col min="8708" max="8708" width="39.83203125" style="149" customWidth="1"/>
    <col min="8709" max="8709" width="8.75" style="149" bestFit="1" customWidth="1"/>
    <col min="8710" max="8714" width="13.1640625" style="149" customWidth="1"/>
    <col min="8715" max="8715" width="3.1640625" style="149" customWidth="1"/>
    <col min="8716" max="8716" width="100.1640625" style="149" customWidth="1"/>
    <col min="8717" max="8717" width="2.25" style="149" customWidth="1"/>
    <col min="8718" max="8960" width="9" style="149"/>
    <col min="8961" max="8963" width="0" style="149" hidden="1" customWidth="1"/>
    <col min="8964" max="8964" width="39.83203125" style="149" customWidth="1"/>
    <col min="8965" max="8965" width="8.75" style="149" bestFit="1" customWidth="1"/>
    <col min="8966" max="8970" width="13.1640625" style="149" customWidth="1"/>
    <col min="8971" max="8971" width="3.1640625" style="149" customWidth="1"/>
    <col min="8972" max="8972" width="100.1640625" style="149" customWidth="1"/>
    <col min="8973" max="8973" width="2.25" style="149" customWidth="1"/>
    <col min="8974" max="9216" width="9" style="149"/>
    <col min="9217" max="9219" width="0" style="149" hidden="1" customWidth="1"/>
    <col min="9220" max="9220" width="39.83203125" style="149" customWidth="1"/>
    <col min="9221" max="9221" width="8.75" style="149" bestFit="1" customWidth="1"/>
    <col min="9222" max="9226" width="13.1640625" style="149" customWidth="1"/>
    <col min="9227" max="9227" width="3.1640625" style="149" customWidth="1"/>
    <col min="9228" max="9228" width="100.1640625" style="149" customWidth="1"/>
    <col min="9229" max="9229" width="2.25" style="149" customWidth="1"/>
    <col min="9230" max="9472" width="9" style="149"/>
    <col min="9473" max="9475" width="0" style="149" hidden="1" customWidth="1"/>
    <col min="9476" max="9476" width="39.83203125" style="149" customWidth="1"/>
    <col min="9477" max="9477" width="8.75" style="149" bestFit="1" customWidth="1"/>
    <col min="9478" max="9482" width="13.1640625" style="149" customWidth="1"/>
    <col min="9483" max="9483" width="3.1640625" style="149" customWidth="1"/>
    <col min="9484" max="9484" width="100.1640625" style="149" customWidth="1"/>
    <col min="9485" max="9485" width="2.25" style="149" customWidth="1"/>
    <col min="9486" max="9728" width="9" style="149"/>
    <col min="9729" max="9731" width="0" style="149" hidden="1" customWidth="1"/>
    <col min="9732" max="9732" width="39.83203125" style="149" customWidth="1"/>
    <col min="9733" max="9733" width="8.75" style="149" bestFit="1" customWidth="1"/>
    <col min="9734" max="9738" width="13.1640625" style="149" customWidth="1"/>
    <col min="9739" max="9739" width="3.1640625" style="149" customWidth="1"/>
    <col min="9740" max="9740" width="100.1640625" style="149" customWidth="1"/>
    <col min="9741" max="9741" width="2.25" style="149" customWidth="1"/>
    <col min="9742" max="9984" width="9" style="149"/>
    <col min="9985" max="9987" width="0" style="149" hidden="1" customWidth="1"/>
    <col min="9988" max="9988" width="39.83203125" style="149" customWidth="1"/>
    <col min="9989" max="9989" width="8.75" style="149" bestFit="1" customWidth="1"/>
    <col min="9990" max="9994" width="13.1640625" style="149" customWidth="1"/>
    <col min="9995" max="9995" width="3.1640625" style="149" customWidth="1"/>
    <col min="9996" max="9996" width="100.1640625" style="149" customWidth="1"/>
    <col min="9997" max="9997" width="2.25" style="149" customWidth="1"/>
    <col min="9998" max="10240" width="9" style="149"/>
    <col min="10241" max="10243" width="0" style="149" hidden="1" customWidth="1"/>
    <col min="10244" max="10244" width="39.83203125" style="149" customWidth="1"/>
    <col min="10245" max="10245" width="8.75" style="149" bestFit="1" customWidth="1"/>
    <col min="10246" max="10250" width="13.1640625" style="149" customWidth="1"/>
    <col min="10251" max="10251" width="3.1640625" style="149" customWidth="1"/>
    <col min="10252" max="10252" width="100.1640625" style="149" customWidth="1"/>
    <col min="10253" max="10253" width="2.25" style="149" customWidth="1"/>
    <col min="10254" max="10496" width="9" style="149"/>
    <col min="10497" max="10499" width="0" style="149" hidden="1" customWidth="1"/>
    <col min="10500" max="10500" width="39.83203125" style="149" customWidth="1"/>
    <col min="10501" max="10501" width="8.75" style="149" bestFit="1" customWidth="1"/>
    <col min="10502" max="10506" width="13.1640625" style="149" customWidth="1"/>
    <col min="10507" max="10507" width="3.1640625" style="149" customWidth="1"/>
    <col min="10508" max="10508" width="100.1640625" style="149" customWidth="1"/>
    <col min="10509" max="10509" width="2.25" style="149" customWidth="1"/>
    <col min="10510" max="10752" width="9" style="149"/>
    <col min="10753" max="10755" width="0" style="149" hidden="1" customWidth="1"/>
    <col min="10756" max="10756" width="39.83203125" style="149" customWidth="1"/>
    <col min="10757" max="10757" width="8.75" style="149" bestFit="1" customWidth="1"/>
    <col min="10758" max="10762" width="13.1640625" style="149" customWidth="1"/>
    <col min="10763" max="10763" width="3.1640625" style="149" customWidth="1"/>
    <col min="10764" max="10764" width="100.1640625" style="149" customWidth="1"/>
    <col min="10765" max="10765" width="2.25" style="149" customWidth="1"/>
    <col min="10766" max="11008" width="9" style="149"/>
    <col min="11009" max="11011" width="0" style="149" hidden="1" customWidth="1"/>
    <col min="11012" max="11012" width="39.83203125" style="149" customWidth="1"/>
    <col min="11013" max="11013" width="8.75" style="149" bestFit="1" customWidth="1"/>
    <col min="11014" max="11018" width="13.1640625" style="149" customWidth="1"/>
    <col min="11019" max="11019" width="3.1640625" style="149" customWidth="1"/>
    <col min="11020" max="11020" width="100.1640625" style="149" customWidth="1"/>
    <col min="11021" max="11021" width="2.25" style="149" customWidth="1"/>
    <col min="11022" max="11264" width="9" style="149"/>
    <col min="11265" max="11267" width="0" style="149" hidden="1" customWidth="1"/>
    <col min="11268" max="11268" width="39.83203125" style="149" customWidth="1"/>
    <col min="11269" max="11269" width="8.75" style="149" bestFit="1" customWidth="1"/>
    <col min="11270" max="11274" width="13.1640625" style="149" customWidth="1"/>
    <col min="11275" max="11275" width="3.1640625" style="149" customWidth="1"/>
    <col min="11276" max="11276" width="100.1640625" style="149" customWidth="1"/>
    <col min="11277" max="11277" width="2.25" style="149" customWidth="1"/>
    <col min="11278" max="11520" width="9" style="149"/>
    <col min="11521" max="11523" width="0" style="149" hidden="1" customWidth="1"/>
    <col min="11524" max="11524" width="39.83203125" style="149" customWidth="1"/>
    <col min="11525" max="11525" width="8.75" style="149" bestFit="1" customWidth="1"/>
    <col min="11526" max="11530" width="13.1640625" style="149" customWidth="1"/>
    <col min="11531" max="11531" width="3.1640625" style="149" customWidth="1"/>
    <col min="11532" max="11532" width="100.1640625" style="149" customWidth="1"/>
    <col min="11533" max="11533" width="2.25" style="149" customWidth="1"/>
    <col min="11534" max="11776" width="9" style="149"/>
    <col min="11777" max="11779" width="0" style="149" hidden="1" customWidth="1"/>
    <col min="11780" max="11780" width="39.83203125" style="149" customWidth="1"/>
    <col min="11781" max="11781" width="8.75" style="149" bestFit="1" customWidth="1"/>
    <col min="11782" max="11786" width="13.1640625" style="149" customWidth="1"/>
    <col min="11787" max="11787" width="3.1640625" style="149" customWidth="1"/>
    <col min="11788" max="11788" width="100.1640625" style="149" customWidth="1"/>
    <col min="11789" max="11789" width="2.25" style="149" customWidth="1"/>
    <col min="11790" max="12032" width="9" style="149"/>
    <col min="12033" max="12035" width="0" style="149" hidden="1" customWidth="1"/>
    <col min="12036" max="12036" width="39.83203125" style="149" customWidth="1"/>
    <col min="12037" max="12037" width="8.75" style="149" bestFit="1" customWidth="1"/>
    <col min="12038" max="12042" width="13.1640625" style="149" customWidth="1"/>
    <col min="12043" max="12043" width="3.1640625" style="149" customWidth="1"/>
    <col min="12044" max="12044" width="100.1640625" style="149" customWidth="1"/>
    <col min="12045" max="12045" width="2.25" style="149" customWidth="1"/>
    <col min="12046" max="12288" width="9" style="149"/>
    <col min="12289" max="12291" width="0" style="149" hidden="1" customWidth="1"/>
    <col min="12292" max="12292" width="39.83203125" style="149" customWidth="1"/>
    <col min="12293" max="12293" width="8.75" style="149" bestFit="1" customWidth="1"/>
    <col min="12294" max="12298" width="13.1640625" style="149" customWidth="1"/>
    <col min="12299" max="12299" width="3.1640625" style="149" customWidth="1"/>
    <col min="12300" max="12300" width="100.1640625" style="149" customWidth="1"/>
    <col min="12301" max="12301" width="2.25" style="149" customWidth="1"/>
    <col min="12302" max="12544" width="9" style="149"/>
    <col min="12545" max="12547" width="0" style="149" hidden="1" customWidth="1"/>
    <col min="12548" max="12548" width="39.83203125" style="149" customWidth="1"/>
    <col min="12549" max="12549" width="8.75" style="149" bestFit="1" customWidth="1"/>
    <col min="12550" max="12554" width="13.1640625" style="149" customWidth="1"/>
    <col min="12555" max="12555" width="3.1640625" style="149" customWidth="1"/>
    <col min="12556" max="12556" width="100.1640625" style="149" customWidth="1"/>
    <col min="12557" max="12557" width="2.25" style="149" customWidth="1"/>
    <col min="12558" max="12800" width="9" style="149"/>
    <col min="12801" max="12803" width="0" style="149" hidden="1" customWidth="1"/>
    <col min="12804" max="12804" width="39.83203125" style="149" customWidth="1"/>
    <col min="12805" max="12805" width="8.75" style="149" bestFit="1" customWidth="1"/>
    <col min="12806" max="12810" width="13.1640625" style="149" customWidth="1"/>
    <col min="12811" max="12811" width="3.1640625" style="149" customWidth="1"/>
    <col min="12812" max="12812" width="100.1640625" style="149" customWidth="1"/>
    <col min="12813" max="12813" width="2.25" style="149" customWidth="1"/>
    <col min="12814" max="13056" width="9" style="149"/>
    <col min="13057" max="13059" width="0" style="149" hidden="1" customWidth="1"/>
    <col min="13060" max="13060" width="39.83203125" style="149" customWidth="1"/>
    <col min="13061" max="13061" width="8.75" style="149" bestFit="1" customWidth="1"/>
    <col min="13062" max="13066" width="13.1640625" style="149" customWidth="1"/>
    <col min="13067" max="13067" width="3.1640625" style="149" customWidth="1"/>
    <col min="13068" max="13068" width="100.1640625" style="149" customWidth="1"/>
    <col min="13069" max="13069" width="2.25" style="149" customWidth="1"/>
    <col min="13070" max="13312" width="9" style="149"/>
    <col min="13313" max="13315" width="0" style="149" hidden="1" customWidth="1"/>
    <col min="13316" max="13316" width="39.83203125" style="149" customWidth="1"/>
    <col min="13317" max="13317" width="8.75" style="149" bestFit="1" customWidth="1"/>
    <col min="13318" max="13322" width="13.1640625" style="149" customWidth="1"/>
    <col min="13323" max="13323" width="3.1640625" style="149" customWidth="1"/>
    <col min="13324" max="13324" width="100.1640625" style="149" customWidth="1"/>
    <col min="13325" max="13325" width="2.25" style="149" customWidth="1"/>
    <col min="13326" max="13568" width="9" style="149"/>
    <col min="13569" max="13571" width="0" style="149" hidden="1" customWidth="1"/>
    <col min="13572" max="13572" width="39.83203125" style="149" customWidth="1"/>
    <col min="13573" max="13573" width="8.75" style="149" bestFit="1" customWidth="1"/>
    <col min="13574" max="13578" width="13.1640625" style="149" customWidth="1"/>
    <col min="13579" max="13579" width="3.1640625" style="149" customWidth="1"/>
    <col min="13580" max="13580" width="100.1640625" style="149" customWidth="1"/>
    <col min="13581" max="13581" width="2.25" style="149" customWidth="1"/>
    <col min="13582" max="13824" width="9" style="149"/>
    <col min="13825" max="13827" width="0" style="149" hidden="1" customWidth="1"/>
    <col min="13828" max="13828" width="39.83203125" style="149" customWidth="1"/>
    <col min="13829" max="13829" width="8.75" style="149" bestFit="1" customWidth="1"/>
    <col min="13830" max="13834" width="13.1640625" style="149" customWidth="1"/>
    <col min="13835" max="13835" width="3.1640625" style="149" customWidth="1"/>
    <col min="13836" max="13836" width="100.1640625" style="149" customWidth="1"/>
    <col min="13837" max="13837" width="2.25" style="149" customWidth="1"/>
    <col min="13838" max="14080" width="9" style="149"/>
    <col min="14081" max="14083" width="0" style="149" hidden="1" customWidth="1"/>
    <col min="14084" max="14084" width="39.83203125" style="149" customWidth="1"/>
    <col min="14085" max="14085" width="8.75" style="149" bestFit="1" customWidth="1"/>
    <col min="14086" max="14090" width="13.1640625" style="149" customWidth="1"/>
    <col min="14091" max="14091" width="3.1640625" style="149" customWidth="1"/>
    <col min="14092" max="14092" width="100.1640625" style="149" customWidth="1"/>
    <col min="14093" max="14093" width="2.25" style="149" customWidth="1"/>
    <col min="14094" max="14336" width="9" style="149"/>
    <col min="14337" max="14339" width="0" style="149" hidden="1" customWidth="1"/>
    <col min="14340" max="14340" width="39.83203125" style="149" customWidth="1"/>
    <col min="14341" max="14341" width="8.75" style="149" bestFit="1" customWidth="1"/>
    <col min="14342" max="14346" width="13.1640625" style="149" customWidth="1"/>
    <col min="14347" max="14347" width="3.1640625" style="149" customWidth="1"/>
    <col min="14348" max="14348" width="100.1640625" style="149" customWidth="1"/>
    <col min="14349" max="14349" width="2.25" style="149" customWidth="1"/>
    <col min="14350" max="14592" width="9" style="149"/>
    <col min="14593" max="14595" width="0" style="149" hidden="1" customWidth="1"/>
    <col min="14596" max="14596" width="39.83203125" style="149" customWidth="1"/>
    <col min="14597" max="14597" width="8.75" style="149" bestFit="1" customWidth="1"/>
    <col min="14598" max="14602" width="13.1640625" style="149" customWidth="1"/>
    <col min="14603" max="14603" width="3.1640625" style="149" customWidth="1"/>
    <col min="14604" max="14604" width="100.1640625" style="149" customWidth="1"/>
    <col min="14605" max="14605" width="2.25" style="149" customWidth="1"/>
    <col min="14606" max="14848" width="9" style="149"/>
    <col min="14849" max="14851" width="0" style="149" hidden="1" customWidth="1"/>
    <col min="14852" max="14852" width="39.83203125" style="149" customWidth="1"/>
    <col min="14853" max="14853" width="8.75" style="149" bestFit="1" customWidth="1"/>
    <col min="14854" max="14858" width="13.1640625" style="149" customWidth="1"/>
    <col min="14859" max="14859" width="3.1640625" style="149" customWidth="1"/>
    <col min="14860" max="14860" width="100.1640625" style="149" customWidth="1"/>
    <col min="14861" max="14861" width="2.25" style="149" customWidth="1"/>
    <col min="14862" max="15104" width="9" style="149"/>
    <col min="15105" max="15107" width="0" style="149" hidden="1" customWidth="1"/>
    <col min="15108" max="15108" width="39.83203125" style="149" customWidth="1"/>
    <col min="15109" max="15109" width="8.75" style="149" bestFit="1" customWidth="1"/>
    <col min="15110" max="15114" width="13.1640625" style="149" customWidth="1"/>
    <col min="15115" max="15115" width="3.1640625" style="149" customWidth="1"/>
    <col min="15116" max="15116" width="100.1640625" style="149" customWidth="1"/>
    <col min="15117" max="15117" width="2.25" style="149" customWidth="1"/>
    <col min="15118" max="15360" width="9" style="149"/>
    <col min="15361" max="15363" width="0" style="149" hidden="1" customWidth="1"/>
    <col min="15364" max="15364" width="39.83203125" style="149" customWidth="1"/>
    <col min="15365" max="15365" width="8.75" style="149" bestFit="1" customWidth="1"/>
    <col min="15366" max="15370" width="13.1640625" style="149" customWidth="1"/>
    <col min="15371" max="15371" width="3.1640625" style="149" customWidth="1"/>
    <col min="15372" max="15372" width="100.1640625" style="149" customWidth="1"/>
    <col min="15373" max="15373" width="2.25" style="149" customWidth="1"/>
    <col min="15374" max="15616" width="9" style="149"/>
    <col min="15617" max="15619" width="0" style="149" hidden="1" customWidth="1"/>
    <col min="15620" max="15620" width="39.83203125" style="149" customWidth="1"/>
    <col min="15621" max="15621" width="8.75" style="149" bestFit="1" customWidth="1"/>
    <col min="15622" max="15626" width="13.1640625" style="149" customWidth="1"/>
    <col min="15627" max="15627" width="3.1640625" style="149" customWidth="1"/>
    <col min="15628" max="15628" width="100.1640625" style="149" customWidth="1"/>
    <col min="15629" max="15629" width="2.25" style="149" customWidth="1"/>
    <col min="15630" max="15872" width="9" style="149"/>
    <col min="15873" max="15875" width="0" style="149" hidden="1" customWidth="1"/>
    <col min="15876" max="15876" width="39.83203125" style="149" customWidth="1"/>
    <col min="15877" max="15877" width="8.75" style="149" bestFit="1" customWidth="1"/>
    <col min="15878" max="15882" width="13.1640625" style="149" customWidth="1"/>
    <col min="15883" max="15883" width="3.1640625" style="149" customWidth="1"/>
    <col min="15884" max="15884" width="100.1640625" style="149" customWidth="1"/>
    <col min="15885" max="15885" width="2.25" style="149" customWidth="1"/>
    <col min="15886" max="16128" width="9" style="149"/>
    <col min="16129" max="16131" width="0" style="149" hidden="1" customWidth="1"/>
    <col min="16132" max="16132" width="39.83203125" style="149" customWidth="1"/>
    <col min="16133" max="16133" width="8.75" style="149" bestFit="1" customWidth="1"/>
    <col min="16134" max="16138" width="13.1640625" style="149" customWidth="1"/>
    <col min="16139" max="16139" width="3.1640625" style="149" customWidth="1"/>
    <col min="16140" max="16140" width="100.1640625" style="149" customWidth="1"/>
    <col min="16141" max="16141" width="2.25" style="149" customWidth="1"/>
    <col min="16142" max="16384" width="9" style="149"/>
  </cols>
  <sheetData>
    <row r="1" spans="1:14" ht="14.5">
      <c r="A1" s="51" t="s">
        <v>148</v>
      </c>
      <c r="B1" s="51" t="s">
        <v>149</v>
      </c>
      <c r="C1" s="50" t="s">
        <v>150</v>
      </c>
      <c r="D1" s="146" t="s">
        <v>151</v>
      </c>
      <c r="F1" s="26" t="s">
        <v>152</v>
      </c>
      <c r="J1" s="49" t="s">
        <v>153</v>
      </c>
      <c r="L1" s="147"/>
      <c r="N1" s="148"/>
    </row>
    <row r="2" spans="1:14" ht="14.5">
      <c r="A2" s="28" t="s">
        <v>154</v>
      </c>
      <c r="B2" s="28"/>
      <c r="C2" s="43">
        <f>F8</f>
        <v>0</v>
      </c>
      <c r="D2" s="150" t="s">
        <v>155</v>
      </c>
      <c r="E2" s="151"/>
      <c r="F2" s="151"/>
      <c r="G2" s="151"/>
      <c r="H2" s="151"/>
      <c r="I2" s="151"/>
      <c r="J2" s="151"/>
      <c r="K2" s="151"/>
      <c r="L2" s="150" t="s">
        <v>156</v>
      </c>
      <c r="M2" s="151"/>
      <c r="N2" s="152"/>
    </row>
    <row r="3" spans="1:14" ht="13">
      <c r="A3" s="28" t="s">
        <v>157</v>
      </c>
      <c r="B3" s="28"/>
      <c r="C3" s="41">
        <f>F10</f>
        <v>0</v>
      </c>
      <c r="D3" s="30" t="s">
        <v>158</v>
      </c>
      <c r="E3" s="30"/>
      <c r="F3" s="422">
        <f>'SP3-1'!E12</f>
        <v>0</v>
      </c>
      <c r="G3" s="422"/>
      <c r="H3" s="422"/>
      <c r="I3" s="153"/>
      <c r="J3" s="153"/>
      <c r="L3" s="29"/>
      <c r="N3" s="148"/>
    </row>
    <row r="4" spans="1:14" ht="13">
      <c r="A4" s="28" t="s">
        <v>159</v>
      </c>
      <c r="B4" s="28"/>
      <c r="C4" s="41">
        <f>F12</f>
        <v>0</v>
      </c>
      <c r="D4" s="30" t="s">
        <v>160</v>
      </c>
      <c r="E4" s="30"/>
      <c r="F4" s="422">
        <f>'SP3-1'!E13</f>
        <v>0</v>
      </c>
      <c r="G4" s="422"/>
      <c r="H4" s="422"/>
      <c r="I4" s="154"/>
      <c r="J4" s="153"/>
      <c r="L4" s="29"/>
      <c r="N4" s="148"/>
    </row>
    <row r="5" spans="1:14" ht="13">
      <c r="A5" s="28" t="s">
        <v>161</v>
      </c>
      <c r="B5" s="28" t="s">
        <v>162</v>
      </c>
      <c r="C5" s="41">
        <f>F22</f>
        <v>0</v>
      </c>
      <c r="D5" s="30"/>
      <c r="E5" s="30"/>
      <c r="F5" s="30"/>
      <c r="G5" s="30"/>
      <c r="H5" s="153"/>
      <c r="I5" s="153"/>
      <c r="J5" s="153"/>
      <c r="L5" s="155"/>
      <c r="N5" s="148"/>
    </row>
    <row r="6" spans="1:14" ht="12.75" customHeight="1">
      <c r="A6" s="28" t="s">
        <v>161</v>
      </c>
      <c r="B6" s="28" t="s">
        <v>163</v>
      </c>
      <c r="C6" s="41">
        <f>G22</f>
        <v>0</v>
      </c>
      <c r="D6" s="30" t="s">
        <v>164</v>
      </c>
      <c r="E6" s="30"/>
      <c r="F6" s="422">
        <f>'SP3-1'!C8</f>
        <v>0</v>
      </c>
      <c r="G6" s="422"/>
      <c r="H6" s="422"/>
      <c r="I6" s="153"/>
      <c r="J6" s="153"/>
      <c r="L6" s="29"/>
      <c r="N6" s="148"/>
    </row>
    <row r="7" spans="1:14" ht="12.75" customHeight="1">
      <c r="A7" s="28" t="s">
        <v>165</v>
      </c>
      <c r="B7" s="28" t="s">
        <v>162</v>
      </c>
      <c r="C7" s="41">
        <f>F23</f>
        <v>0</v>
      </c>
      <c r="D7" s="30" t="s">
        <v>166</v>
      </c>
      <c r="E7" s="30"/>
      <c r="F7" s="422">
        <f>'SP3-1'!C9</f>
        <v>0</v>
      </c>
      <c r="G7" s="422"/>
      <c r="H7" s="422"/>
      <c r="I7" s="153"/>
      <c r="J7" s="153"/>
      <c r="L7" s="29"/>
      <c r="N7" s="148"/>
    </row>
    <row r="8" spans="1:14" ht="13">
      <c r="A8" s="28" t="s">
        <v>165</v>
      </c>
      <c r="B8" s="28" t="s">
        <v>163</v>
      </c>
      <c r="C8" s="41">
        <f>G23</f>
        <v>0</v>
      </c>
      <c r="D8" s="30" t="s">
        <v>167</v>
      </c>
      <c r="E8" s="156" t="s">
        <v>168</v>
      </c>
      <c r="F8" s="157">
        <f>'SP3-1'!I27</f>
        <v>0</v>
      </c>
      <c r="G8" s="30"/>
      <c r="H8" s="30"/>
      <c r="L8" s="29"/>
      <c r="N8" s="148"/>
    </row>
    <row r="9" spans="1:14" ht="13">
      <c r="A9" s="28" t="s">
        <v>165</v>
      </c>
      <c r="B9" s="28" t="s">
        <v>169</v>
      </c>
      <c r="C9" s="41">
        <f>H23</f>
        <v>0</v>
      </c>
      <c r="D9" s="30"/>
      <c r="E9" s="156"/>
      <c r="F9" s="30"/>
      <c r="G9" s="30"/>
      <c r="H9" s="153"/>
      <c r="I9" s="153"/>
      <c r="J9" s="153"/>
      <c r="L9" s="155"/>
      <c r="N9" s="148"/>
    </row>
    <row r="10" spans="1:14" ht="13">
      <c r="A10" s="28" t="s">
        <v>170</v>
      </c>
      <c r="B10" s="28" t="s">
        <v>162</v>
      </c>
      <c r="C10" s="41">
        <f>F24</f>
        <v>0</v>
      </c>
      <c r="D10" s="30" t="s">
        <v>171</v>
      </c>
      <c r="E10" s="156" t="s">
        <v>172</v>
      </c>
      <c r="F10" s="44">
        <f>'SP3-1'!I22</f>
        <v>0</v>
      </c>
      <c r="G10" s="30"/>
      <c r="H10" s="153"/>
      <c r="I10" s="153"/>
      <c r="J10" s="153"/>
      <c r="L10" s="29"/>
      <c r="N10" s="148"/>
    </row>
    <row r="11" spans="1:14" ht="13">
      <c r="A11" s="28" t="s">
        <v>170</v>
      </c>
      <c r="B11" s="28" t="s">
        <v>163</v>
      </c>
      <c r="C11" s="41">
        <f>G24</f>
        <v>0</v>
      </c>
      <c r="D11" s="30" t="s">
        <v>173</v>
      </c>
      <c r="E11" s="156" t="s">
        <v>174</v>
      </c>
      <c r="F11" s="158">
        <f>'SP3-1'!I23</f>
        <v>0</v>
      </c>
      <c r="G11" s="30"/>
      <c r="H11" s="153"/>
      <c r="I11" s="153"/>
      <c r="J11" s="153"/>
      <c r="L11" s="29"/>
      <c r="N11" s="148"/>
    </row>
    <row r="12" spans="1:14" ht="13">
      <c r="A12" s="28" t="s">
        <v>170</v>
      </c>
      <c r="B12" s="28" t="s">
        <v>169</v>
      </c>
      <c r="C12" s="41">
        <f>H24</f>
        <v>0</v>
      </c>
      <c r="D12" s="30" t="s">
        <v>175</v>
      </c>
      <c r="E12" s="156" t="s">
        <v>172</v>
      </c>
      <c r="F12" s="158">
        <f>'SP3-1'!I28</f>
        <v>0</v>
      </c>
      <c r="G12" s="30"/>
      <c r="H12" s="153"/>
      <c r="I12" s="153"/>
      <c r="J12" s="153"/>
      <c r="L12" s="29"/>
      <c r="N12" s="148"/>
    </row>
    <row r="13" spans="1:14" ht="13">
      <c r="A13" s="28" t="s">
        <v>176</v>
      </c>
      <c r="B13" s="28" t="s">
        <v>162</v>
      </c>
      <c r="C13" s="48">
        <f>F25</f>
        <v>0</v>
      </c>
      <c r="D13" s="30"/>
      <c r="E13" s="30"/>
      <c r="F13" s="30"/>
      <c r="G13" s="30"/>
      <c r="H13" s="159"/>
      <c r="I13" s="159"/>
      <c r="J13" s="159"/>
      <c r="L13" s="155"/>
      <c r="N13" s="148"/>
    </row>
    <row r="14" spans="1:14" ht="13">
      <c r="A14" s="28" t="s">
        <v>176</v>
      </c>
      <c r="B14" s="28" t="s">
        <v>163</v>
      </c>
      <c r="C14" s="32">
        <f>G25</f>
        <v>0</v>
      </c>
      <c r="D14" s="30" t="s">
        <v>177</v>
      </c>
      <c r="E14" s="30"/>
      <c r="F14" s="422">
        <f>'SP3-1'!E17</f>
        <v>0</v>
      </c>
      <c r="G14" s="422"/>
      <c r="H14" s="422"/>
      <c r="I14" s="422"/>
      <c r="J14" s="422"/>
      <c r="L14" s="29"/>
      <c r="N14" s="148"/>
    </row>
    <row r="15" spans="1:14" ht="12.75" customHeight="1">
      <c r="A15" s="28" t="s">
        <v>176</v>
      </c>
      <c r="B15" s="28" t="s">
        <v>169</v>
      </c>
      <c r="C15" s="48">
        <f>H25</f>
        <v>0</v>
      </c>
      <c r="D15" s="30" t="s">
        <v>178</v>
      </c>
      <c r="E15" s="30"/>
      <c r="F15" s="422">
        <f>'SP3-1'!E15</f>
        <v>0</v>
      </c>
      <c r="G15" s="422"/>
      <c r="H15" s="422"/>
      <c r="I15" s="422"/>
      <c r="J15" s="422"/>
      <c r="L15" s="29"/>
      <c r="N15" s="148"/>
    </row>
    <row r="16" spans="1:14" ht="12.75" customHeight="1">
      <c r="A16" s="28" t="s">
        <v>179</v>
      </c>
      <c r="B16" s="28" t="s">
        <v>162</v>
      </c>
      <c r="C16" s="48">
        <f>F26</f>
        <v>0</v>
      </c>
      <c r="D16" s="30" t="s">
        <v>180</v>
      </c>
      <c r="E16" s="30"/>
      <c r="F16" s="422">
        <f>'SP3-1'!E19</f>
        <v>0</v>
      </c>
      <c r="G16" s="422"/>
      <c r="H16" s="422"/>
      <c r="I16" s="422"/>
      <c r="J16" s="422"/>
      <c r="L16" s="29"/>
      <c r="N16" s="148"/>
    </row>
    <row r="17" spans="1:14" ht="12.75" customHeight="1">
      <c r="A17" s="28" t="s">
        <v>179</v>
      </c>
      <c r="B17" s="28" t="s">
        <v>163</v>
      </c>
      <c r="C17" s="32">
        <f>G26</f>
        <v>0</v>
      </c>
      <c r="D17" s="30" t="s">
        <v>181</v>
      </c>
      <c r="E17" s="30"/>
      <c r="F17" s="422"/>
      <c r="G17" s="422"/>
      <c r="H17" s="422"/>
      <c r="I17" s="422"/>
      <c r="J17" s="422"/>
      <c r="L17" s="29"/>
      <c r="N17" s="148"/>
    </row>
    <row r="18" spans="1:14" ht="12.75" customHeight="1">
      <c r="A18" s="28" t="s">
        <v>182</v>
      </c>
      <c r="B18" s="28" t="s">
        <v>162</v>
      </c>
      <c r="C18" s="48">
        <f>F27</f>
        <v>0</v>
      </c>
      <c r="D18" s="30" t="s">
        <v>183</v>
      </c>
      <c r="E18" s="30"/>
      <c r="F18" s="422">
        <f>'SP3-1'!E20</f>
        <v>0</v>
      </c>
      <c r="G18" s="422"/>
      <c r="H18" s="422"/>
      <c r="I18" s="422"/>
      <c r="J18" s="422"/>
      <c r="L18" s="29"/>
      <c r="N18" s="148"/>
    </row>
    <row r="19" spans="1:14" ht="12.75" customHeight="1">
      <c r="A19" s="28" t="s">
        <v>182</v>
      </c>
      <c r="B19" s="28" t="s">
        <v>163</v>
      </c>
      <c r="C19" s="32">
        <f>G27</f>
        <v>0</v>
      </c>
      <c r="D19" s="30" t="s">
        <v>184</v>
      </c>
      <c r="E19" s="30"/>
      <c r="F19" s="422">
        <f>'SP3-1'!E14</f>
        <v>0</v>
      </c>
      <c r="G19" s="422"/>
      <c r="H19" s="422"/>
      <c r="I19" s="422"/>
      <c r="J19" s="422"/>
      <c r="L19" s="29"/>
      <c r="N19" s="148"/>
    </row>
    <row r="20" spans="1:14" ht="13">
      <c r="A20" s="28" t="s">
        <v>182</v>
      </c>
      <c r="B20" s="28" t="s">
        <v>169</v>
      </c>
      <c r="C20" s="32">
        <f>H27</f>
        <v>0</v>
      </c>
      <c r="D20" s="30"/>
      <c r="E20" s="30"/>
      <c r="F20" s="30"/>
      <c r="G20" s="30"/>
      <c r="H20" s="30"/>
      <c r="I20" s="30"/>
      <c r="L20" s="155"/>
      <c r="N20" s="148"/>
    </row>
    <row r="21" spans="1:14" ht="13">
      <c r="A21" s="28" t="s">
        <v>185</v>
      </c>
      <c r="B21" s="28" t="s">
        <v>162</v>
      </c>
      <c r="C21" s="48">
        <f>F28</f>
        <v>0</v>
      </c>
      <c r="D21" s="34" t="s">
        <v>186</v>
      </c>
      <c r="E21" s="30"/>
      <c r="F21" s="34" t="s">
        <v>187</v>
      </c>
      <c r="G21" s="34" t="s">
        <v>188</v>
      </c>
      <c r="H21" s="34" t="s">
        <v>189</v>
      </c>
      <c r="I21" s="30"/>
      <c r="L21" s="155"/>
      <c r="N21" s="148"/>
    </row>
    <row r="22" spans="1:14" ht="13">
      <c r="A22" s="28" t="s">
        <v>185</v>
      </c>
      <c r="B22" s="28" t="s">
        <v>163</v>
      </c>
      <c r="C22" s="32">
        <f>G28</f>
        <v>0</v>
      </c>
      <c r="D22" s="30" t="s">
        <v>190</v>
      </c>
      <c r="E22" s="156" t="s">
        <v>191</v>
      </c>
      <c r="F22" s="160">
        <f>'SP3-1'!I29</f>
        <v>0</v>
      </c>
      <c r="G22" s="161">
        <f>'SP3-1'!I30</f>
        <v>0</v>
      </c>
      <c r="H22" s="30"/>
      <c r="I22" s="30"/>
      <c r="L22" s="29"/>
      <c r="N22" s="148"/>
    </row>
    <row r="23" spans="1:14" ht="13">
      <c r="A23" s="28" t="s">
        <v>192</v>
      </c>
      <c r="B23" s="47"/>
      <c r="C23" s="46">
        <f>F29</f>
        <v>0</v>
      </c>
      <c r="D23" s="30" t="s">
        <v>193</v>
      </c>
      <c r="E23" s="156" t="s">
        <v>194</v>
      </c>
      <c r="F23" s="160">
        <v>0</v>
      </c>
      <c r="G23" s="161">
        <v>0</v>
      </c>
      <c r="H23" s="160">
        <v>0</v>
      </c>
      <c r="I23" s="30"/>
      <c r="L23" s="29"/>
      <c r="N23" s="148"/>
    </row>
    <row r="24" spans="1:14" ht="13">
      <c r="A24" s="28" t="s">
        <v>195</v>
      </c>
      <c r="B24" s="28"/>
      <c r="C24" s="41">
        <f>F30</f>
        <v>0</v>
      </c>
      <c r="D24" s="30" t="s">
        <v>196</v>
      </c>
      <c r="E24" s="156" t="s">
        <v>194</v>
      </c>
      <c r="F24" s="160">
        <v>0</v>
      </c>
      <c r="G24" s="161">
        <v>0</v>
      </c>
      <c r="H24" s="160">
        <v>0</v>
      </c>
      <c r="I24" s="30"/>
      <c r="K24" s="162"/>
      <c r="L24" s="29"/>
      <c r="N24" s="148"/>
    </row>
    <row r="25" spans="1:14" ht="13">
      <c r="A25" s="28" t="s">
        <v>197</v>
      </c>
      <c r="B25" s="28" t="s">
        <v>198</v>
      </c>
      <c r="C25" s="43">
        <f>F33</f>
        <v>0</v>
      </c>
      <c r="D25" s="30" t="s">
        <v>199</v>
      </c>
      <c r="E25" s="156" t="s">
        <v>194</v>
      </c>
      <c r="F25" s="160">
        <v>0</v>
      </c>
      <c r="G25" s="161">
        <v>0</v>
      </c>
      <c r="H25" s="160">
        <v>0</v>
      </c>
      <c r="I25" s="30"/>
      <c r="L25" s="29"/>
      <c r="N25" s="148"/>
    </row>
    <row r="26" spans="1:14" ht="13">
      <c r="A26" s="28" t="s">
        <v>197</v>
      </c>
      <c r="B26" s="28" t="s">
        <v>200</v>
      </c>
      <c r="C26" s="43">
        <f>G33</f>
        <v>0</v>
      </c>
      <c r="D26" s="30" t="s">
        <v>201</v>
      </c>
      <c r="E26" s="156" t="s">
        <v>194</v>
      </c>
      <c r="F26" s="160">
        <v>0</v>
      </c>
      <c r="G26" s="161">
        <v>0</v>
      </c>
      <c r="H26" s="30"/>
      <c r="I26" s="30"/>
      <c r="L26" s="29"/>
      <c r="N26" s="148"/>
    </row>
    <row r="27" spans="1:14" ht="13">
      <c r="A27" s="28" t="s">
        <v>202</v>
      </c>
      <c r="B27" s="28" t="s">
        <v>198</v>
      </c>
      <c r="C27" s="43">
        <f>F34</f>
        <v>0</v>
      </c>
      <c r="D27" s="30" t="s">
        <v>203</v>
      </c>
      <c r="E27" s="156" t="s">
        <v>204</v>
      </c>
      <c r="F27" s="160">
        <v>0</v>
      </c>
      <c r="G27" s="161">
        <v>0</v>
      </c>
      <c r="H27" s="160">
        <v>0</v>
      </c>
      <c r="I27" s="30"/>
      <c r="L27" s="29"/>
      <c r="N27" s="148"/>
    </row>
    <row r="28" spans="1:14" ht="13">
      <c r="A28" s="28" t="s">
        <v>202</v>
      </c>
      <c r="B28" s="28" t="s">
        <v>200</v>
      </c>
      <c r="C28" s="43">
        <f>G34</f>
        <v>0</v>
      </c>
      <c r="D28" s="30" t="s">
        <v>205</v>
      </c>
      <c r="E28" s="156" t="s">
        <v>191</v>
      </c>
      <c r="F28" s="160">
        <v>0</v>
      </c>
      <c r="G28" s="161">
        <v>0</v>
      </c>
      <c r="H28" s="30"/>
      <c r="I28" s="30"/>
      <c r="L28" s="29"/>
      <c r="N28" s="148"/>
    </row>
    <row r="29" spans="1:14" ht="13">
      <c r="A29" s="28" t="s">
        <v>206</v>
      </c>
      <c r="B29" s="28" t="s">
        <v>198</v>
      </c>
      <c r="C29" s="43">
        <f>F35</f>
        <v>0</v>
      </c>
      <c r="D29" s="30" t="s">
        <v>205</v>
      </c>
      <c r="E29" s="156" t="s">
        <v>207</v>
      </c>
      <c r="F29" s="161">
        <v>0</v>
      </c>
      <c r="G29" s="30"/>
      <c r="H29" s="30"/>
      <c r="I29" s="30"/>
      <c r="L29" s="29"/>
      <c r="N29" s="148"/>
    </row>
    <row r="30" spans="1:14" ht="13">
      <c r="A30" s="28" t="s">
        <v>206</v>
      </c>
      <c r="B30" s="28" t="s">
        <v>200</v>
      </c>
      <c r="C30" s="43">
        <f>G35</f>
        <v>0</v>
      </c>
      <c r="D30" s="30" t="s">
        <v>208</v>
      </c>
      <c r="E30" s="30"/>
      <c r="F30" s="45">
        <f>'SP3-4'!N6</f>
        <v>0</v>
      </c>
      <c r="G30" s="30"/>
      <c r="H30" s="30"/>
      <c r="I30" s="30"/>
      <c r="L30" s="29"/>
      <c r="N30" s="148"/>
    </row>
    <row r="31" spans="1:14" ht="13">
      <c r="A31" s="28" t="s">
        <v>209</v>
      </c>
      <c r="B31" s="28" t="s">
        <v>198</v>
      </c>
      <c r="C31" s="32">
        <f>F36</f>
        <v>0</v>
      </c>
      <c r="D31" s="30"/>
      <c r="E31" s="30"/>
      <c r="F31" s="30"/>
      <c r="G31" s="30"/>
      <c r="H31" s="30"/>
      <c r="I31" s="30"/>
      <c r="L31" s="155"/>
      <c r="N31" s="148"/>
    </row>
    <row r="32" spans="1:14" ht="13">
      <c r="A32" s="28" t="s">
        <v>209</v>
      </c>
      <c r="B32" s="28" t="s">
        <v>200</v>
      </c>
      <c r="C32" s="32">
        <f>G36</f>
        <v>0</v>
      </c>
      <c r="D32" s="30"/>
      <c r="E32" s="30"/>
      <c r="F32" s="34" t="s">
        <v>210</v>
      </c>
      <c r="G32" s="34" t="s">
        <v>211</v>
      </c>
      <c r="H32" s="30"/>
      <c r="I32" s="30"/>
      <c r="L32" s="155"/>
      <c r="N32" s="148"/>
    </row>
    <row r="33" spans="1:14" ht="13">
      <c r="A33" s="28" t="s">
        <v>212</v>
      </c>
      <c r="B33" s="28" t="s">
        <v>198</v>
      </c>
      <c r="C33" s="32">
        <f>F37</f>
        <v>0</v>
      </c>
      <c r="D33" s="30" t="s">
        <v>213</v>
      </c>
      <c r="E33" s="156" t="s">
        <v>214</v>
      </c>
      <c r="F33" s="44">
        <f>'SP3-1'!G31</f>
        <v>0</v>
      </c>
      <c r="G33" s="44">
        <f>'SP3-1'!G32</f>
        <v>0</v>
      </c>
      <c r="H33" s="30"/>
      <c r="I33" s="30"/>
      <c r="L33" s="29"/>
      <c r="N33" s="148"/>
    </row>
    <row r="34" spans="1:14" ht="13">
      <c r="A34" s="28" t="s">
        <v>212</v>
      </c>
      <c r="B34" s="28" t="s">
        <v>200</v>
      </c>
      <c r="C34" s="32">
        <f>G37</f>
        <v>0</v>
      </c>
      <c r="D34" s="30" t="s">
        <v>215</v>
      </c>
      <c r="E34" s="156" t="s">
        <v>216</v>
      </c>
      <c r="F34" s="44">
        <f>'SP3-6'!E10</f>
        <v>0</v>
      </c>
      <c r="G34" s="158">
        <v>0</v>
      </c>
      <c r="H34" s="30"/>
      <c r="I34" s="30"/>
      <c r="L34" s="29"/>
      <c r="N34" s="148"/>
    </row>
    <row r="35" spans="1:14" ht="13">
      <c r="A35" s="28" t="s">
        <v>217</v>
      </c>
      <c r="B35" s="28" t="s">
        <v>198</v>
      </c>
      <c r="C35" s="43">
        <f>F38</f>
        <v>0</v>
      </c>
      <c r="D35" s="30" t="s">
        <v>218</v>
      </c>
      <c r="E35" s="156" t="s">
        <v>216</v>
      </c>
      <c r="F35" s="44">
        <f>'SP3-1'!G33</f>
        <v>0</v>
      </c>
      <c r="G35" s="158">
        <f>'SP3-1'!G34</f>
        <v>0</v>
      </c>
      <c r="H35" s="30"/>
      <c r="I35" s="30"/>
      <c r="L35" s="29"/>
      <c r="N35" s="148"/>
    </row>
    <row r="36" spans="1:14" ht="13">
      <c r="A36" s="28" t="s">
        <v>217</v>
      </c>
      <c r="B36" s="28" t="s">
        <v>200</v>
      </c>
      <c r="C36" s="43">
        <f>G38</f>
        <v>0</v>
      </c>
      <c r="D36" s="30" t="s">
        <v>219</v>
      </c>
      <c r="E36" s="156" t="s">
        <v>220</v>
      </c>
      <c r="F36" s="163">
        <f>'SP3-1'!M31</f>
        <v>0</v>
      </c>
      <c r="G36" s="163">
        <f>'SP3-1'!M32</f>
        <v>0</v>
      </c>
      <c r="H36" s="30"/>
      <c r="I36" s="30"/>
      <c r="L36" s="29"/>
      <c r="N36" s="148"/>
    </row>
    <row r="37" spans="1:14" ht="13">
      <c r="A37" s="28" t="s">
        <v>221</v>
      </c>
      <c r="B37" s="28" t="s">
        <v>222</v>
      </c>
      <c r="C37" s="42">
        <f>F41</f>
        <v>0</v>
      </c>
      <c r="D37" s="30" t="s">
        <v>223</v>
      </c>
      <c r="E37" s="156" t="s">
        <v>224</v>
      </c>
      <c r="F37" s="163">
        <v>0</v>
      </c>
      <c r="G37" s="163">
        <v>0</v>
      </c>
      <c r="H37" s="30"/>
      <c r="I37" s="30"/>
      <c r="L37" s="29"/>
      <c r="N37" s="148"/>
    </row>
    <row r="38" spans="1:14" ht="13">
      <c r="A38" s="28" t="s">
        <v>221</v>
      </c>
      <c r="B38" s="28" t="s">
        <v>225</v>
      </c>
      <c r="C38" s="42">
        <f>G41</f>
        <v>0</v>
      </c>
      <c r="D38" s="30" t="s">
        <v>226</v>
      </c>
      <c r="E38" s="156" t="s">
        <v>227</v>
      </c>
      <c r="F38" s="158">
        <v>0</v>
      </c>
      <c r="G38" s="158">
        <v>0</v>
      </c>
      <c r="H38" s="30"/>
      <c r="I38" s="30"/>
      <c r="L38" s="29"/>
      <c r="N38" s="148"/>
    </row>
    <row r="39" spans="1:14" ht="13">
      <c r="A39" s="28" t="s">
        <v>228</v>
      </c>
      <c r="B39" s="28" t="s">
        <v>222</v>
      </c>
      <c r="C39" s="42">
        <f>H41</f>
        <v>0</v>
      </c>
      <c r="D39" s="30"/>
      <c r="E39" s="30"/>
      <c r="F39" s="30"/>
      <c r="G39" s="30"/>
      <c r="H39" s="30"/>
      <c r="I39" s="30"/>
      <c r="L39" s="155"/>
      <c r="N39" s="148"/>
    </row>
    <row r="40" spans="1:14" ht="13">
      <c r="A40" s="28" t="s">
        <v>228</v>
      </c>
      <c r="B40" s="28" t="s">
        <v>225</v>
      </c>
      <c r="C40" s="42">
        <f>I41</f>
        <v>0</v>
      </c>
      <c r="D40" s="30"/>
      <c r="E40" s="30"/>
      <c r="F40" s="34" t="s">
        <v>229</v>
      </c>
      <c r="G40" s="34" t="s">
        <v>230</v>
      </c>
      <c r="H40" s="34" t="s">
        <v>231</v>
      </c>
      <c r="I40" s="34" t="s">
        <v>232</v>
      </c>
      <c r="L40" s="155"/>
      <c r="N40" s="148"/>
    </row>
    <row r="41" spans="1:14" ht="13">
      <c r="A41" s="28" t="s">
        <v>233</v>
      </c>
      <c r="B41" s="28"/>
      <c r="C41" s="41">
        <f>F42</f>
        <v>0</v>
      </c>
      <c r="D41" s="30" t="s">
        <v>234</v>
      </c>
      <c r="E41" s="30"/>
      <c r="F41" s="40"/>
      <c r="G41" s="40"/>
      <c r="H41" s="40"/>
      <c r="I41" s="40"/>
      <c r="L41" s="155"/>
      <c r="N41" s="148"/>
    </row>
    <row r="42" spans="1:14" ht="13">
      <c r="A42" s="28" t="s">
        <v>235</v>
      </c>
      <c r="B42" s="28" t="s">
        <v>236</v>
      </c>
      <c r="C42" s="37">
        <f>F47</f>
        <v>0</v>
      </c>
      <c r="D42" s="30" t="s">
        <v>237</v>
      </c>
      <c r="E42" s="156" t="s">
        <v>238</v>
      </c>
      <c r="F42" s="39">
        <v>0</v>
      </c>
      <c r="G42" s="30"/>
      <c r="H42" s="30"/>
      <c r="I42" s="30"/>
      <c r="L42" s="29"/>
      <c r="N42" s="148"/>
    </row>
    <row r="43" spans="1:14" ht="13">
      <c r="A43" s="28" t="s">
        <v>235</v>
      </c>
      <c r="B43" s="28" t="s">
        <v>239</v>
      </c>
      <c r="C43" s="37">
        <f>G47</f>
        <v>0</v>
      </c>
      <c r="D43" s="30"/>
      <c r="E43" s="156"/>
      <c r="F43" s="30"/>
      <c r="G43" s="30"/>
      <c r="H43" s="30"/>
      <c r="I43" s="30"/>
      <c r="L43" s="155"/>
      <c r="N43" s="148"/>
    </row>
    <row r="44" spans="1:14" ht="13">
      <c r="A44" s="28" t="s">
        <v>235</v>
      </c>
      <c r="B44" s="28" t="s">
        <v>240</v>
      </c>
      <c r="C44" s="37">
        <f>H47</f>
        <v>0</v>
      </c>
      <c r="D44" s="30" t="s">
        <v>241</v>
      </c>
      <c r="E44" s="156" t="s">
        <v>242</v>
      </c>
      <c r="F44" s="39"/>
      <c r="G44" s="39"/>
      <c r="H44" s="30"/>
      <c r="I44" s="30"/>
      <c r="L44" s="29"/>
      <c r="N44" s="148"/>
    </row>
    <row r="45" spans="1:14" ht="13">
      <c r="A45" s="28" t="s">
        <v>235</v>
      </c>
      <c r="B45" s="28" t="s">
        <v>243</v>
      </c>
      <c r="C45" s="37">
        <f>I47</f>
        <v>0</v>
      </c>
      <c r="D45" s="30"/>
      <c r="E45" s="30"/>
      <c r="F45" s="30"/>
      <c r="G45" s="30"/>
      <c r="H45" s="30"/>
      <c r="I45" s="30"/>
      <c r="L45" s="155"/>
      <c r="N45" s="148"/>
    </row>
    <row r="46" spans="1:14" ht="13">
      <c r="A46" s="28" t="s">
        <v>244</v>
      </c>
      <c r="B46" s="28" t="s">
        <v>236</v>
      </c>
      <c r="C46" s="37" t="str">
        <f>F48</f>
        <v/>
      </c>
      <c r="D46" s="30"/>
      <c r="E46" s="30"/>
      <c r="F46" s="34" t="s">
        <v>245</v>
      </c>
      <c r="G46" s="34" t="s">
        <v>246</v>
      </c>
      <c r="H46" s="34" t="s">
        <v>247</v>
      </c>
      <c r="I46" s="34" t="s">
        <v>248</v>
      </c>
      <c r="L46" s="155"/>
      <c r="N46" s="148"/>
    </row>
    <row r="47" spans="1:14" ht="13">
      <c r="A47" s="28" t="s">
        <v>244</v>
      </c>
      <c r="B47" s="28" t="s">
        <v>239</v>
      </c>
      <c r="C47" s="37" t="str">
        <f>G48</f>
        <v/>
      </c>
      <c r="D47" s="30" t="s">
        <v>697</v>
      </c>
      <c r="E47" s="30"/>
      <c r="F47" s="38">
        <f>'SP3-6'!J16</f>
        <v>0</v>
      </c>
      <c r="G47" s="38">
        <f>'SP3-6'!L16</f>
        <v>0</v>
      </c>
      <c r="H47" s="38">
        <f>'SP3-6'!N16</f>
        <v>0</v>
      </c>
      <c r="I47" s="38">
        <f>'SP3-6'!P16</f>
        <v>0</v>
      </c>
      <c r="L47" s="29"/>
      <c r="N47" s="148"/>
    </row>
    <row r="48" spans="1:14" ht="13">
      <c r="A48" s="28" t="s">
        <v>244</v>
      </c>
      <c r="B48" s="28" t="s">
        <v>240</v>
      </c>
      <c r="C48" s="37" t="str">
        <f>H48</f>
        <v/>
      </c>
      <c r="D48" s="30" t="s">
        <v>249</v>
      </c>
      <c r="E48" s="30"/>
      <c r="F48" s="38" t="str">
        <f>'SP3-6'!J23</f>
        <v/>
      </c>
      <c r="G48" s="38" t="str">
        <f>'SP3-6'!L23</f>
        <v/>
      </c>
      <c r="H48" s="38" t="str">
        <f>'SP3-6'!N23</f>
        <v/>
      </c>
      <c r="I48" s="38" t="str">
        <f>'SP3-6'!P23</f>
        <v/>
      </c>
      <c r="L48" s="29"/>
      <c r="N48" s="148"/>
    </row>
    <row r="49" spans="1:14" ht="13">
      <c r="A49" s="28" t="s">
        <v>244</v>
      </c>
      <c r="B49" s="28" t="s">
        <v>243</v>
      </c>
      <c r="C49" s="37" t="str">
        <f>I48</f>
        <v/>
      </c>
      <c r="D49" s="30" t="s">
        <v>250</v>
      </c>
      <c r="E49" s="30"/>
      <c r="F49" s="38" t="str">
        <f>'SP3-6'!J33</f>
        <v/>
      </c>
      <c r="G49" s="38" t="str">
        <f>'SP3-6'!L33</f>
        <v/>
      </c>
      <c r="H49" s="38" t="str">
        <f>'SP3-6'!N33</f>
        <v/>
      </c>
      <c r="I49" s="38" t="str">
        <f>'SP3-6'!P33</f>
        <v/>
      </c>
      <c r="L49" s="29"/>
      <c r="N49" s="148"/>
    </row>
    <row r="50" spans="1:14" ht="13">
      <c r="A50" s="28" t="s">
        <v>251</v>
      </c>
      <c r="B50" s="28" t="s">
        <v>236</v>
      </c>
      <c r="C50" s="37" t="str">
        <f>F49</f>
        <v/>
      </c>
      <c r="D50" s="30"/>
      <c r="E50" s="30"/>
      <c r="F50" s="30"/>
      <c r="G50" s="30"/>
      <c r="H50" s="30"/>
      <c r="I50" s="30"/>
      <c r="L50" s="155"/>
      <c r="N50" s="148"/>
    </row>
    <row r="51" spans="1:14" ht="13">
      <c r="A51" s="28" t="s">
        <v>251</v>
      </c>
      <c r="B51" s="28" t="s">
        <v>239</v>
      </c>
      <c r="C51" s="37" t="str">
        <f>G49</f>
        <v/>
      </c>
      <c r="D51" s="30" t="s">
        <v>252</v>
      </c>
      <c r="E51" s="156" t="s">
        <v>253</v>
      </c>
      <c r="F51" s="164">
        <v>0</v>
      </c>
      <c r="G51" s="30"/>
      <c r="H51" s="30" t="s">
        <v>254</v>
      </c>
      <c r="I51" s="163" t="e">
        <f>'SP3-6'!#REF!*1.33</f>
        <v>#REF!</v>
      </c>
      <c r="L51" s="29"/>
      <c r="N51" s="148"/>
    </row>
    <row r="52" spans="1:14" ht="13">
      <c r="A52" s="28" t="s">
        <v>251</v>
      </c>
      <c r="B52" s="28" t="s">
        <v>240</v>
      </c>
      <c r="C52" s="37" t="str">
        <f>H49</f>
        <v/>
      </c>
      <c r="D52" s="30" t="s">
        <v>255</v>
      </c>
      <c r="E52" s="156" t="s">
        <v>256</v>
      </c>
      <c r="F52" s="165">
        <f>IF('SP3-1'!I29=0,,'SP3-4'!N23/'SP3-1'!I29)</f>
        <v>0</v>
      </c>
      <c r="G52" s="30"/>
      <c r="H52" s="30" t="s">
        <v>257</v>
      </c>
      <c r="I52" s="166">
        <f>'SP3-1'!B50</f>
        <v>0</v>
      </c>
      <c r="L52" s="29"/>
      <c r="N52" s="148"/>
    </row>
    <row r="53" spans="1:14" ht="13">
      <c r="A53" s="28" t="s">
        <v>251</v>
      </c>
      <c r="B53" s="28" t="s">
        <v>243</v>
      </c>
      <c r="C53" s="37" t="str">
        <f>I49</f>
        <v/>
      </c>
      <c r="D53" s="30" t="s">
        <v>258</v>
      </c>
      <c r="E53" s="156" t="s">
        <v>227</v>
      </c>
      <c r="F53" s="164">
        <f>IF('SP3-4'!N10=0,,('SP3-4'!N23/'SP3-4'!N10)*60/365)</f>
        <v>0</v>
      </c>
      <c r="G53" s="30"/>
      <c r="H53" s="30" t="s">
        <v>259</v>
      </c>
      <c r="I53" s="167" t="e">
        <f>'SP3-4'!E29</f>
        <v>#DIV/0!</v>
      </c>
      <c r="L53" s="29" t="s">
        <v>698</v>
      </c>
      <c r="N53" s="148"/>
    </row>
    <row r="54" spans="1:14" ht="13">
      <c r="A54" s="28" t="s">
        <v>260</v>
      </c>
      <c r="B54" s="28"/>
      <c r="C54" s="27">
        <f>F51</f>
        <v>0</v>
      </c>
      <c r="D54" s="30"/>
      <c r="E54" s="156"/>
      <c r="F54" s="30"/>
      <c r="G54" s="30"/>
      <c r="H54" s="30"/>
      <c r="I54" s="30"/>
      <c r="L54" s="155"/>
      <c r="N54" s="148"/>
    </row>
    <row r="55" spans="1:14" ht="13">
      <c r="A55" s="28" t="s">
        <v>261</v>
      </c>
      <c r="B55" s="28"/>
      <c r="C55" s="27">
        <f>F52</f>
        <v>0</v>
      </c>
      <c r="D55" s="34" t="s">
        <v>262</v>
      </c>
      <c r="E55" s="156"/>
      <c r="F55" s="34" t="s">
        <v>263</v>
      </c>
      <c r="G55" s="34" t="s">
        <v>264</v>
      </c>
      <c r="H55" s="30"/>
      <c r="I55" s="30"/>
      <c r="L55" s="155"/>
      <c r="N55" s="148"/>
    </row>
    <row r="56" spans="1:14" ht="13">
      <c r="A56" s="28" t="s">
        <v>265</v>
      </c>
      <c r="B56" s="28"/>
      <c r="C56" s="27">
        <f>F53</f>
        <v>0</v>
      </c>
      <c r="D56" s="30" t="s">
        <v>266</v>
      </c>
      <c r="E56" s="156" t="s">
        <v>267</v>
      </c>
      <c r="F56" s="33">
        <v>0</v>
      </c>
      <c r="G56" s="33">
        <f>'SP3-3 (1)'!K9</f>
        <v>0</v>
      </c>
      <c r="H56" s="30"/>
      <c r="I56" s="30"/>
      <c r="L56" s="29"/>
      <c r="N56" s="148"/>
    </row>
    <row r="57" spans="1:14" ht="13">
      <c r="A57" s="28" t="s">
        <v>268</v>
      </c>
      <c r="B57" s="28" t="s">
        <v>269</v>
      </c>
      <c r="C57" s="27">
        <f>F56</f>
        <v>0</v>
      </c>
      <c r="D57" s="30"/>
      <c r="E57" s="30"/>
      <c r="F57" s="30"/>
      <c r="G57" s="30"/>
      <c r="H57" s="30"/>
      <c r="I57" s="30"/>
      <c r="L57" s="29"/>
      <c r="N57" s="148"/>
    </row>
    <row r="58" spans="1:14" ht="13">
      <c r="A58" s="28" t="s">
        <v>268</v>
      </c>
      <c r="B58" s="28" t="s">
        <v>270</v>
      </c>
      <c r="C58" s="27">
        <f>G56</f>
        <v>0</v>
      </c>
      <c r="D58" s="30" t="s">
        <v>271</v>
      </c>
      <c r="E58" s="156" t="s">
        <v>267</v>
      </c>
      <c r="F58" s="33">
        <v>0</v>
      </c>
      <c r="G58" s="33">
        <f>'SP3-3 (1)'!Q9</f>
        <v>0</v>
      </c>
      <c r="H58" s="30"/>
      <c r="I58" s="30"/>
      <c r="L58" s="29"/>
      <c r="N58" s="148"/>
    </row>
    <row r="59" spans="1:14" ht="13">
      <c r="A59" s="28" t="s">
        <v>272</v>
      </c>
      <c r="B59" s="28" t="s">
        <v>269</v>
      </c>
      <c r="C59" s="27">
        <f>F58</f>
        <v>0</v>
      </c>
      <c r="D59" s="30" t="s">
        <v>273</v>
      </c>
      <c r="E59" s="156" t="s">
        <v>267</v>
      </c>
      <c r="F59" s="33">
        <f>'SP3-2'!Q31</f>
        <v>0</v>
      </c>
      <c r="G59" s="33">
        <f>'SP3-3 (1)'!Q10+'SP3-3 (1)'!Q12+'SP3-3 (1)'!Q25+'SP3-3 (1)'!Q27</f>
        <v>0</v>
      </c>
      <c r="H59" s="30"/>
      <c r="I59" s="30"/>
      <c r="L59" s="29"/>
      <c r="N59" s="148"/>
    </row>
    <row r="60" spans="1:14" ht="13">
      <c r="A60" s="28" t="s">
        <v>272</v>
      </c>
      <c r="B60" s="28" t="s">
        <v>270</v>
      </c>
      <c r="C60" s="27">
        <f>G58</f>
        <v>0</v>
      </c>
      <c r="D60" s="30" t="s">
        <v>274</v>
      </c>
      <c r="E60" s="156" t="s">
        <v>267</v>
      </c>
      <c r="F60" s="33">
        <f>'SP3-1'!M35</f>
        <v>0</v>
      </c>
      <c r="G60" s="33">
        <f>'SP3-1'!M36</f>
        <v>0</v>
      </c>
      <c r="H60" s="30"/>
      <c r="I60" s="30"/>
      <c r="L60" s="29"/>
      <c r="N60" s="148"/>
    </row>
    <row r="61" spans="1:14" ht="13">
      <c r="A61" s="28" t="s">
        <v>275</v>
      </c>
      <c r="B61" s="28" t="s">
        <v>269</v>
      </c>
      <c r="C61" s="27">
        <f>F59</f>
        <v>0</v>
      </c>
      <c r="D61" s="30"/>
      <c r="E61" s="156"/>
      <c r="F61" s="30"/>
      <c r="G61" s="30"/>
      <c r="H61" s="30"/>
      <c r="I61" s="30"/>
      <c r="L61" s="155"/>
      <c r="N61" s="148"/>
    </row>
    <row r="62" spans="1:14" ht="13">
      <c r="A62" s="28" t="s">
        <v>275</v>
      </c>
      <c r="B62" s="28" t="s">
        <v>270</v>
      </c>
      <c r="C62" s="27">
        <f>G59</f>
        <v>0</v>
      </c>
      <c r="D62" s="36" t="s">
        <v>276</v>
      </c>
      <c r="E62" s="156" t="s">
        <v>267</v>
      </c>
      <c r="F62" s="33">
        <v>0</v>
      </c>
      <c r="G62" s="30"/>
      <c r="H62" s="30"/>
      <c r="I62" s="30"/>
      <c r="L62" s="29"/>
      <c r="N62" s="148"/>
    </row>
    <row r="63" spans="1:14" ht="13">
      <c r="A63" s="28" t="s">
        <v>277</v>
      </c>
      <c r="B63" s="28" t="s">
        <v>269</v>
      </c>
      <c r="C63" s="27">
        <f>F60</f>
        <v>0</v>
      </c>
      <c r="D63" s="30" t="s">
        <v>278</v>
      </c>
      <c r="E63" s="156" t="s">
        <v>267</v>
      </c>
      <c r="F63" s="33">
        <v>0</v>
      </c>
      <c r="G63" s="30"/>
      <c r="H63" s="30"/>
      <c r="I63" s="30"/>
      <c r="L63" s="29"/>
      <c r="N63" s="35"/>
    </row>
    <row r="64" spans="1:14" ht="13">
      <c r="A64" s="28" t="s">
        <v>277</v>
      </c>
      <c r="B64" s="28" t="s">
        <v>270</v>
      </c>
      <c r="C64" s="27">
        <f>G60</f>
        <v>0</v>
      </c>
      <c r="D64" s="30"/>
      <c r="E64" s="156"/>
      <c r="F64" s="30"/>
      <c r="G64" s="30"/>
      <c r="H64" s="30"/>
      <c r="I64" s="30"/>
      <c r="L64" s="155"/>
      <c r="N64" s="148"/>
    </row>
    <row r="65" spans="1:14" ht="13">
      <c r="A65" s="28" t="s">
        <v>279</v>
      </c>
      <c r="B65" s="28"/>
      <c r="C65" s="27">
        <f>F62</f>
        <v>0</v>
      </c>
      <c r="D65" s="34" t="s">
        <v>518</v>
      </c>
      <c r="E65" s="156"/>
      <c r="F65" s="34" t="s">
        <v>280</v>
      </c>
      <c r="G65" s="30"/>
      <c r="H65" s="34" t="s">
        <v>281</v>
      </c>
      <c r="I65" s="30"/>
      <c r="L65" s="155"/>
      <c r="N65" s="148"/>
    </row>
    <row r="66" spans="1:14" ht="13">
      <c r="A66" s="28" t="s">
        <v>282</v>
      </c>
      <c r="B66" s="28"/>
      <c r="C66" s="27">
        <f>F63</f>
        <v>0</v>
      </c>
      <c r="D66" s="30" t="s">
        <v>283</v>
      </c>
      <c r="E66" s="156" t="s">
        <v>267</v>
      </c>
      <c r="F66" s="33">
        <f>'SP3-1'!M38</f>
        <v>0</v>
      </c>
      <c r="G66" s="156" t="s">
        <v>267</v>
      </c>
      <c r="H66" s="164">
        <f>'SP3-1'!B49</f>
        <v>0</v>
      </c>
      <c r="I66" s="30"/>
      <c r="L66" s="29"/>
      <c r="N66" s="148"/>
    </row>
    <row r="67" spans="1:14" ht="13">
      <c r="A67" s="28" t="s">
        <v>284</v>
      </c>
      <c r="B67" s="28" t="s">
        <v>285</v>
      </c>
      <c r="C67" s="27">
        <f>F66</f>
        <v>0</v>
      </c>
      <c r="D67" s="30" t="s">
        <v>286</v>
      </c>
      <c r="E67" s="156" t="s">
        <v>267</v>
      </c>
      <c r="F67" s="33">
        <f>'SP3-1'!M39</f>
        <v>0</v>
      </c>
      <c r="G67" s="156" t="s">
        <v>267</v>
      </c>
      <c r="H67" s="164">
        <f>'SP3-1'!B50</f>
        <v>0</v>
      </c>
      <c r="I67" s="30"/>
      <c r="L67" s="29" t="s">
        <v>699</v>
      </c>
      <c r="N67" s="148"/>
    </row>
    <row r="68" spans="1:14" ht="13">
      <c r="A68" s="28" t="s">
        <v>287</v>
      </c>
      <c r="B68" s="28" t="s">
        <v>285</v>
      </c>
      <c r="C68" s="27">
        <f t="shared" ref="C68:C85" si="0">F67</f>
        <v>0</v>
      </c>
      <c r="D68" s="30" t="s">
        <v>700</v>
      </c>
      <c r="E68" s="156" t="s">
        <v>267</v>
      </c>
      <c r="F68" s="33">
        <f>'SP3-1'!M40</f>
        <v>0</v>
      </c>
      <c r="G68" s="156" t="s">
        <v>267</v>
      </c>
      <c r="H68" s="164" t="e">
        <f>'SP3-1'!B51</f>
        <v>#REF!</v>
      </c>
      <c r="I68" s="30"/>
      <c r="L68" s="29"/>
      <c r="N68" s="148"/>
    </row>
    <row r="69" spans="1:14" ht="13">
      <c r="A69" s="28" t="s">
        <v>289</v>
      </c>
      <c r="B69" s="28" t="s">
        <v>285</v>
      </c>
      <c r="C69" s="27">
        <f t="shared" si="0"/>
        <v>0</v>
      </c>
      <c r="D69" s="30" t="s">
        <v>290</v>
      </c>
      <c r="E69" s="156" t="s">
        <v>267</v>
      </c>
      <c r="F69" s="33">
        <v>0</v>
      </c>
      <c r="G69" s="156" t="s">
        <v>267</v>
      </c>
      <c r="H69" s="164"/>
      <c r="I69" s="30"/>
      <c r="L69" s="29"/>
      <c r="N69" s="148"/>
    </row>
    <row r="70" spans="1:14" ht="13">
      <c r="A70" s="28" t="s">
        <v>291</v>
      </c>
      <c r="B70" s="28" t="s">
        <v>285</v>
      </c>
      <c r="C70" s="27">
        <f t="shared" si="0"/>
        <v>0</v>
      </c>
      <c r="D70" s="30" t="s">
        <v>292</v>
      </c>
      <c r="E70" s="156" t="s">
        <v>267</v>
      </c>
      <c r="F70" s="33">
        <v>0</v>
      </c>
      <c r="G70" s="156" t="s">
        <v>267</v>
      </c>
      <c r="H70" s="164"/>
      <c r="I70" s="30"/>
      <c r="L70" s="29"/>
      <c r="N70" s="148"/>
    </row>
    <row r="71" spans="1:14" ht="13">
      <c r="A71" s="28" t="s">
        <v>293</v>
      </c>
      <c r="B71" s="28" t="s">
        <v>285</v>
      </c>
      <c r="C71" s="27">
        <f t="shared" si="0"/>
        <v>0</v>
      </c>
      <c r="D71" s="30" t="s">
        <v>294</v>
      </c>
      <c r="E71" s="156" t="s">
        <v>267</v>
      </c>
      <c r="F71" s="33">
        <v>0</v>
      </c>
      <c r="G71" s="156" t="s">
        <v>267</v>
      </c>
      <c r="H71" s="164"/>
      <c r="I71" s="30"/>
      <c r="L71" s="29"/>
      <c r="N71" s="148"/>
    </row>
    <row r="72" spans="1:14" ht="13">
      <c r="A72" s="28" t="s">
        <v>295</v>
      </c>
      <c r="B72" s="28" t="s">
        <v>285</v>
      </c>
      <c r="C72" s="27">
        <f t="shared" si="0"/>
        <v>0</v>
      </c>
      <c r="D72" s="30" t="s">
        <v>296</v>
      </c>
      <c r="E72" s="156" t="s">
        <v>267</v>
      </c>
      <c r="F72" s="33">
        <v>0</v>
      </c>
      <c r="G72" s="156" t="s">
        <v>267</v>
      </c>
      <c r="H72" s="164"/>
      <c r="I72" s="30"/>
      <c r="L72" s="29"/>
      <c r="N72" s="148"/>
    </row>
    <row r="73" spans="1:14" ht="13">
      <c r="A73" s="28" t="s">
        <v>297</v>
      </c>
      <c r="B73" s="28" t="s">
        <v>285</v>
      </c>
      <c r="C73" s="27">
        <f t="shared" si="0"/>
        <v>0</v>
      </c>
      <c r="D73" s="30" t="s">
        <v>298</v>
      </c>
      <c r="E73" s="156" t="s">
        <v>267</v>
      </c>
      <c r="F73" s="33">
        <v>0</v>
      </c>
      <c r="G73" s="156" t="s">
        <v>267</v>
      </c>
      <c r="H73" s="164"/>
      <c r="I73" s="30"/>
      <c r="L73" s="29"/>
      <c r="N73" s="148"/>
    </row>
    <row r="74" spans="1:14" ht="13">
      <c r="A74" s="28" t="s">
        <v>299</v>
      </c>
      <c r="B74" s="28" t="s">
        <v>285</v>
      </c>
      <c r="C74" s="27">
        <f t="shared" si="0"/>
        <v>0</v>
      </c>
      <c r="D74" s="30" t="s">
        <v>300</v>
      </c>
      <c r="E74" s="156" t="s">
        <v>267</v>
      </c>
      <c r="F74" s="33">
        <v>0</v>
      </c>
      <c r="G74" s="156" t="s">
        <v>267</v>
      </c>
      <c r="H74" s="164"/>
      <c r="I74" s="30"/>
      <c r="L74" s="29"/>
      <c r="N74" s="148"/>
    </row>
    <row r="75" spans="1:14" ht="13">
      <c r="A75" s="28" t="s">
        <v>301</v>
      </c>
      <c r="B75" s="28" t="s">
        <v>285</v>
      </c>
      <c r="C75" s="27">
        <f t="shared" si="0"/>
        <v>0</v>
      </c>
      <c r="D75" s="30" t="s">
        <v>701</v>
      </c>
      <c r="E75" s="156" t="s">
        <v>267</v>
      </c>
      <c r="F75" s="33">
        <v>0</v>
      </c>
      <c r="G75" s="156" t="s">
        <v>267</v>
      </c>
      <c r="H75" s="164"/>
      <c r="I75" s="30"/>
      <c r="L75" s="29"/>
      <c r="N75" s="148"/>
    </row>
    <row r="76" spans="1:14" ht="13">
      <c r="A76" s="28" t="s">
        <v>302</v>
      </c>
      <c r="B76" s="28" t="s">
        <v>285</v>
      </c>
      <c r="C76" s="27">
        <f t="shared" si="0"/>
        <v>0</v>
      </c>
      <c r="D76" s="30" t="s">
        <v>303</v>
      </c>
      <c r="E76" s="156" t="s">
        <v>267</v>
      </c>
      <c r="F76" s="33">
        <v>0</v>
      </c>
      <c r="G76" s="156" t="s">
        <v>267</v>
      </c>
      <c r="H76" s="164"/>
      <c r="I76" s="30"/>
      <c r="L76" s="29"/>
      <c r="N76" s="148"/>
    </row>
    <row r="77" spans="1:14" ht="13">
      <c r="A77" s="28" t="s">
        <v>304</v>
      </c>
      <c r="B77" s="28" t="s">
        <v>285</v>
      </c>
      <c r="C77" s="27">
        <f t="shared" si="0"/>
        <v>0</v>
      </c>
      <c r="D77" s="30" t="s">
        <v>305</v>
      </c>
      <c r="E77" s="156" t="s">
        <v>267</v>
      </c>
      <c r="F77" s="33">
        <v>0</v>
      </c>
      <c r="G77" s="156" t="s">
        <v>267</v>
      </c>
      <c r="H77" s="164"/>
      <c r="I77" s="30"/>
      <c r="L77" s="29"/>
      <c r="N77" s="148"/>
    </row>
    <row r="78" spans="1:14" ht="13">
      <c r="A78" s="28" t="s">
        <v>306</v>
      </c>
      <c r="B78" s="28" t="s">
        <v>285</v>
      </c>
      <c r="C78" s="27">
        <f t="shared" si="0"/>
        <v>0</v>
      </c>
      <c r="D78" s="30" t="s">
        <v>307</v>
      </c>
      <c r="E78" s="156" t="s">
        <v>267</v>
      </c>
      <c r="F78" s="33">
        <v>0</v>
      </c>
      <c r="G78" s="156" t="s">
        <v>267</v>
      </c>
      <c r="H78" s="164"/>
      <c r="I78" s="30"/>
      <c r="L78" s="29"/>
      <c r="N78" s="148"/>
    </row>
    <row r="79" spans="1:14" ht="13">
      <c r="A79" s="28" t="s">
        <v>308</v>
      </c>
      <c r="B79" s="28" t="s">
        <v>285</v>
      </c>
      <c r="C79" s="27">
        <f t="shared" si="0"/>
        <v>0</v>
      </c>
      <c r="D79" s="30" t="s">
        <v>309</v>
      </c>
      <c r="E79" s="156" t="s">
        <v>267</v>
      </c>
      <c r="F79" s="33">
        <v>0</v>
      </c>
      <c r="G79" s="156" t="s">
        <v>267</v>
      </c>
      <c r="H79" s="164"/>
      <c r="I79" s="30"/>
      <c r="L79" s="29"/>
      <c r="N79" s="148"/>
    </row>
    <row r="80" spans="1:14" ht="13">
      <c r="A80" s="28" t="s">
        <v>310</v>
      </c>
      <c r="B80" s="28" t="s">
        <v>285</v>
      </c>
      <c r="C80" s="27">
        <f t="shared" si="0"/>
        <v>0</v>
      </c>
      <c r="D80" s="30" t="s">
        <v>311</v>
      </c>
      <c r="E80" s="156" t="s">
        <v>267</v>
      </c>
      <c r="F80" s="33">
        <v>0</v>
      </c>
      <c r="G80" s="156" t="s">
        <v>267</v>
      </c>
      <c r="H80" s="164"/>
      <c r="I80" s="30"/>
      <c r="L80" s="29"/>
      <c r="N80" s="148"/>
    </row>
    <row r="81" spans="1:14" ht="13">
      <c r="A81" s="28" t="s">
        <v>312</v>
      </c>
      <c r="B81" s="28" t="s">
        <v>285</v>
      </c>
      <c r="C81" s="27">
        <f t="shared" si="0"/>
        <v>0</v>
      </c>
      <c r="D81" s="30" t="s">
        <v>313</v>
      </c>
      <c r="E81" s="156" t="s">
        <v>267</v>
      </c>
      <c r="F81" s="33">
        <v>0</v>
      </c>
      <c r="G81" s="156" t="s">
        <v>267</v>
      </c>
      <c r="H81" s="164"/>
      <c r="I81" s="30"/>
      <c r="L81" s="29"/>
      <c r="N81" s="148"/>
    </row>
    <row r="82" spans="1:14" ht="13">
      <c r="A82" s="28" t="s">
        <v>314</v>
      </c>
      <c r="B82" s="28" t="s">
        <v>285</v>
      </c>
      <c r="C82" s="27">
        <f t="shared" si="0"/>
        <v>0</v>
      </c>
      <c r="D82" s="30" t="s">
        <v>315</v>
      </c>
      <c r="E82" s="156" t="s">
        <v>267</v>
      </c>
      <c r="F82" s="33">
        <v>0</v>
      </c>
      <c r="G82" s="156" t="s">
        <v>267</v>
      </c>
      <c r="H82" s="164"/>
      <c r="I82" s="30"/>
      <c r="L82" s="29"/>
      <c r="N82" s="148"/>
    </row>
    <row r="83" spans="1:14" ht="13">
      <c r="A83" s="28" t="s">
        <v>316</v>
      </c>
      <c r="B83" s="28" t="s">
        <v>285</v>
      </c>
      <c r="C83" s="27">
        <f t="shared" si="0"/>
        <v>0</v>
      </c>
      <c r="D83" s="30" t="s">
        <v>317</v>
      </c>
      <c r="E83" s="156" t="s">
        <v>267</v>
      </c>
      <c r="F83" s="33">
        <v>0</v>
      </c>
      <c r="G83" s="156" t="s">
        <v>267</v>
      </c>
      <c r="H83" s="164"/>
      <c r="I83" s="30"/>
      <c r="L83" s="29"/>
      <c r="N83" s="148"/>
    </row>
    <row r="84" spans="1:14" ht="13">
      <c r="A84" s="28" t="s">
        <v>318</v>
      </c>
      <c r="B84" s="28" t="s">
        <v>285</v>
      </c>
      <c r="C84" s="27">
        <f t="shared" si="0"/>
        <v>0</v>
      </c>
      <c r="D84" s="30" t="s">
        <v>702</v>
      </c>
      <c r="E84" s="156" t="s">
        <v>267</v>
      </c>
      <c r="F84" s="168">
        <f>SUM(F66:F83)</f>
        <v>0</v>
      </c>
      <c r="G84" s="156" t="s">
        <v>267</v>
      </c>
      <c r="H84" s="164">
        <f>SUM(H8:H66)</f>
        <v>0</v>
      </c>
      <c r="I84" s="30"/>
      <c r="L84" s="29"/>
      <c r="N84" s="148"/>
    </row>
    <row r="85" spans="1:14" ht="12.75" customHeight="1">
      <c r="A85" s="28" t="s">
        <v>319</v>
      </c>
      <c r="B85" s="28" t="s">
        <v>285</v>
      </c>
      <c r="C85" s="27">
        <f t="shared" si="0"/>
        <v>0</v>
      </c>
      <c r="D85" s="169"/>
      <c r="E85" s="30"/>
      <c r="F85" s="30"/>
      <c r="G85" s="30"/>
      <c r="H85" s="30"/>
      <c r="I85" s="30"/>
      <c r="L85" s="155"/>
      <c r="N85" s="148"/>
    </row>
    <row r="86" spans="1:14" ht="13">
      <c r="A86" s="28" t="s">
        <v>320</v>
      </c>
      <c r="B86" s="28"/>
      <c r="C86" s="32">
        <f>F88</f>
        <v>0</v>
      </c>
      <c r="D86" s="30" t="s">
        <v>321</v>
      </c>
      <c r="E86" s="30"/>
      <c r="F86" s="423"/>
      <c r="G86" s="424"/>
      <c r="H86" s="424"/>
      <c r="I86" s="424"/>
      <c r="J86" s="425"/>
      <c r="L86" s="29"/>
      <c r="N86" s="148"/>
    </row>
    <row r="87" spans="1:14" ht="13">
      <c r="A87" s="28" t="s">
        <v>322</v>
      </c>
      <c r="B87" s="28"/>
      <c r="C87" s="32">
        <f>F89</f>
        <v>0</v>
      </c>
      <c r="D87" s="30"/>
      <c r="E87" s="30"/>
      <c r="F87" s="30"/>
      <c r="G87" s="30"/>
      <c r="H87" s="30"/>
      <c r="I87" s="30"/>
      <c r="L87" s="155"/>
      <c r="N87" s="148"/>
    </row>
    <row r="88" spans="1:14" ht="13">
      <c r="A88" s="28" t="s">
        <v>323</v>
      </c>
      <c r="B88" s="28"/>
      <c r="C88" s="32">
        <f>F90</f>
        <v>0</v>
      </c>
      <c r="D88" s="30" t="s">
        <v>324</v>
      </c>
      <c r="E88" s="30"/>
      <c r="F88" s="38">
        <f>'SP3-1'!M41</f>
        <v>0</v>
      </c>
      <c r="G88" s="30"/>
      <c r="H88" s="30"/>
      <c r="I88" s="30"/>
      <c r="L88" s="29"/>
      <c r="N88" s="148"/>
    </row>
    <row r="89" spans="1:14" ht="13">
      <c r="A89" s="28" t="s">
        <v>325</v>
      </c>
      <c r="B89" s="28" t="s">
        <v>326</v>
      </c>
      <c r="C89" s="32">
        <f>F92</f>
        <v>0</v>
      </c>
      <c r="D89" s="30" t="s">
        <v>327</v>
      </c>
      <c r="E89" s="30"/>
      <c r="F89" s="38">
        <v>0</v>
      </c>
      <c r="G89" s="30"/>
      <c r="H89" s="30"/>
      <c r="I89" s="30"/>
      <c r="L89" s="29"/>
      <c r="N89" s="148"/>
    </row>
    <row r="90" spans="1:14" ht="13">
      <c r="A90" s="28" t="s">
        <v>325</v>
      </c>
      <c r="B90" s="28" t="s">
        <v>328</v>
      </c>
      <c r="C90" s="32">
        <f>G92</f>
        <v>0</v>
      </c>
      <c r="D90" s="30" t="s">
        <v>329</v>
      </c>
      <c r="E90" s="30"/>
      <c r="F90" s="38">
        <f>'SP3-1'!M43</f>
        <v>0</v>
      </c>
      <c r="G90" s="30"/>
      <c r="H90" s="30"/>
      <c r="I90" s="30"/>
      <c r="L90" s="29"/>
      <c r="N90" s="148"/>
    </row>
    <row r="91" spans="1:14" ht="25.5">
      <c r="A91" s="31" t="s">
        <v>330</v>
      </c>
      <c r="B91" s="28"/>
      <c r="C91" s="27" t="e">
        <f>I51</f>
        <v>#REF!</v>
      </c>
      <c r="D91" s="30"/>
      <c r="E91" s="30"/>
      <c r="F91" s="30"/>
      <c r="G91" s="30"/>
      <c r="H91" s="30"/>
      <c r="I91" s="30"/>
      <c r="L91" s="155"/>
      <c r="N91" s="148"/>
    </row>
    <row r="92" spans="1:14" ht="13">
      <c r="A92" s="28" t="s">
        <v>331</v>
      </c>
      <c r="B92" s="28"/>
      <c r="C92" s="27">
        <f>I52</f>
        <v>0</v>
      </c>
      <c r="D92" s="30" t="s">
        <v>332</v>
      </c>
      <c r="E92" s="30"/>
      <c r="F92" s="38">
        <f>'SP3-1'!P43</f>
        <v>0</v>
      </c>
      <c r="G92" s="38">
        <f>'SP3-1'!R43</f>
        <v>0</v>
      </c>
      <c r="H92" s="30"/>
      <c r="I92" s="30"/>
      <c r="L92" s="29"/>
      <c r="N92" s="148"/>
    </row>
    <row r="93" spans="1:14">
      <c r="A93" s="28" t="s">
        <v>333</v>
      </c>
      <c r="B93" s="28"/>
      <c r="C93" s="27" t="e">
        <f>I53</f>
        <v>#DIV/0!</v>
      </c>
      <c r="N93" s="148"/>
    </row>
    <row r="94" spans="1:14">
      <c r="A94" s="28" t="s">
        <v>284</v>
      </c>
      <c r="B94" s="28" t="s">
        <v>334</v>
      </c>
      <c r="C94" s="27">
        <f>H66</f>
        <v>0</v>
      </c>
      <c r="N94" s="148"/>
    </row>
    <row r="95" spans="1:14">
      <c r="A95" s="28" t="s">
        <v>287</v>
      </c>
      <c r="B95" s="28" t="s">
        <v>334</v>
      </c>
      <c r="C95" s="27">
        <f t="shared" ref="C95:C112" si="1">H67</f>
        <v>0</v>
      </c>
      <c r="N95" s="148"/>
    </row>
    <row r="96" spans="1:14">
      <c r="A96" s="28" t="s">
        <v>289</v>
      </c>
      <c r="B96" s="28" t="s">
        <v>334</v>
      </c>
      <c r="C96" s="27" t="e">
        <f t="shared" si="1"/>
        <v>#REF!</v>
      </c>
      <c r="N96" s="148"/>
    </row>
    <row r="97" spans="1:14">
      <c r="A97" s="28" t="s">
        <v>291</v>
      </c>
      <c r="B97" s="28" t="s">
        <v>334</v>
      </c>
      <c r="C97" s="27">
        <f t="shared" si="1"/>
        <v>0</v>
      </c>
      <c r="N97" s="148"/>
    </row>
    <row r="98" spans="1:14">
      <c r="A98" s="28" t="s">
        <v>293</v>
      </c>
      <c r="B98" s="28" t="s">
        <v>334</v>
      </c>
      <c r="C98" s="27">
        <f t="shared" si="1"/>
        <v>0</v>
      </c>
      <c r="N98" s="148"/>
    </row>
    <row r="99" spans="1:14" ht="14.5" hidden="1">
      <c r="A99" s="28" t="s">
        <v>295</v>
      </c>
      <c r="B99" s="28" t="s">
        <v>334</v>
      </c>
      <c r="C99" s="27">
        <f t="shared" si="1"/>
        <v>0</v>
      </c>
      <c r="D99" s="146" t="s">
        <v>335</v>
      </c>
      <c r="N99" s="148"/>
    </row>
    <row r="100" spans="1:14" hidden="1">
      <c r="A100" s="28" t="s">
        <v>297</v>
      </c>
      <c r="B100" s="28" t="s">
        <v>334</v>
      </c>
      <c r="C100" s="27">
        <f t="shared" si="1"/>
        <v>0</v>
      </c>
      <c r="D100" s="26" t="s">
        <v>336</v>
      </c>
      <c r="N100" s="148"/>
    </row>
    <row r="101" spans="1:14" hidden="1">
      <c r="A101" s="28" t="s">
        <v>299</v>
      </c>
      <c r="B101" s="28" t="s">
        <v>334</v>
      </c>
      <c r="C101" s="27">
        <f t="shared" si="1"/>
        <v>0</v>
      </c>
      <c r="D101" s="26" t="s">
        <v>337</v>
      </c>
      <c r="N101" s="148"/>
    </row>
    <row r="102" spans="1:14" hidden="1">
      <c r="A102" s="28" t="s">
        <v>301</v>
      </c>
      <c r="B102" s="28" t="s">
        <v>334</v>
      </c>
      <c r="C102" s="27">
        <f t="shared" si="1"/>
        <v>0</v>
      </c>
      <c r="D102" s="26" t="s">
        <v>338</v>
      </c>
      <c r="N102" s="148"/>
    </row>
    <row r="103" spans="1:14" hidden="1">
      <c r="A103" s="28" t="s">
        <v>302</v>
      </c>
      <c r="B103" s="28" t="s">
        <v>334</v>
      </c>
      <c r="C103" s="27">
        <f t="shared" si="1"/>
        <v>0</v>
      </c>
      <c r="D103" s="26" t="s">
        <v>339</v>
      </c>
      <c r="N103" s="148"/>
    </row>
    <row r="104" spans="1:14" hidden="1">
      <c r="A104" s="28" t="s">
        <v>304</v>
      </c>
      <c r="B104" s="28" t="s">
        <v>334</v>
      </c>
      <c r="C104" s="27">
        <f t="shared" si="1"/>
        <v>0</v>
      </c>
      <c r="D104" s="26" t="s">
        <v>340</v>
      </c>
      <c r="N104" s="148"/>
    </row>
    <row r="105" spans="1:14">
      <c r="A105" s="28" t="s">
        <v>306</v>
      </c>
      <c r="B105" s="28" t="s">
        <v>334</v>
      </c>
      <c r="C105" s="27">
        <f t="shared" si="1"/>
        <v>0</v>
      </c>
      <c r="N105" s="148"/>
    </row>
    <row r="106" spans="1:14">
      <c r="A106" s="28" t="s">
        <v>308</v>
      </c>
      <c r="B106" s="28" t="s">
        <v>334</v>
      </c>
      <c r="C106" s="27">
        <f t="shared" si="1"/>
        <v>0</v>
      </c>
      <c r="N106" s="148"/>
    </row>
    <row r="107" spans="1:14">
      <c r="A107" s="28" t="s">
        <v>310</v>
      </c>
      <c r="B107" s="28" t="s">
        <v>334</v>
      </c>
      <c r="C107" s="27">
        <f t="shared" si="1"/>
        <v>0</v>
      </c>
      <c r="N107" s="148"/>
    </row>
    <row r="108" spans="1:14">
      <c r="A108" s="28" t="s">
        <v>312</v>
      </c>
      <c r="B108" s="28" t="s">
        <v>334</v>
      </c>
      <c r="C108" s="27">
        <f t="shared" si="1"/>
        <v>0</v>
      </c>
      <c r="N108" s="148"/>
    </row>
    <row r="109" spans="1:14">
      <c r="A109" s="28" t="s">
        <v>314</v>
      </c>
      <c r="B109" s="28" t="s">
        <v>334</v>
      </c>
      <c r="C109" s="27">
        <f t="shared" si="1"/>
        <v>0</v>
      </c>
      <c r="N109" s="148"/>
    </row>
    <row r="110" spans="1:14">
      <c r="A110" s="28" t="s">
        <v>316</v>
      </c>
      <c r="B110" s="28" t="s">
        <v>334</v>
      </c>
      <c r="C110" s="27">
        <f t="shared" si="1"/>
        <v>0</v>
      </c>
      <c r="N110" s="148"/>
    </row>
    <row r="111" spans="1:14">
      <c r="A111" s="28" t="s">
        <v>318</v>
      </c>
      <c r="B111" s="28" t="s">
        <v>334</v>
      </c>
      <c r="C111" s="27">
        <f t="shared" si="1"/>
        <v>0</v>
      </c>
      <c r="N111" s="148"/>
    </row>
    <row r="112" spans="1:14">
      <c r="A112" s="28" t="s">
        <v>319</v>
      </c>
      <c r="B112" s="28" t="s">
        <v>334</v>
      </c>
      <c r="C112" s="27">
        <f t="shared" si="1"/>
        <v>0</v>
      </c>
      <c r="N112" s="148"/>
    </row>
    <row r="113" spans="14:14">
      <c r="N113" s="148"/>
    </row>
    <row r="114" spans="14:14">
      <c r="N114" s="148"/>
    </row>
    <row r="115" spans="14:14">
      <c r="N115" s="148"/>
    </row>
    <row r="116" spans="14:14">
      <c r="N116" s="148"/>
    </row>
    <row r="117" spans="14:14">
      <c r="N117" s="148"/>
    </row>
    <row r="118" spans="14:14">
      <c r="N118" s="148"/>
    </row>
    <row r="119" spans="14:14">
      <c r="N119" s="148"/>
    </row>
    <row r="120" spans="14:14">
      <c r="N120" s="148"/>
    </row>
    <row r="121" spans="14:14">
      <c r="N121" s="148"/>
    </row>
    <row r="122" spans="14:14">
      <c r="N122" s="148"/>
    </row>
    <row r="123" spans="14:14">
      <c r="N123" s="148"/>
    </row>
    <row r="124" spans="14:14">
      <c r="N124" s="148"/>
    </row>
    <row r="125" spans="14:14">
      <c r="N125" s="148"/>
    </row>
    <row r="126" spans="14:14">
      <c r="N126" s="148"/>
    </row>
    <row r="127" spans="14:14">
      <c r="N127" s="148"/>
    </row>
    <row r="128" spans="14:14">
      <c r="N128" s="148"/>
    </row>
    <row r="129" spans="14:14">
      <c r="N129" s="148"/>
    </row>
    <row r="130" spans="14:14">
      <c r="N130" s="148"/>
    </row>
    <row r="131" spans="14:14">
      <c r="N131" s="148"/>
    </row>
    <row r="132" spans="14:14">
      <c r="N132" s="148"/>
    </row>
    <row r="133" spans="14:14">
      <c r="N133" s="148"/>
    </row>
    <row r="134" spans="14:14">
      <c r="N134" s="148"/>
    </row>
    <row r="135" spans="14:14">
      <c r="N135" s="148"/>
    </row>
    <row r="136" spans="14:14">
      <c r="N136" s="148"/>
    </row>
    <row r="137" spans="14:14">
      <c r="N137" s="148"/>
    </row>
    <row r="138" spans="14:14">
      <c r="N138" s="148"/>
    </row>
    <row r="139" spans="14:14">
      <c r="N139" s="148"/>
    </row>
    <row r="140" spans="14:14">
      <c r="N140" s="148"/>
    </row>
    <row r="141" spans="14:14">
      <c r="N141" s="148"/>
    </row>
    <row r="142" spans="14:14">
      <c r="N142" s="148"/>
    </row>
    <row r="143" spans="14:14">
      <c r="N143" s="148"/>
    </row>
    <row r="144" spans="14:14">
      <c r="N144" s="148"/>
    </row>
    <row r="145" spans="14:14">
      <c r="N145" s="148"/>
    </row>
    <row r="146" spans="14:14">
      <c r="N146" s="148"/>
    </row>
    <row r="147" spans="14:14">
      <c r="N147" s="148"/>
    </row>
    <row r="148" spans="14:14">
      <c r="N148" s="148"/>
    </row>
    <row r="149" spans="14:14">
      <c r="N149" s="148"/>
    </row>
    <row r="150" spans="14:14">
      <c r="N150" s="148"/>
    </row>
    <row r="151" spans="14:14">
      <c r="N151" s="148"/>
    </row>
    <row r="152" spans="14:14">
      <c r="N152" s="148"/>
    </row>
    <row r="153" spans="14:14">
      <c r="N153" s="148"/>
    </row>
    <row r="154" spans="14:14">
      <c r="N154" s="148"/>
    </row>
    <row r="155" spans="14:14">
      <c r="N155" s="148"/>
    </row>
    <row r="156" spans="14:14">
      <c r="N156" s="148"/>
    </row>
    <row r="157" spans="14:14">
      <c r="N157" s="148"/>
    </row>
    <row r="158" spans="14:14">
      <c r="N158" s="148"/>
    </row>
    <row r="159" spans="14:14">
      <c r="N159" s="148"/>
    </row>
    <row r="160" spans="14:14">
      <c r="N160" s="148"/>
    </row>
    <row r="161" spans="14:14">
      <c r="N161" s="148"/>
    </row>
    <row r="162" spans="14:14">
      <c r="N162" s="148"/>
    </row>
    <row r="163" spans="14:14">
      <c r="N163" s="148"/>
    </row>
    <row r="164" spans="14:14">
      <c r="N164" s="148"/>
    </row>
    <row r="165" spans="14:14">
      <c r="N165" s="148"/>
    </row>
    <row r="166" spans="14:14">
      <c r="N166" s="148"/>
    </row>
    <row r="167" spans="14:14">
      <c r="N167" s="148"/>
    </row>
    <row r="168" spans="14:14">
      <c r="N168" s="148"/>
    </row>
    <row r="169" spans="14:14">
      <c r="N169" s="148"/>
    </row>
    <row r="170" spans="14:14">
      <c r="N170" s="148"/>
    </row>
    <row r="171" spans="14:14">
      <c r="N171" s="148"/>
    </row>
    <row r="172" spans="14:14">
      <c r="N172" s="148"/>
    </row>
    <row r="173" spans="14:14">
      <c r="N173" s="148"/>
    </row>
    <row r="174" spans="14:14">
      <c r="N174" s="148"/>
    </row>
    <row r="175" spans="14:14">
      <c r="N175" s="148"/>
    </row>
    <row r="176" spans="14:14">
      <c r="N176" s="148"/>
    </row>
    <row r="177" spans="14:14">
      <c r="N177" s="148"/>
    </row>
    <row r="178" spans="14:14">
      <c r="N178" s="148"/>
    </row>
    <row r="179" spans="14:14">
      <c r="N179" s="148"/>
    </row>
    <row r="180" spans="14:14">
      <c r="N180" s="148"/>
    </row>
    <row r="181" spans="14:14">
      <c r="N181" s="148"/>
    </row>
    <row r="182" spans="14:14">
      <c r="N182" s="148"/>
    </row>
    <row r="183" spans="14:14">
      <c r="N183" s="148"/>
    </row>
    <row r="184" spans="14:14">
      <c r="N184" s="148"/>
    </row>
    <row r="185" spans="14:14">
      <c r="N185" s="148"/>
    </row>
    <row r="186" spans="14:14">
      <c r="N186" s="148"/>
    </row>
    <row r="187" spans="14:14">
      <c r="N187" s="148"/>
    </row>
    <row r="188" spans="14:14">
      <c r="N188" s="148"/>
    </row>
    <row r="189" spans="14:14">
      <c r="N189" s="148"/>
    </row>
    <row r="190" spans="14:14">
      <c r="N190" s="148"/>
    </row>
    <row r="191" spans="14:14">
      <c r="N191" s="148"/>
    </row>
    <row r="192" spans="14:14">
      <c r="N192" s="148"/>
    </row>
    <row r="193" spans="14:14">
      <c r="N193" s="148"/>
    </row>
    <row r="194" spans="14:14">
      <c r="N194" s="148"/>
    </row>
    <row r="195" spans="14:14">
      <c r="N195" s="148"/>
    </row>
    <row r="196" spans="14:14">
      <c r="N196" s="148"/>
    </row>
    <row r="197" spans="14:14">
      <c r="N197" s="148"/>
    </row>
    <row r="198" spans="14:14">
      <c r="N198" s="148"/>
    </row>
    <row r="199" spans="14:14">
      <c r="N199" s="148"/>
    </row>
    <row r="200" spans="14:14">
      <c r="N200" s="148"/>
    </row>
    <row r="201" spans="14:14">
      <c r="N201" s="148"/>
    </row>
    <row r="202" spans="14:14">
      <c r="N202" s="148"/>
    </row>
    <row r="203" spans="14:14">
      <c r="N203" s="148"/>
    </row>
    <row r="204" spans="14:14">
      <c r="N204" s="148"/>
    </row>
    <row r="205" spans="14:14">
      <c r="N205" s="148"/>
    </row>
    <row r="206" spans="14:14">
      <c r="N206" s="148"/>
    </row>
    <row r="207" spans="14:14">
      <c r="N207" s="148"/>
    </row>
    <row r="208" spans="14:14">
      <c r="N208" s="148"/>
    </row>
    <row r="209" spans="14:14">
      <c r="N209" s="148"/>
    </row>
    <row r="210" spans="14:14">
      <c r="N210" s="148"/>
    </row>
    <row r="211" spans="14:14">
      <c r="N211" s="148"/>
    </row>
    <row r="212" spans="14:14">
      <c r="N212" s="148"/>
    </row>
    <row r="213" spans="14:14">
      <c r="N213" s="148"/>
    </row>
    <row r="214" spans="14:14">
      <c r="N214" s="148"/>
    </row>
    <row r="215" spans="14:14">
      <c r="N215" s="148"/>
    </row>
    <row r="216" spans="14:14">
      <c r="N216" s="148"/>
    </row>
    <row r="217" spans="14:14">
      <c r="N217" s="148"/>
    </row>
    <row r="218" spans="14:14">
      <c r="N218" s="148"/>
    </row>
    <row r="219" spans="14:14">
      <c r="N219" s="148"/>
    </row>
    <row r="220" spans="14:14">
      <c r="N220" s="148"/>
    </row>
    <row r="221" spans="14:14">
      <c r="N221" s="148"/>
    </row>
    <row r="222" spans="14:14">
      <c r="N222" s="148"/>
    </row>
    <row r="223" spans="14:14">
      <c r="N223" s="148"/>
    </row>
    <row r="224" spans="14:14">
      <c r="N224" s="148"/>
    </row>
    <row r="225" spans="14:14">
      <c r="N225" s="148"/>
    </row>
    <row r="226" spans="14:14">
      <c r="N226" s="148"/>
    </row>
    <row r="227" spans="14:14">
      <c r="N227" s="148"/>
    </row>
    <row r="228" spans="14:14">
      <c r="N228" s="148"/>
    </row>
    <row r="229" spans="14:14">
      <c r="N229" s="148"/>
    </row>
    <row r="230" spans="14:14">
      <c r="N230" s="148"/>
    </row>
    <row r="231" spans="14:14">
      <c r="N231" s="148"/>
    </row>
    <row r="232" spans="14:14">
      <c r="N232" s="148"/>
    </row>
    <row r="233" spans="14:14">
      <c r="N233" s="148"/>
    </row>
    <row r="234" spans="14:14">
      <c r="N234" s="148"/>
    </row>
    <row r="235" spans="14:14">
      <c r="N235" s="148"/>
    </row>
    <row r="236" spans="14:14">
      <c r="N236" s="148"/>
    </row>
    <row r="237" spans="14:14">
      <c r="N237" s="148"/>
    </row>
    <row r="238" spans="14:14">
      <c r="N238" s="148"/>
    </row>
    <row r="239" spans="14:14">
      <c r="N239" s="148"/>
    </row>
    <row r="240" spans="14:14">
      <c r="N240" s="148"/>
    </row>
    <row r="241" spans="14:14">
      <c r="N241" s="148"/>
    </row>
    <row r="242" spans="14:14">
      <c r="N242" s="148"/>
    </row>
    <row r="243" spans="14:14">
      <c r="N243" s="148"/>
    </row>
    <row r="244" spans="14:14">
      <c r="N244" s="148"/>
    </row>
    <row r="245" spans="14:14">
      <c r="N245" s="148"/>
    </row>
    <row r="246" spans="14:14">
      <c r="N246" s="148"/>
    </row>
    <row r="247" spans="14:14">
      <c r="N247" s="148"/>
    </row>
    <row r="248" spans="14:14">
      <c r="N248" s="148"/>
    </row>
    <row r="249" spans="14:14">
      <c r="N249" s="148"/>
    </row>
    <row r="250" spans="14:14">
      <c r="N250" s="148"/>
    </row>
    <row r="251" spans="14:14">
      <c r="N251" s="148"/>
    </row>
    <row r="252" spans="14:14">
      <c r="N252" s="148"/>
    </row>
    <row r="253" spans="14:14">
      <c r="N253" s="148"/>
    </row>
    <row r="254" spans="14:14">
      <c r="N254" s="148"/>
    </row>
    <row r="255" spans="14:14">
      <c r="N255" s="148"/>
    </row>
    <row r="256" spans="14:14">
      <c r="N256" s="148"/>
    </row>
    <row r="257" spans="14:14">
      <c r="N257" s="148"/>
    </row>
    <row r="258" spans="14:14">
      <c r="N258" s="148"/>
    </row>
    <row r="259" spans="14:14">
      <c r="N259" s="148"/>
    </row>
    <row r="260" spans="14:14">
      <c r="N260" s="148"/>
    </row>
    <row r="261" spans="14:14">
      <c r="N261" s="148"/>
    </row>
    <row r="262" spans="14:14">
      <c r="N262" s="148"/>
    </row>
    <row r="263" spans="14:14">
      <c r="N263" s="148"/>
    </row>
    <row r="264" spans="14:14">
      <c r="N264" s="148"/>
    </row>
    <row r="265" spans="14:14">
      <c r="N265" s="148"/>
    </row>
    <row r="266" spans="14:14">
      <c r="N266" s="148"/>
    </row>
    <row r="267" spans="14:14">
      <c r="N267" s="148"/>
    </row>
    <row r="268" spans="14:14">
      <c r="N268" s="148"/>
    </row>
    <row r="269" spans="14:14">
      <c r="N269" s="148"/>
    </row>
    <row r="270" spans="14:14">
      <c r="N270" s="148"/>
    </row>
    <row r="271" spans="14:14">
      <c r="N271" s="148"/>
    </row>
    <row r="272" spans="14:14">
      <c r="N272" s="148"/>
    </row>
    <row r="273" spans="14:14">
      <c r="N273" s="148"/>
    </row>
    <row r="274" spans="14:14">
      <c r="N274" s="148"/>
    </row>
    <row r="275" spans="14:14">
      <c r="N275" s="148"/>
    </row>
    <row r="276" spans="14:14">
      <c r="N276" s="148"/>
    </row>
    <row r="277" spans="14:14">
      <c r="N277" s="148"/>
    </row>
    <row r="278" spans="14:14">
      <c r="N278" s="148"/>
    </row>
    <row r="279" spans="14:14">
      <c r="N279" s="148"/>
    </row>
    <row r="280" spans="14:14">
      <c r="N280" s="148"/>
    </row>
    <row r="281" spans="14:14">
      <c r="N281" s="148"/>
    </row>
    <row r="282" spans="14:14">
      <c r="N282" s="148"/>
    </row>
    <row r="283" spans="14:14">
      <c r="N283" s="148"/>
    </row>
    <row r="284" spans="14:14">
      <c r="N284" s="148"/>
    </row>
    <row r="285" spans="14:14">
      <c r="N285" s="148"/>
    </row>
    <row r="286" spans="14:14">
      <c r="N286" s="148"/>
    </row>
    <row r="287" spans="14:14">
      <c r="N287" s="148"/>
    </row>
    <row r="288" spans="14:14">
      <c r="N288" s="148"/>
    </row>
    <row r="289" spans="14:14">
      <c r="N289" s="148"/>
    </row>
    <row r="290" spans="14:14">
      <c r="N290" s="148"/>
    </row>
    <row r="291" spans="14:14">
      <c r="N291" s="148"/>
    </row>
    <row r="292" spans="14:14">
      <c r="N292" s="148"/>
    </row>
    <row r="293" spans="14:14">
      <c r="N293" s="148"/>
    </row>
    <row r="294" spans="14:14">
      <c r="N294" s="148"/>
    </row>
    <row r="295" spans="14:14">
      <c r="N295" s="148"/>
    </row>
    <row r="296" spans="14:14">
      <c r="N296" s="148"/>
    </row>
    <row r="297" spans="14:14">
      <c r="N297" s="148"/>
    </row>
    <row r="298" spans="14:14">
      <c r="N298" s="148"/>
    </row>
    <row r="299" spans="14:14">
      <c r="N299" s="148"/>
    </row>
    <row r="300" spans="14:14">
      <c r="N300" s="148"/>
    </row>
    <row r="301" spans="14:14">
      <c r="N301" s="148"/>
    </row>
    <row r="302" spans="14:14">
      <c r="N302" s="148"/>
    </row>
    <row r="303" spans="14:14">
      <c r="N303" s="148"/>
    </row>
    <row r="304" spans="14:14">
      <c r="N304" s="148"/>
    </row>
    <row r="305" spans="14:14">
      <c r="N305" s="148"/>
    </row>
    <row r="306" spans="14:14">
      <c r="N306" s="148"/>
    </row>
    <row r="307" spans="14:14">
      <c r="N307" s="148"/>
    </row>
    <row r="308" spans="14:14">
      <c r="N308" s="148"/>
    </row>
    <row r="309" spans="14:14">
      <c r="N309" s="148"/>
    </row>
    <row r="310" spans="14:14">
      <c r="N310" s="148"/>
    </row>
    <row r="311" spans="14:14">
      <c r="N311" s="148"/>
    </row>
    <row r="312" spans="14:14">
      <c r="N312" s="148"/>
    </row>
    <row r="313" spans="14:14">
      <c r="N313" s="148"/>
    </row>
    <row r="314" spans="14:14">
      <c r="N314" s="148"/>
    </row>
    <row r="315" spans="14:14">
      <c r="N315" s="148"/>
    </row>
    <row r="316" spans="14:14">
      <c r="N316" s="148"/>
    </row>
    <row r="317" spans="14:14">
      <c r="N317" s="148"/>
    </row>
    <row r="318" spans="14:14">
      <c r="N318" s="148"/>
    </row>
    <row r="319" spans="14:14">
      <c r="N319" s="148"/>
    </row>
    <row r="320" spans="14:14">
      <c r="N320" s="148"/>
    </row>
    <row r="321" spans="14:14">
      <c r="N321" s="148"/>
    </row>
    <row r="322" spans="14:14">
      <c r="N322" s="148"/>
    </row>
    <row r="323" spans="14:14">
      <c r="N323" s="148"/>
    </row>
    <row r="324" spans="14:14">
      <c r="N324" s="148"/>
    </row>
    <row r="325" spans="14:14">
      <c r="N325" s="148"/>
    </row>
    <row r="326" spans="14:14">
      <c r="N326" s="148"/>
    </row>
    <row r="327" spans="14:14">
      <c r="N327" s="148"/>
    </row>
    <row r="328" spans="14:14">
      <c r="N328" s="148"/>
    </row>
    <row r="329" spans="14:14">
      <c r="N329" s="148"/>
    </row>
    <row r="330" spans="14:14">
      <c r="N330" s="148"/>
    </row>
    <row r="331" spans="14:14">
      <c r="N331" s="148"/>
    </row>
    <row r="332" spans="14:14">
      <c r="N332" s="148"/>
    </row>
    <row r="333" spans="14:14">
      <c r="N333" s="148"/>
    </row>
    <row r="334" spans="14:14">
      <c r="N334" s="148"/>
    </row>
    <row r="335" spans="14:14">
      <c r="N335" s="148"/>
    </row>
    <row r="336" spans="14:14">
      <c r="N336" s="148"/>
    </row>
    <row r="337" spans="14:14">
      <c r="N337" s="148"/>
    </row>
    <row r="338" spans="14:14">
      <c r="N338" s="148"/>
    </row>
    <row r="339" spans="14:14">
      <c r="N339" s="148"/>
    </row>
    <row r="340" spans="14:14">
      <c r="N340" s="148"/>
    </row>
    <row r="341" spans="14:14">
      <c r="N341" s="148"/>
    </row>
    <row r="342" spans="14:14">
      <c r="N342" s="148"/>
    </row>
    <row r="343" spans="14:14">
      <c r="N343" s="148"/>
    </row>
    <row r="344" spans="14:14">
      <c r="N344" s="148"/>
    </row>
    <row r="345" spans="14:14">
      <c r="N345" s="148"/>
    </row>
    <row r="346" spans="14:14">
      <c r="N346" s="148"/>
    </row>
    <row r="347" spans="14:14">
      <c r="N347" s="148"/>
    </row>
    <row r="348" spans="14:14">
      <c r="N348" s="148"/>
    </row>
    <row r="349" spans="14:14">
      <c r="N349" s="148"/>
    </row>
    <row r="350" spans="14:14">
      <c r="N350" s="148"/>
    </row>
    <row r="351" spans="14:14">
      <c r="N351" s="148"/>
    </row>
    <row r="352" spans="14:14">
      <c r="N352" s="148"/>
    </row>
    <row r="353" spans="14:14">
      <c r="N353" s="148"/>
    </row>
    <row r="354" spans="14:14">
      <c r="N354" s="148"/>
    </row>
    <row r="355" spans="14:14">
      <c r="N355" s="148"/>
    </row>
    <row r="356" spans="14:14">
      <c r="N356" s="148"/>
    </row>
    <row r="357" spans="14:14">
      <c r="N357" s="148"/>
    </row>
    <row r="358" spans="14:14">
      <c r="N358" s="148"/>
    </row>
    <row r="359" spans="14:14">
      <c r="N359" s="148"/>
    </row>
    <row r="360" spans="14:14">
      <c r="N360" s="148"/>
    </row>
    <row r="361" spans="14:14">
      <c r="N361" s="148"/>
    </row>
    <row r="362" spans="14:14">
      <c r="N362" s="148"/>
    </row>
    <row r="363" spans="14:14">
      <c r="N363" s="148"/>
    </row>
    <row r="364" spans="14:14">
      <c r="N364" s="148"/>
    </row>
    <row r="365" spans="14:14">
      <c r="N365" s="148"/>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pageMargins left="1.1811023622047245" right="0.78740157480314965" top="0.78740157480314965" bottom="0.78740157480314965" header="0.51181102362204722" footer="0.51181102362204722"/>
  <pageSetup paperSize="9" scale="61" orientation="portrait" r:id="rId1"/>
  <headerFooter scaleWithDoc="0" alignWithMargins="0">
    <oddHeader>&amp;L&amp;"-,Regular"&amp;8&amp;F&amp;R&amp;"-,Regular"&amp;8&amp;A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67D7-2BEA-4A34-95A5-1E394E434840}">
  <sheetPr codeName="Sheet4">
    <tabColor theme="0"/>
    <pageSetUpPr fitToPage="1"/>
  </sheetPr>
  <dimension ref="B1:CE49"/>
  <sheetViews>
    <sheetView showRowColHeaders="0" topLeftCell="A11" zoomScale="90" zoomScaleNormal="90" workbookViewId="0">
      <selection activeCell="C11" sqref="C11:D11"/>
    </sheetView>
  </sheetViews>
  <sheetFormatPr defaultRowHeight="13.5"/>
  <cols>
    <col min="1" max="1" width="3.6640625" style="52" customWidth="1"/>
    <col min="2" max="2" width="2.1640625" style="52" customWidth="1"/>
    <col min="3" max="3" width="30.6640625" style="52" customWidth="1"/>
    <col min="4" max="4" width="45.6640625" style="52" customWidth="1"/>
    <col min="5" max="5" width="21.5" style="52" customWidth="1"/>
    <col min="6" max="14" width="9" style="52"/>
    <col min="15" max="15" width="9.25" style="52" customWidth="1"/>
    <col min="16" max="256" width="9" style="52"/>
    <col min="257" max="257" width="3.6640625" style="52" customWidth="1"/>
    <col min="258" max="258" width="2.1640625" style="52" customWidth="1"/>
    <col min="259" max="259" width="26.75" style="52" customWidth="1"/>
    <col min="260" max="260" width="45.6640625" style="52" customWidth="1"/>
    <col min="261" max="261" width="21.5" style="52" customWidth="1"/>
    <col min="262" max="270" width="9" style="52"/>
    <col min="271" max="271" width="9.25" style="52" customWidth="1"/>
    <col min="272" max="512" width="9" style="52"/>
    <col min="513" max="513" width="3.6640625" style="52" customWidth="1"/>
    <col min="514" max="514" width="2.1640625" style="52" customWidth="1"/>
    <col min="515" max="515" width="26.75" style="52" customWidth="1"/>
    <col min="516" max="516" width="45.6640625" style="52" customWidth="1"/>
    <col min="517" max="517" width="21.5" style="52" customWidth="1"/>
    <col min="518" max="526" width="9" style="52"/>
    <col min="527" max="527" width="9.25" style="52" customWidth="1"/>
    <col min="528" max="768" width="9" style="52"/>
    <col min="769" max="769" width="3.6640625" style="52" customWidth="1"/>
    <col min="770" max="770" width="2.1640625" style="52" customWidth="1"/>
    <col min="771" max="771" width="26.75" style="52" customWidth="1"/>
    <col min="772" max="772" width="45.6640625" style="52" customWidth="1"/>
    <col min="773" max="773" width="21.5" style="52" customWidth="1"/>
    <col min="774" max="782" width="9" style="52"/>
    <col min="783" max="783" width="9.25" style="52" customWidth="1"/>
    <col min="784" max="1024" width="9" style="52"/>
    <col min="1025" max="1025" width="3.6640625" style="52" customWidth="1"/>
    <col min="1026" max="1026" width="2.1640625" style="52" customWidth="1"/>
    <col min="1027" max="1027" width="26.75" style="52" customWidth="1"/>
    <col min="1028" max="1028" width="45.6640625" style="52" customWidth="1"/>
    <col min="1029" max="1029" width="21.5" style="52" customWidth="1"/>
    <col min="1030" max="1038" width="9" style="52"/>
    <col min="1039" max="1039" width="9.25" style="52" customWidth="1"/>
    <col min="1040" max="1280" width="9" style="52"/>
    <col min="1281" max="1281" width="3.6640625" style="52" customWidth="1"/>
    <col min="1282" max="1282" width="2.1640625" style="52" customWidth="1"/>
    <col min="1283" max="1283" width="26.75" style="52" customWidth="1"/>
    <col min="1284" max="1284" width="45.6640625" style="52" customWidth="1"/>
    <col min="1285" max="1285" width="21.5" style="52" customWidth="1"/>
    <col min="1286" max="1294" width="9" style="52"/>
    <col min="1295" max="1295" width="9.25" style="52" customWidth="1"/>
    <col min="1296" max="1536" width="9" style="52"/>
    <col min="1537" max="1537" width="3.6640625" style="52" customWidth="1"/>
    <col min="1538" max="1538" width="2.1640625" style="52" customWidth="1"/>
    <col min="1539" max="1539" width="26.75" style="52" customWidth="1"/>
    <col min="1540" max="1540" width="45.6640625" style="52" customWidth="1"/>
    <col min="1541" max="1541" width="21.5" style="52" customWidth="1"/>
    <col min="1542" max="1550" width="9" style="52"/>
    <col min="1551" max="1551" width="9.25" style="52" customWidth="1"/>
    <col min="1552" max="1792" width="9" style="52"/>
    <col min="1793" max="1793" width="3.6640625" style="52" customWidth="1"/>
    <col min="1794" max="1794" width="2.1640625" style="52" customWidth="1"/>
    <col min="1795" max="1795" width="26.75" style="52" customWidth="1"/>
    <col min="1796" max="1796" width="45.6640625" style="52" customWidth="1"/>
    <col min="1797" max="1797" width="21.5" style="52" customWidth="1"/>
    <col min="1798" max="1806" width="9" style="52"/>
    <col min="1807" max="1807" width="9.25" style="52" customWidth="1"/>
    <col min="1808" max="2048" width="9" style="52"/>
    <col min="2049" max="2049" width="3.6640625" style="52" customWidth="1"/>
    <col min="2050" max="2050" width="2.1640625" style="52" customWidth="1"/>
    <col min="2051" max="2051" width="26.75" style="52" customWidth="1"/>
    <col min="2052" max="2052" width="45.6640625" style="52" customWidth="1"/>
    <col min="2053" max="2053" width="21.5" style="52" customWidth="1"/>
    <col min="2054" max="2062" width="9" style="52"/>
    <col min="2063" max="2063" width="9.25" style="52" customWidth="1"/>
    <col min="2064" max="2304" width="9" style="52"/>
    <col min="2305" max="2305" width="3.6640625" style="52" customWidth="1"/>
    <col min="2306" max="2306" width="2.1640625" style="52" customWidth="1"/>
    <col min="2307" max="2307" width="26.75" style="52" customWidth="1"/>
    <col min="2308" max="2308" width="45.6640625" style="52" customWidth="1"/>
    <col min="2309" max="2309" width="21.5" style="52" customWidth="1"/>
    <col min="2310" max="2318" width="9" style="52"/>
    <col min="2319" max="2319" width="9.25" style="52" customWidth="1"/>
    <col min="2320" max="2560" width="9" style="52"/>
    <col min="2561" max="2561" width="3.6640625" style="52" customWidth="1"/>
    <col min="2562" max="2562" width="2.1640625" style="52" customWidth="1"/>
    <col min="2563" max="2563" width="26.75" style="52" customWidth="1"/>
    <col min="2564" max="2564" width="45.6640625" style="52" customWidth="1"/>
    <col min="2565" max="2565" width="21.5" style="52" customWidth="1"/>
    <col min="2566" max="2574" width="9" style="52"/>
    <col min="2575" max="2575" width="9.25" style="52" customWidth="1"/>
    <col min="2576" max="2816" width="9" style="52"/>
    <col min="2817" max="2817" width="3.6640625" style="52" customWidth="1"/>
    <col min="2818" max="2818" width="2.1640625" style="52" customWidth="1"/>
    <col min="2819" max="2819" width="26.75" style="52" customWidth="1"/>
    <col min="2820" max="2820" width="45.6640625" style="52" customWidth="1"/>
    <col min="2821" max="2821" width="21.5" style="52" customWidth="1"/>
    <col min="2822" max="2830" width="9" style="52"/>
    <col min="2831" max="2831" width="9.25" style="52" customWidth="1"/>
    <col min="2832" max="3072" width="9" style="52"/>
    <col min="3073" max="3073" width="3.6640625" style="52" customWidth="1"/>
    <col min="3074" max="3074" width="2.1640625" style="52" customWidth="1"/>
    <col min="3075" max="3075" width="26.75" style="52" customWidth="1"/>
    <col min="3076" max="3076" width="45.6640625" style="52" customWidth="1"/>
    <col min="3077" max="3077" width="21.5" style="52" customWidth="1"/>
    <col min="3078" max="3086" width="9" style="52"/>
    <col min="3087" max="3087" width="9.25" style="52" customWidth="1"/>
    <col min="3088" max="3328" width="9" style="52"/>
    <col min="3329" max="3329" width="3.6640625" style="52" customWidth="1"/>
    <col min="3330" max="3330" width="2.1640625" style="52" customWidth="1"/>
    <col min="3331" max="3331" width="26.75" style="52" customWidth="1"/>
    <col min="3332" max="3332" width="45.6640625" style="52" customWidth="1"/>
    <col min="3333" max="3333" width="21.5" style="52" customWidth="1"/>
    <col min="3334" max="3342" width="9" style="52"/>
    <col min="3343" max="3343" width="9.25" style="52" customWidth="1"/>
    <col min="3344" max="3584" width="9" style="52"/>
    <col min="3585" max="3585" width="3.6640625" style="52" customWidth="1"/>
    <col min="3586" max="3586" width="2.1640625" style="52" customWidth="1"/>
    <col min="3587" max="3587" width="26.75" style="52" customWidth="1"/>
    <col min="3588" max="3588" width="45.6640625" style="52" customWidth="1"/>
    <col min="3589" max="3589" width="21.5" style="52" customWidth="1"/>
    <col min="3590" max="3598" width="9" style="52"/>
    <col min="3599" max="3599" width="9.25" style="52" customWidth="1"/>
    <col min="3600" max="3840" width="9" style="52"/>
    <col min="3841" max="3841" width="3.6640625" style="52" customWidth="1"/>
    <col min="3842" max="3842" width="2.1640625" style="52" customWidth="1"/>
    <col min="3843" max="3843" width="26.75" style="52" customWidth="1"/>
    <col min="3844" max="3844" width="45.6640625" style="52" customWidth="1"/>
    <col min="3845" max="3845" width="21.5" style="52" customWidth="1"/>
    <col min="3846" max="3854" width="9" style="52"/>
    <col min="3855" max="3855" width="9.25" style="52" customWidth="1"/>
    <col min="3856" max="4096" width="9" style="52"/>
    <col min="4097" max="4097" width="3.6640625" style="52" customWidth="1"/>
    <col min="4098" max="4098" width="2.1640625" style="52" customWidth="1"/>
    <col min="4099" max="4099" width="26.75" style="52" customWidth="1"/>
    <col min="4100" max="4100" width="45.6640625" style="52" customWidth="1"/>
    <col min="4101" max="4101" width="21.5" style="52" customWidth="1"/>
    <col min="4102" max="4110" width="9" style="52"/>
    <col min="4111" max="4111" width="9.25" style="52" customWidth="1"/>
    <col min="4112" max="4352" width="9" style="52"/>
    <col min="4353" max="4353" width="3.6640625" style="52" customWidth="1"/>
    <col min="4354" max="4354" width="2.1640625" style="52" customWidth="1"/>
    <col min="4355" max="4355" width="26.75" style="52" customWidth="1"/>
    <col min="4356" max="4356" width="45.6640625" style="52" customWidth="1"/>
    <col min="4357" max="4357" width="21.5" style="52" customWidth="1"/>
    <col min="4358" max="4366" width="9" style="52"/>
    <col min="4367" max="4367" width="9.25" style="52" customWidth="1"/>
    <col min="4368" max="4608" width="9" style="52"/>
    <col min="4609" max="4609" width="3.6640625" style="52" customWidth="1"/>
    <col min="4610" max="4610" width="2.1640625" style="52" customWidth="1"/>
    <col min="4611" max="4611" width="26.75" style="52" customWidth="1"/>
    <col min="4612" max="4612" width="45.6640625" style="52" customWidth="1"/>
    <col min="4613" max="4613" width="21.5" style="52" customWidth="1"/>
    <col min="4614" max="4622" width="9" style="52"/>
    <col min="4623" max="4623" width="9.25" style="52" customWidth="1"/>
    <col min="4624" max="4864" width="9" style="52"/>
    <col min="4865" max="4865" width="3.6640625" style="52" customWidth="1"/>
    <col min="4866" max="4866" width="2.1640625" style="52" customWidth="1"/>
    <col min="4867" max="4867" width="26.75" style="52" customWidth="1"/>
    <col min="4868" max="4868" width="45.6640625" style="52" customWidth="1"/>
    <col min="4869" max="4869" width="21.5" style="52" customWidth="1"/>
    <col min="4870" max="4878" width="9" style="52"/>
    <col min="4879" max="4879" width="9.25" style="52" customWidth="1"/>
    <col min="4880" max="5120" width="9" style="52"/>
    <col min="5121" max="5121" width="3.6640625" style="52" customWidth="1"/>
    <col min="5122" max="5122" width="2.1640625" style="52" customWidth="1"/>
    <col min="5123" max="5123" width="26.75" style="52" customWidth="1"/>
    <col min="5124" max="5124" width="45.6640625" style="52" customWidth="1"/>
    <col min="5125" max="5125" width="21.5" style="52" customWidth="1"/>
    <col min="5126" max="5134" width="9" style="52"/>
    <col min="5135" max="5135" width="9.25" style="52" customWidth="1"/>
    <col min="5136" max="5376" width="9" style="52"/>
    <col min="5377" max="5377" width="3.6640625" style="52" customWidth="1"/>
    <col min="5378" max="5378" width="2.1640625" style="52" customWidth="1"/>
    <col min="5379" max="5379" width="26.75" style="52" customWidth="1"/>
    <col min="5380" max="5380" width="45.6640625" style="52" customWidth="1"/>
    <col min="5381" max="5381" width="21.5" style="52" customWidth="1"/>
    <col min="5382" max="5390" width="9" style="52"/>
    <col min="5391" max="5391" width="9.25" style="52" customWidth="1"/>
    <col min="5392" max="5632" width="9" style="52"/>
    <col min="5633" max="5633" width="3.6640625" style="52" customWidth="1"/>
    <col min="5634" max="5634" width="2.1640625" style="52" customWidth="1"/>
    <col min="5635" max="5635" width="26.75" style="52" customWidth="1"/>
    <col min="5636" max="5636" width="45.6640625" style="52" customWidth="1"/>
    <col min="5637" max="5637" width="21.5" style="52" customWidth="1"/>
    <col min="5638" max="5646" width="9" style="52"/>
    <col min="5647" max="5647" width="9.25" style="52" customWidth="1"/>
    <col min="5648" max="5888" width="9" style="52"/>
    <col min="5889" max="5889" width="3.6640625" style="52" customWidth="1"/>
    <col min="5890" max="5890" width="2.1640625" style="52" customWidth="1"/>
    <col min="5891" max="5891" width="26.75" style="52" customWidth="1"/>
    <col min="5892" max="5892" width="45.6640625" style="52" customWidth="1"/>
    <col min="5893" max="5893" width="21.5" style="52" customWidth="1"/>
    <col min="5894" max="5902" width="9" style="52"/>
    <col min="5903" max="5903" width="9.25" style="52" customWidth="1"/>
    <col min="5904" max="6144" width="9" style="52"/>
    <col min="6145" max="6145" width="3.6640625" style="52" customWidth="1"/>
    <col min="6146" max="6146" width="2.1640625" style="52" customWidth="1"/>
    <col min="6147" max="6147" width="26.75" style="52" customWidth="1"/>
    <col min="6148" max="6148" width="45.6640625" style="52" customWidth="1"/>
    <col min="6149" max="6149" width="21.5" style="52" customWidth="1"/>
    <col min="6150" max="6158" width="9" style="52"/>
    <col min="6159" max="6159" width="9.25" style="52" customWidth="1"/>
    <col min="6160" max="6400" width="9" style="52"/>
    <col min="6401" max="6401" width="3.6640625" style="52" customWidth="1"/>
    <col min="6402" max="6402" width="2.1640625" style="52" customWidth="1"/>
    <col min="6403" max="6403" width="26.75" style="52" customWidth="1"/>
    <col min="6404" max="6404" width="45.6640625" style="52" customWidth="1"/>
    <col min="6405" max="6405" width="21.5" style="52" customWidth="1"/>
    <col min="6406" max="6414" width="9" style="52"/>
    <col min="6415" max="6415" width="9.25" style="52" customWidth="1"/>
    <col min="6416" max="6656" width="9" style="52"/>
    <col min="6657" max="6657" width="3.6640625" style="52" customWidth="1"/>
    <col min="6658" max="6658" width="2.1640625" style="52" customWidth="1"/>
    <col min="6659" max="6659" width="26.75" style="52" customWidth="1"/>
    <col min="6660" max="6660" width="45.6640625" style="52" customWidth="1"/>
    <col min="6661" max="6661" width="21.5" style="52" customWidth="1"/>
    <col min="6662" max="6670" width="9" style="52"/>
    <col min="6671" max="6671" width="9.25" style="52" customWidth="1"/>
    <col min="6672" max="6912" width="9" style="52"/>
    <col min="6913" max="6913" width="3.6640625" style="52" customWidth="1"/>
    <col min="6914" max="6914" width="2.1640625" style="52" customWidth="1"/>
    <col min="6915" max="6915" width="26.75" style="52" customWidth="1"/>
    <col min="6916" max="6916" width="45.6640625" style="52" customWidth="1"/>
    <col min="6917" max="6917" width="21.5" style="52" customWidth="1"/>
    <col min="6918" max="6926" width="9" style="52"/>
    <col min="6927" max="6927" width="9.25" style="52" customWidth="1"/>
    <col min="6928" max="7168" width="9" style="52"/>
    <col min="7169" max="7169" width="3.6640625" style="52" customWidth="1"/>
    <col min="7170" max="7170" width="2.1640625" style="52" customWidth="1"/>
    <col min="7171" max="7171" width="26.75" style="52" customWidth="1"/>
    <col min="7172" max="7172" width="45.6640625" style="52" customWidth="1"/>
    <col min="7173" max="7173" width="21.5" style="52" customWidth="1"/>
    <col min="7174" max="7182" width="9" style="52"/>
    <col min="7183" max="7183" width="9.25" style="52" customWidth="1"/>
    <col min="7184" max="7424" width="9" style="52"/>
    <col min="7425" max="7425" width="3.6640625" style="52" customWidth="1"/>
    <col min="7426" max="7426" width="2.1640625" style="52" customWidth="1"/>
    <col min="7427" max="7427" width="26.75" style="52" customWidth="1"/>
    <col min="7428" max="7428" width="45.6640625" style="52" customWidth="1"/>
    <col min="7429" max="7429" width="21.5" style="52" customWidth="1"/>
    <col min="7430" max="7438" width="9" style="52"/>
    <col min="7439" max="7439" width="9.25" style="52" customWidth="1"/>
    <col min="7440" max="7680" width="9" style="52"/>
    <col min="7681" max="7681" width="3.6640625" style="52" customWidth="1"/>
    <col min="7682" max="7682" width="2.1640625" style="52" customWidth="1"/>
    <col min="7683" max="7683" width="26.75" style="52" customWidth="1"/>
    <col min="7684" max="7684" width="45.6640625" style="52" customWidth="1"/>
    <col min="7685" max="7685" width="21.5" style="52" customWidth="1"/>
    <col min="7686" max="7694" width="9" style="52"/>
    <col min="7695" max="7695" width="9.25" style="52" customWidth="1"/>
    <col min="7696" max="7936" width="9" style="52"/>
    <col min="7937" max="7937" width="3.6640625" style="52" customWidth="1"/>
    <col min="7938" max="7938" width="2.1640625" style="52" customWidth="1"/>
    <col min="7939" max="7939" width="26.75" style="52" customWidth="1"/>
    <col min="7940" max="7940" width="45.6640625" style="52" customWidth="1"/>
    <col min="7941" max="7941" width="21.5" style="52" customWidth="1"/>
    <col min="7942" max="7950" width="9" style="52"/>
    <col min="7951" max="7951" width="9.25" style="52" customWidth="1"/>
    <col min="7952" max="8192" width="9" style="52"/>
    <col min="8193" max="8193" width="3.6640625" style="52" customWidth="1"/>
    <col min="8194" max="8194" width="2.1640625" style="52" customWidth="1"/>
    <col min="8195" max="8195" width="26.75" style="52" customWidth="1"/>
    <col min="8196" max="8196" width="45.6640625" style="52" customWidth="1"/>
    <col min="8197" max="8197" width="21.5" style="52" customWidth="1"/>
    <col min="8198" max="8206" width="9" style="52"/>
    <col min="8207" max="8207" width="9.25" style="52" customWidth="1"/>
    <col min="8208" max="8448" width="9" style="52"/>
    <col min="8449" max="8449" width="3.6640625" style="52" customWidth="1"/>
    <col min="8450" max="8450" width="2.1640625" style="52" customWidth="1"/>
    <col min="8451" max="8451" width="26.75" style="52" customWidth="1"/>
    <col min="8452" max="8452" width="45.6640625" style="52" customWidth="1"/>
    <col min="8453" max="8453" width="21.5" style="52" customWidth="1"/>
    <col min="8454" max="8462" width="9" style="52"/>
    <col min="8463" max="8463" width="9.25" style="52" customWidth="1"/>
    <col min="8464" max="8704" width="9" style="52"/>
    <col min="8705" max="8705" width="3.6640625" style="52" customWidth="1"/>
    <col min="8706" max="8706" width="2.1640625" style="52" customWidth="1"/>
    <col min="8707" max="8707" width="26.75" style="52" customWidth="1"/>
    <col min="8708" max="8708" width="45.6640625" style="52" customWidth="1"/>
    <col min="8709" max="8709" width="21.5" style="52" customWidth="1"/>
    <col min="8710" max="8718" width="9" style="52"/>
    <col min="8719" max="8719" width="9.25" style="52" customWidth="1"/>
    <col min="8720" max="8960" width="9" style="52"/>
    <col min="8961" max="8961" width="3.6640625" style="52" customWidth="1"/>
    <col min="8962" max="8962" width="2.1640625" style="52" customWidth="1"/>
    <col min="8963" max="8963" width="26.75" style="52" customWidth="1"/>
    <col min="8964" max="8964" width="45.6640625" style="52" customWidth="1"/>
    <col min="8965" max="8965" width="21.5" style="52" customWidth="1"/>
    <col min="8966" max="8974" width="9" style="52"/>
    <col min="8975" max="8975" width="9.25" style="52" customWidth="1"/>
    <col min="8976" max="9216" width="9" style="52"/>
    <col min="9217" max="9217" width="3.6640625" style="52" customWidth="1"/>
    <col min="9218" max="9218" width="2.1640625" style="52" customWidth="1"/>
    <col min="9219" max="9219" width="26.75" style="52" customWidth="1"/>
    <col min="9220" max="9220" width="45.6640625" style="52" customWidth="1"/>
    <col min="9221" max="9221" width="21.5" style="52" customWidth="1"/>
    <col min="9222" max="9230" width="9" style="52"/>
    <col min="9231" max="9231" width="9.25" style="52" customWidth="1"/>
    <col min="9232" max="9472" width="9" style="52"/>
    <col min="9473" max="9473" width="3.6640625" style="52" customWidth="1"/>
    <col min="9474" max="9474" width="2.1640625" style="52" customWidth="1"/>
    <col min="9475" max="9475" width="26.75" style="52" customWidth="1"/>
    <col min="9476" max="9476" width="45.6640625" style="52" customWidth="1"/>
    <col min="9477" max="9477" width="21.5" style="52" customWidth="1"/>
    <col min="9478" max="9486" width="9" style="52"/>
    <col min="9487" max="9487" width="9.25" style="52" customWidth="1"/>
    <col min="9488" max="9728" width="9" style="52"/>
    <col min="9729" max="9729" width="3.6640625" style="52" customWidth="1"/>
    <col min="9730" max="9730" width="2.1640625" style="52" customWidth="1"/>
    <col min="9731" max="9731" width="26.75" style="52" customWidth="1"/>
    <col min="9732" max="9732" width="45.6640625" style="52" customWidth="1"/>
    <col min="9733" max="9733" width="21.5" style="52" customWidth="1"/>
    <col min="9734" max="9742" width="9" style="52"/>
    <col min="9743" max="9743" width="9.25" style="52" customWidth="1"/>
    <col min="9744" max="9984" width="9" style="52"/>
    <col min="9985" max="9985" width="3.6640625" style="52" customWidth="1"/>
    <col min="9986" max="9986" width="2.1640625" style="52" customWidth="1"/>
    <col min="9987" max="9987" width="26.75" style="52" customWidth="1"/>
    <col min="9988" max="9988" width="45.6640625" style="52" customWidth="1"/>
    <col min="9989" max="9989" width="21.5" style="52" customWidth="1"/>
    <col min="9990" max="9998" width="9" style="52"/>
    <col min="9999" max="9999" width="9.25" style="52" customWidth="1"/>
    <col min="10000" max="10240" width="9" style="52"/>
    <col min="10241" max="10241" width="3.6640625" style="52" customWidth="1"/>
    <col min="10242" max="10242" width="2.1640625" style="52" customWidth="1"/>
    <col min="10243" max="10243" width="26.75" style="52" customWidth="1"/>
    <col min="10244" max="10244" width="45.6640625" style="52" customWidth="1"/>
    <col min="10245" max="10245" width="21.5" style="52" customWidth="1"/>
    <col min="10246" max="10254" width="9" style="52"/>
    <col min="10255" max="10255" width="9.25" style="52" customWidth="1"/>
    <col min="10256" max="10496" width="9" style="52"/>
    <col min="10497" max="10497" width="3.6640625" style="52" customWidth="1"/>
    <col min="10498" max="10498" width="2.1640625" style="52" customWidth="1"/>
    <col min="10499" max="10499" width="26.75" style="52" customWidth="1"/>
    <col min="10500" max="10500" width="45.6640625" style="52" customWidth="1"/>
    <col min="10501" max="10501" width="21.5" style="52" customWidth="1"/>
    <col min="10502" max="10510" width="9" style="52"/>
    <col min="10511" max="10511" width="9.25" style="52" customWidth="1"/>
    <col min="10512" max="10752" width="9" style="52"/>
    <col min="10753" max="10753" width="3.6640625" style="52" customWidth="1"/>
    <col min="10754" max="10754" width="2.1640625" style="52" customWidth="1"/>
    <col min="10755" max="10755" width="26.75" style="52" customWidth="1"/>
    <col min="10756" max="10756" width="45.6640625" style="52" customWidth="1"/>
    <col min="10757" max="10757" width="21.5" style="52" customWidth="1"/>
    <col min="10758" max="10766" width="9" style="52"/>
    <col min="10767" max="10767" width="9.25" style="52" customWidth="1"/>
    <col min="10768" max="11008" width="9" style="52"/>
    <col min="11009" max="11009" width="3.6640625" style="52" customWidth="1"/>
    <col min="11010" max="11010" width="2.1640625" style="52" customWidth="1"/>
    <col min="11011" max="11011" width="26.75" style="52" customWidth="1"/>
    <col min="11012" max="11012" width="45.6640625" style="52" customWidth="1"/>
    <col min="11013" max="11013" width="21.5" style="52" customWidth="1"/>
    <col min="11014" max="11022" width="9" style="52"/>
    <col min="11023" max="11023" width="9.25" style="52" customWidth="1"/>
    <col min="11024" max="11264" width="9" style="52"/>
    <col min="11265" max="11265" width="3.6640625" style="52" customWidth="1"/>
    <col min="11266" max="11266" width="2.1640625" style="52" customWidth="1"/>
    <col min="11267" max="11267" width="26.75" style="52" customWidth="1"/>
    <col min="11268" max="11268" width="45.6640625" style="52" customWidth="1"/>
    <col min="11269" max="11269" width="21.5" style="52" customWidth="1"/>
    <col min="11270" max="11278" width="9" style="52"/>
    <col min="11279" max="11279" width="9.25" style="52" customWidth="1"/>
    <col min="11280" max="11520" width="9" style="52"/>
    <col min="11521" max="11521" width="3.6640625" style="52" customWidth="1"/>
    <col min="11522" max="11522" width="2.1640625" style="52" customWidth="1"/>
    <col min="11523" max="11523" width="26.75" style="52" customWidth="1"/>
    <col min="11524" max="11524" width="45.6640625" style="52" customWidth="1"/>
    <col min="11525" max="11525" width="21.5" style="52" customWidth="1"/>
    <col min="11526" max="11534" width="9" style="52"/>
    <col min="11535" max="11535" width="9.25" style="52" customWidth="1"/>
    <col min="11536" max="11776" width="9" style="52"/>
    <col min="11777" max="11777" width="3.6640625" style="52" customWidth="1"/>
    <col min="11778" max="11778" width="2.1640625" style="52" customWidth="1"/>
    <col min="11779" max="11779" width="26.75" style="52" customWidth="1"/>
    <col min="11780" max="11780" width="45.6640625" style="52" customWidth="1"/>
    <col min="11781" max="11781" width="21.5" style="52" customWidth="1"/>
    <col min="11782" max="11790" width="9" style="52"/>
    <col min="11791" max="11791" width="9.25" style="52" customWidth="1"/>
    <col min="11792" max="12032" width="9" style="52"/>
    <col min="12033" max="12033" width="3.6640625" style="52" customWidth="1"/>
    <col min="12034" max="12034" width="2.1640625" style="52" customWidth="1"/>
    <col min="12035" max="12035" width="26.75" style="52" customWidth="1"/>
    <col min="12036" max="12036" width="45.6640625" style="52" customWidth="1"/>
    <col min="12037" max="12037" width="21.5" style="52" customWidth="1"/>
    <col min="12038" max="12046" width="9" style="52"/>
    <col min="12047" max="12047" width="9.25" style="52" customWidth="1"/>
    <col min="12048" max="12288" width="9" style="52"/>
    <col min="12289" max="12289" width="3.6640625" style="52" customWidth="1"/>
    <col min="12290" max="12290" width="2.1640625" style="52" customWidth="1"/>
    <col min="12291" max="12291" width="26.75" style="52" customWidth="1"/>
    <col min="12292" max="12292" width="45.6640625" style="52" customWidth="1"/>
    <col min="12293" max="12293" width="21.5" style="52" customWidth="1"/>
    <col min="12294" max="12302" width="9" style="52"/>
    <col min="12303" max="12303" width="9.25" style="52" customWidth="1"/>
    <col min="12304" max="12544" width="9" style="52"/>
    <col min="12545" max="12545" width="3.6640625" style="52" customWidth="1"/>
    <col min="12546" max="12546" width="2.1640625" style="52" customWidth="1"/>
    <col min="12547" max="12547" width="26.75" style="52" customWidth="1"/>
    <col min="12548" max="12548" width="45.6640625" style="52" customWidth="1"/>
    <col min="12549" max="12549" width="21.5" style="52" customWidth="1"/>
    <col min="12550" max="12558" width="9" style="52"/>
    <col min="12559" max="12559" width="9.25" style="52" customWidth="1"/>
    <col min="12560" max="12800" width="9" style="52"/>
    <col min="12801" max="12801" width="3.6640625" style="52" customWidth="1"/>
    <col min="12802" max="12802" width="2.1640625" style="52" customWidth="1"/>
    <col min="12803" max="12803" width="26.75" style="52" customWidth="1"/>
    <col min="12804" max="12804" width="45.6640625" style="52" customWidth="1"/>
    <col min="12805" max="12805" width="21.5" style="52" customWidth="1"/>
    <col min="12806" max="12814" width="9" style="52"/>
    <col min="12815" max="12815" width="9.25" style="52" customWidth="1"/>
    <col min="12816" max="13056" width="9" style="52"/>
    <col min="13057" max="13057" width="3.6640625" style="52" customWidth="1"/>
    <col min="13058" max="13058" width="2.1640625" style="52" customWidth="1"/>
    <col min="13059" max="13059" width="26.75" style="52" customWidth="1"/>
    <col min="13060" max="13060" width="45.6640625" style="52" customWidth="1"/>
    <col min="13061" max="13061" width="21.5" style="52" customWidth="1"/>
    <col min="13062" max="13070" width="9" style="52"/>
    <col min="13071" max="13071" width="9.25" style="52" customWidth="1"/>
    <col min="13072" max="13312" width="9" style="52"/>
    <col min="13313" max="13313" width="3.6640625" style="52" customWidth="1"/>
    <col min="13314" max="13314" width="2.1640625" style="52" customWidth="1"/>
    <col min="13315" max="13315" width="26.75" style="52" customWidth="1"/>
    <col min="13316" max="13316" width="45.6640625" style="52" customWidth="1"/>
    <col min="13317" max="13317" width="21.5" style="52" customWidth="1"/>
    <col min="13318" max="13326" width="9" style="52"/>
    <col min="13327" max="13327" width="9.25" style="52" customWidth="1"/>
    <col min="13328" max="13568" width="9" style="52"/>
    <col min="13569" max="13569" width="3.6640625" style="52" customWidth="1"/>
    <col min="13570" max="13570" width="2.1640625" style="52" customWidth="1"/>
    <col min="13571" max="13571" width="26.75" style="52" customWidth="1"/>
    <col min="13572" max="13572" width="45.6640625" style="52" customWidth="1"/>
    <col min="13573" max="13573" width="21.5" style="52" customWidth="1"/>
    <col min="13574" max="13582" width="9" style="52"/>
    <col min="13583" max="13583" width="9.25" style="52" customWidth="1"/>
    <col min="13584" max="13824" width="9" style="52"/>
    <col min="13825" max="13825" width="3.6640625" style="52" customWidth="1"/>
    <col min="13826" max="13826" width="2.1640625" style="52" customWidth="1"/>
    <col min="13827" max="13827" width="26.75" style="52" customWidth="1"/>
    <col min="13828" max="13828" width="45.6640625" style="52" customWidth="1"/>
    <col min="13829" max="13829" width="21.5" style="52" customWidth="1"/>
    <col min="13830" max="13838" width="9" style="52"/>
    <col min="13839" max="13839" width="9.25" style="52" customWidth="1"/>
    <col min="13840" max="14080" width="9" style="52"/>
    <col min="14081" max="14081" width="3.6640625" style="52" customWidth="1"/>
    <col min="14082" max="14082" width="2.1640625" style="52" customWidth="1"/>
    <col min="14083" max="14083" width="26.75" style="52" customWidth="1"/>
    <col min="14084" max="14084" width="45.6640625" style="52" customWidth="1"/>
    <col min="14085" max="14085" width="21.5" style="52" customWidth="1"/>
    <col min="14086" max="14094" width="9" style="52"/>
    <col min="14095" max="14095" width="9.25" style="52" customWidth="1"/>
    <col min="14096" max="14336" width="9" style="52"/>
    <col min="14337" max="14337" width="3.6640625" style="52" customWidth="1"/>
    <col min="14338" max="14338" width="2.1640625" style="52" customWidth="1"/>
    <col min="14339" max="14339" width="26.75" style="52" customWidth="1"/>
    <col min="14340" max="14340" width="45.6640625" style="52" customWidth="1"/>
    <col min="14341" max="14341" width="21.5" style="52" customWidth="1"/>
    <col min="14342" max="14350" width="9" style="52"/>
    <col min="14351" max="14351" width="9.25" style="52" customWidth="1"/>
    <col min="14352" max="14592" width="9" style="52"/>
    <col min="14593" max="14593" width="3.6640625" style="52" customWidth="1"/>
    <col min="14594" max="14594" width="2.1640625" style="52" customWidth="1"/>
    <col min="14595" max="14595" width="26.75" style="52" customWidth="1"/>
    <col min="14596" max="14596" width="45.6640625" style="52" customWidth="1"/>
    <col min="14597" max="14597" width="21.5" style="52" customWidth="1"/>
    <col min="14598" max="14606" width="9" style="52"/>
    <col min="14607" max="14607" width="9.25" style="52" customWidth="1"/>
    <col min="14608" max="14848" width="9" style="52"/>
    <col min="14849" max="14849" width="3.6640625" style="52" customWidth="1"/>
    <col min="14850" max="14850" width="2.1640625" style="52" customWidth="1"/>
    <col min="14851" max="14851" width="26.75" style="52" customWidth="1"/>
    <col min="14852" max="14852" width="45.6640625" style="52" customWidth="1"/>
    <col min="14853" max="14853" width="21.5" style="52" customWidth="1"/>
    <col min="14854" max="14862" width="9" style="52"/>
    <col min="14863" max="14863" width="9.25" style="52" customWidth="1"/>
    <col min="14864" max="15104" width="9" style="52"/>
    <col min="15105" max="15105" width="3.6640625" style="52" customWidth="1"/>
    <col min="15106" max="15106" width="2.1640625" style="52" customWidth="1"/>
    <col min="15107" max="15107" width="26.75" style="52" customWidth="1"/>
    <col min="15108" max="15108" width="45.6640625" style="52" customWidth="1"/>
    <col min="15109" max="15109" width="21.5" style="52" customWidth="1"/>
    <col min="15110" max="15118" width="9" style="52"/>
    <col min="15119" max="15119" width="9.25" style="52" customWidth="1"/>
    <col min="15120" max="15360" width="9" style="52"/>
    <col min="15361" max="15361" width="3.6640625" style="52" customWidth="1"/>
    <col min="15362" max="15362" width="2.1640625" style="52" customWidth="1"/>
    <col min="15363" max="15363" width="26.75" style="52" customWidth="1"/>
    <col min="15364" max="15364" width="45.6640625" style="52" customWidth="1"/>
    <col min="15365" max="15365" width="21.5" style="52" customWidth="1"/>
    <col min="15366" max="15374" width="9" style="52"/>
    <col min="15375" max="15375" width="9.25" style="52" customWidth="1"/>
    <col min="15376" max="15616" width="9" style="52"/>
    <col min="15617" max="15617" width="3.6640625" style="52" customWidth="1"/>
    <col min="15618" max="15618" width="2.1640625" style="52" customWidth="1"/>
    <col min="15619" max="15619" width="26.75" style="52" customWidth="1"/>
    <col min="15620" max="15620" width="45.6640625" style="52" customWidth="1"/>
    <col min="15621" max="15621" width="21.5" style="52" customWidth="1"/>
    <col min="15622" max="15630" width="9" style="52"/>
    <col min="15631" max="15631" width="9.25" style="52" customWidth="1"/>
    <col min="15632" max="15872" width="9" style="52"/>
    <col min="15873" max="15873" width="3.6640625" style="52" customWidth="1"/>
    <col min="15874" max="15874" width="2.1640625" style="52" customWidth="1"/>
    <col min="15875" max="15875" width="26.75" style="52" customWidth="1"/>
    <col min="15876" max="15876" width="45.6640625" style="52" customWidth="1"/>
    <col min="15877" max="15877" width="21.5" style="52" customWidth="1"/>
    <col min="15878" max="15886" width="9" style="52"/>
    <col min="15887" max="15887" width="9.25" style="52" customWidth="1"/>
    <col min="15888" max="16128" width="9" style="52"/>
    <col min="16129" max="16129" width="3.6640625" style="52" customWidth="1"/>
    <col min="16130" max="16130" width="2.1640625" style="52" customWidth="1"/>
    <col min="16131" max="16131" width="26.75" style="52" customWidth="1"/>
    <col min="16132" max="16132" width="45.6640625" style="52" customWidth="1"/>
    <col min="16133" max="16133" width="21.5" style="52" customWidth="1"/>
    <col min="16134" max="16142" width="9" style="52"/>
    <col min="16143" max="16143" width="9.25" style="52" customWidth="1"/>
    <col min="16144" max="16384" width="9" style="52"/>
  </cols>
  <sheetData>
    <row r="1" spans="2:83" ht="20.149999999999999" customHeight="1" thickBot="1"/>
    <row r="2" spans="2:83" ht="20.149999999999999" customHeight="1" thickBot="1">
      <c r="B2" s="170"/>
      <c r="C2" s="171" t="s">
        <v>703</v>
      </c>
      <c r="D2" s="56"/>
      <c r="E2" s="56"/>
      <c r="F2" s="56" t="s">
        <v>152</v>
      </c>
      <c r="G2" s="56"/>
      <c r="H2" s="56"/>
      <c r="I2" s="56"/>
      <c r="J2" s="172"/>
      <c r="K2" s="56" t="str">
        <f>'SP3-1'!L2</f>
        <v>Spreadsheet release date 14-Apr-2023</v>
      </c>
      <c r="L2" s="56"/>
      <c r="M2" s="56"/>
      <c r="N2" s="56"/>
      <c r="O2" s="56"/>
      <c r="P2" s="56"/>
      <c r="Q2" s="56"/>
      <c r="R2" s="56"/>
      <c r="S2" s="173"/>
    </row>
    <row r="3" spans="2:83" ht="10" customHeight="1"/>
    <row r="4" spans="2:83" ht="20.149999999999999" customHeight="1">
      <c r="C4" s="174" t="s">
        <v>341</v>
      </c>
      <c r="D4" s="175"/>
      <c r="E4" s="175"/>
      <c r="F4" s="175"/>
      <c r="G4" s="175"/>
      <c r="H4" s="175"/>
      <c r="I4" s="175"/>
      <c r="J4" s="175"/>
      <c r="K4" s="175"/>
      <c r="L4" s="175"/>
      <c r="M4" s="175"/>
      <c r="N4" s="175"/>
      <c r="O4" s="175"/>
      <c r="P4" s="175"/>
      <c r="Q4" s="175"/>
      <c r="R4" s="175"/>
      <c r="S4" s="175"/>
    </row>
    <row r="5" spans="2:83" ht="20.149999999999999" customHeight="1">
      <c r="C5" s="176" t="s">
        <v>342</v>
      </c>
      <c r="D5" s="177"/>
      <c r="E5" s="178"/>
      <c r="F5" s="178"/>
      <c r="G5" s="178"/>
      <c r="H5" s="178"/>
      <c r="I5" s="178"/>
      <c r="J5" s="178"/>
      <c r="K5" s="178"/>
      <c r="L5" s="178"/>
      <c r="M5" s="178"/>
      <c r="N5" s="178"/>
      <c r="O5" s="178"/>
    </row>
    <row r="6" spans="2:83" ht="20.149999999999999" customHeight="1">
      <c r="C6" s="179" t="s">
        <v>704</v>
      </c>
      <c r="D6" s="180"/>
      <c r="E6" s="181"/>
      <c r="F6" s="181"/>
      <c r="G6" s="181"/>
      <c r="H6" s="181"/>
      <c r="I6" s="181"/>
      <c r="J6" s="182"/>
      <c r="K6" s="182"/>
      <c r="L6" s="182"/>
      <c r="M6" s="182"/>
      <c r="N6" s="182"/>
      <c r="O6" s="178"/>
    </row>
    <row r="7" spans="2:83" ht="20.149999999999999" customHeight="1">
      <c r="C7" s="179" t="s">
        <v>705</v>
      </c>
      <c r="D7" s="183"/>
      <c r="E7" s="184"/>
      <c r="F7" s="184"/>
      <c r="G7" s="184"/>
      <c r="H7" s="184"/>
      <c r="I7" s="184"/>
      <c r="J7" s="185"/>
      <c r="K7" s="185"/>
      <c r="L7" s="185"/>
      <c r="M7" s="185"/>
      <c r="N7" s="185"/>
      <c r="O7" s="178"/>
    </row>
    <row r="8" spans="2:83" ht="20.149999999999999" customHeight="1">
      <c r="C8" s="179" t="s">
        <v>706</v>
      </c>
      <c r="D8" s="183"/>
      <c r="E8" s="184"/>
      <c r="F8" s="184"/>
      <c r="G8" s="184"/>
      <c r="H8" s="184"/>
      <c r="I8" s="184"/>
      <c r="J8" s="185"/>
      <c r="K8" s="185"/>
      <c r="L8" s="185"/>
      <c r="M8" s="185"/>
      <c r="N8" s="185"/>
      <c r="O8" s="178"/>
    </row>
    <row r="9" spans="2:83" ht="20.149999999999999" customHeight="1">
      <c r="C9" s="179" t="s">
        <v>707</v>
      </c>
      <c r="D9" s="55"/>
      <c r="E9" s="184"/>
      <c r="F9" s="184"/>
      <c r="G9" s="184"/>
      <c r="H9" s="184"/>
      <c r="I9" s="184"/>
      <c r="J9" s="185"/>
      <c r="K9" s="185"/>
      <c r="L9" s="185"/>
      <c r="M9" s="185"/>
      <c r="N9" s="185"/>
      <c r="O9" s="178"/>
    </row>
    <row r="10" spans="2:83" ht="20.149999999999999" customHeight="1">
      <c r="C10" s="428" t="s">
        <v>343</v>
      </c>
      <c r="D10" s="428"/>
      <c r="E10" s="184"/>
      <c r="F10" s="184"/>
      <c r="G10" s="184"/>
      <c r="H10" s="184"/>
      <c r="I10" s="184"/>
      <c r="J10" s="185"/>
      <c r="K10" s="185"/>
      <c r="L10" s="185"/>
      <c r="M10" s="185"/>
      <c r="N10" s="185"/>
      <c r="O10" s="178"/>
      <c r="CE10" s="186"/>
    </row>
    <row r="11" spans="2:83" ht="20.149999999999999" customHeight="1">
      <c r="B11" s="187"/>
      <c r="C11" s="429" t="s">
        <v>708</v>
      </c>
      <c r="D11" s="429"/>
      <c r="E11" s="184"/>
      <c r="F11" s="184"/>
      <c r="G11" s="184"/>
      <c r="H11" s="184"/>
      <c r="I11" s="184"/>
      <c r="J11" s="185"/>
      <c r="K11" s="185"/>
      <c r="L11" s="185"/>
      <c r="M11" s="185"/>
      <c r="N11" s="185"/>
      <c r="O11" s="178"/>
      <c r="CE11" s="186" t="s">
        <v>344</v>
      </c>
    </row>
    <row r="12" spans="2:83" ht="20.149999999999999" customHeight="1">
      <c r="E12" s="188"/>
      <c r="F12" s="188"/>
      <c r="G12" s="188"/>
      <c r="H12" s="188"/>
      <c r="I12" s="188"/>
      <c r="J12" s="187"/>
      <c r="K12" s="187"/>
      <c r="L12" s="187"/>
      <c r="M12" s="187"/>
      <c r="CE12" s="186" t="s">
        <v>345</v>
      </c>
    </row>
    <row r="13" spans="2:83" ht="20.149999999999999" customHeight="1" thickBot="1">
      <c r="C13" s="189" t="s">
        <v>709</v>
      </c>
      <c r="E13" s="190"/>
      <c r="F13" s="190"/>
      <c r="G13" s="190"/>
      <c r="H13" s="190"/>
      <c r="I13" s="190"/>
      <c r="J13" s="191"/>
      <c r="K13" s="191"/>
      <c r="L13" s="191"/>
      <c r="M13" s="191"/>
      <c r="CE13" s="186" t="s">
        <v>346</v>
      </c>
    </row>
    <row r="14" spans="2:83" s="55" customFormat="1" ht="20.149999999999999" customHeight="1" thickTop="1" thickBot="1">
      <c r="C14" s="179" t="s">
        <v>347</v>
      </c>
      <c r="D14" s="184"/>
      <c r="E14" s="192"/>
      <c r="F14" s="52"/>
      <c r="G14" s="52"/>
      <c r="H14" s="430"/>
      <c r="I14" s="431"/>
      <c r="J14" s="193"/>
      <c r="K14" s="193"/>
      <c r="L14" s="193"/>
      <c r="M14" s="193"/>
      <c r="N14" s="52"/>
      <c r="O14" s="52"/>
      <c r="P14" s="52"/>
      <c r="Q14" s="52"/>
      <c r="R14" s="52"/>
      <c r="S14" s="52"/>
      <c r="CD14" s="186" t="s">
        <v>348</v>
      </c>
    </row>
    <row r="15" spans="2:83" ht="20.149999999999999" customHeight="1" thickTop="1">
      <c r="C15" s="179" t="s">
        <v>349</v>
      </c>
      <c r="F15" s="55"/>
      <c r="G15" s="55"/>
      <c r="H15" s="432"/>
      <c r="I15" s="432"/>
      <c r="J15" s="55"/>
      <c r="K15" s="55"/>
      <c r="L15" s="55"/>
      <c r="M15" s="55"/>
      <c r="N15" s="55"/>
      <c r="O15" s="55"/>
      <c r="P15" s="55"/>
      <c r="Q15" s="55"/>
      <c r="R15" s="55"/>
      <c r="S15" s="55"/>
      <c r="CB15" s="186" t="s">
        <v>350</v>
      </c>
    </row>
    <row r="16" spans="2:83" ht="20.149999999999999" customHeight="1">
      <c r="C16" s="194" t="s">
        <v>351</v>
      </c>
      <c r="D16" s="190"/>
      <c r="H16" s="195"/>
      <c r="I16" s="196"/>
      <c r="CE16" s="186" t="s">
        <v>352</v>
      </c>
    </row>
    <row r="17" spans="3:83" ht="15" customHeight="1">
      <c r="C17" s="197"/>
      <c r="D17" s="190"/>
      <c r="CE17" s="186" t="s">
        <v>353</v>
      </c>
    </row>
    <row r="18" spans="3:83" ht="5.15" customHeight="1">
      <c r="D18" s="192"/>
      <c r="CE18" s="186" t="s">
        <v>354</v>
      </c>
    </row>
    <row r="19" spans="3:83" ht="20.149999999999999" customHeight="1">
      <c r="C19" s="198" t="s">
        <v>355</v>
      </c>
      <c r="D19" s="199"/>
      <c r="E19" s="200"/>
      <c r="F19" s="200"/>
      <c r="G19" s="200"/>
      <c r="H19" s="200"/>
      <c r="I19" s="200"/>
      <c r="J19" s="200"/>
      <c r="K19" s="200"/>
      <c r="L19" s="200"/>
      <c r="M19" s="200"/>
      <c r="N19" s="200"/>
      <c r="O19" s="200"/>
      <c r="P19" s="200"/>
      <c r="Q19" s="200"/>
      <c r="R19" s="200"/>
      <c r="S19" s="200"/>
      <c r="CE19" s="186" t="s">
        <v>356</v>
      </c>
    </row>
    <row r="20" spans="3:83" ht="20.149999999999999" customHeight="1">
      <c r="C20" s="201"/>
      <c r="D20" s="202" t="s">
        <v>357</v>
      </c>
      <c r="CE20" s="186" t="s">
        <v>358</v>
      </c>
    </row>
    <row r="21" spans="3:83" ht="5.15" customHeight="1">
      <c r="CE21" s="186" t="s">
        <v>359</v>
      </c>
    </row>
    <row r="22" spans="3:83" ht="20.149999999999999" customHeight="1">
      <c r="C22" s="352" t="s">
        <v>882</v>
      </c>
      <c r="D22" s="55" t="s">
        <v>360</v>
      </c>
      <c r="E22" s="55"/>
      <c r="F22" s="55"/>
      <c r="G22" s="55"/>
      <c r="H22" s="55"/>
      <c r="I22" s="55"/>
      <c r="J22" s="55"/>
      <c r="K22" s="55"/>
      <c r="L22" s="55"/>
      <c r="M22" s="55"/>
      <c r="N22" s="55"/>
      <c r="O22" s="55"/>
      <c r="CE22" s="186" t="s">
        <v>361</v>
      </c>
    </row>
    <row r="23" spans="3:83" ht="5.15" customHeight="1">
      <c r="C23" s="328"/>
      <c r="D23" s="55" t="s">
        <v>362</v>
      </c>
      <c r="E23" s="55"/>
      <c r="F23" s="55"/>
      <c r="G23" s="55"/>
      <c r="H23" s="55"/>
      <c r="I23" s="55"/>
      <c r="J23" s="55"/>
      <c r="K23" s="55"/>
      <c r="L23" s="55"/>
      <c r="M23" s="55"/>
      <c r="N23" s="55"/>
      <c r="O23" s="55"/>
      <c r="CE23" s="186" t="s">
        <v>363</v>
      </c>
    </row>
    <row r="24" spans="3:83" ht="20.149999999999999" customHeight="1">
      <c r="C24" s="352" t="s">
        <v>883</v>
      </c>
      <c r="D24" s="55" t="s">
        <v>710</v>
      </c>
      <c r="E24" s="55"/>
      <c r="F24" s="55"/>
      <c r="G24" s="55"/>
      <c r="H24" s="55"/>
      <c r="I24" s="55"/>
      <c r="J24" s="55"/>
      <c r="K24" s="55"/>
      <c r="L24" s="55"/>
      <c r="M24" s="55"/>
      <c r="N24" s="55"/>
      <c r="O24" s="55"/>
      <c r="CE24" s="186" t="s">
        <v>364</v>
      </c>
    </row>
    <row r="25" spans="3:83" ht="5.15" customHeight="1">
      <c r="C25" s="328"/>
      <c r="D25" s="55"/>
      <c r="E25" s="55"/>
      <c r="F25" s="55"/>
      <c r="G25" s="55"/>
      <c r="H25" s="55"/>
      <c r="I25" s="55"/>
      <c r="J25" s="55"/>
      <c r="K25" s="55"/>
      <c r="L25" s="55"/>
      <c r="M25" s="55"/>
      <c r="N25" s="55"/>
      <c r="O25" s="55"/>
      <c r="CE25" s="203"/>
    </row>
    <row r="26" spans="3:83" ht="20.149999999999999" customHeight="1">
      <c r="C26" s="352" t="s">
        <v>884</v>
      </c>
      <c r="D26" s="55" t="s">
        <v>365</v>
      </c>
      <c r="E26" s="55"/>
      <c r="F26" s="55"/>
      <c r="G26" s="55"/>
      <c r="H26" s="55"/>
      <c r="I26" s="55"/>
      <c r="J26" s="55"/>
      <c r="K26" s="55"/>
      <c r="L26" s="55"/>
      <c r="M26" s="55"/>
      <c r="N26" s="55"/>
      <c r="O26" s="55"/>
    </row>
    <row r="27" spans="3:83" ht="5.15" customHeight="1">
      <c r="C27" s="328"/>
      <c r="D27" s="55" t="s">
        <v>362</v>
      </c>
      <c r="E27" s="55"/>
      <c r="F27" s="55"/>
      <c r="G27" s="55"/>
      <c r="H27" s="55"/>
      <c r="I27" s="55"/>
      <c r="J27" s="55"/>
      <c r="K27" s="55"/>
      <c r="L27" s="55"/>
      <c r="M27" s="55"/>
      <c r="N27" s="55"/>
      <c r="O27" s="55"/>
    </row>
    <row r="28" spans="3:83" ht="20.149999999999999" customHeight="1">
      <c r="C28" s="352" t="s">
        <v>885</v>
      </c>
      <c r="D28" s="55" t="s">
        <v>366</v>
      </c>
      <c r="E28" s="55"/>
      <c r="F28" s="55"/>
      <c r="G28" s="55"/>
      <c r="H28" s="55"/>
      <c r="I28" s="55"/>
      <c r="J28" s="55"/>
      <c r="K28" s="55"/>
      <c r="L28" s="55"/>
      <c r="M28" s="55"/>
      <c r="N28" s="55"/>
      <c r="O28" s="55"/>
    </row>
    <row r="29" spans="3:83" ht="5.15" customHeight="1">
      <c r="C29" s="328"/>
      <c r="D29" s="55"/>
      <c r="E29" s="55"/>
      <c r="F29" s="55"/>
      <c r="G29" s="55"/>
      <c r="H29" s="55"/>
      <c r="I29" s="55"/>
      <c r="J29" s="55"/>
      <c r="K29" s="55"/>
      <c r="L29" s="55"/>
      <c r="M29" s="55"/>
      <c r="N29" s="55"/>
      <c r="O29" s="55"/>
    </row>
    <row r="30" spans="3:83" ht="20.149999999999999" customHeight="1">
      <c r="C30" s="352" t="s">
        <v>886</v>
      </c>
      <c r="D30" s="55" t="s">
        <v>367</v>
      </c>
      <c r="E30" s="55"/>
      <c r="F30" s="55"/>
      <c r="G30" s="55"/>
      <c r="H30" s="55"/>
      <c r="I30" s="55"/>
      <c r="J30" s="55"/>
      <c r="K30" s="55"/>
      <c r="L30" s="55"/>
      <c r="M30" s="55"/>
      <c r="N30" s="55"/>
      <c r="O30" s="55"/>
    </row>
    <row r="31" spans="3:83" ht="5.15" customHeight="1">
      <c r="C31" s="328"/>
      <c r="D31" s="55"/>
      <c r="E31" s="55"/>
      <c r="F31" s="55"/>
      <c r="G31" s="55"/>
      <c r="H31" s="55"/>
      <c r="I31" s="55"/>
      <c r="J31" s="55"/>
      <c r="K31" s="55"/>
      <c r="L31" s="55"/>
      <c r="M31" s="55"/>
      <c r="N31" s="55"/>
      <c r="O31" s="55"/>
    </row>
    <row r="32" spans="3:83" ht="20.149999999999999" customHeight="1">
      <c r="C32" s="352" t="s">
        <v>887</v>
      </c>
      <c r="D32" s="55" t="s">
        <v>368</v>
      </c>
      <c r="E32" s="55"/>
      <c r="F32" s="55"/>
      <c r="G32" s="55"/>
      <c r="H32" s="55"/>
      <c r="I32" s="55"/>
      <c r="J32" s="55"/>
      <c r="K32" s="55"/>
      <c r="L32" s="55"/>
      <c r="M32" s="55"/>
      <c r="N32" s="55"/>
      <c r="O32" s="55"/>
    </row>
    <row r="33" spans="3:15" ht="5.15" customHeight="1">
      <c r="C33" s="328"/>
      <c r="D33" s="55"/>
      <c r="E33" s="55"/>
      <c r="F33" s="55"/>
      <c r="G33" s="55"/>
      <c r="H33" s="55"/>
      <c r="I33" s="55"/>
      <c r="J33" s="55"/>
      <c r="K33" s="55"/>
      <c r="L33" s="55"/>
      <c r="M33" s="55"/>
      <c r="N33" s="55"/>
      <c r="O33" s="55"/>
    </row>
    <row r="34" spans="3:15" ht="20.149999999999999" customHeight="1">
      <c r="C34" s="352" t="s">
        <v>888</v>
      </c>
      <c r="D34" s="55" t="s">
        <v>711</v>
      </c>
      <c r="E34" s="55"/>
      <c r="F34" s="55"/>
      <c r="G34" s="55"/>
      <c r="H34" s="55"/>
      <c r="I34" s="55"/>
      <c r="J34" s="55"/>
      <c r="K34" s="55"/>
      <c r="L34" s="55"/>
      <c r="M34" s="55"/>
      <c r="N34" s="55"/>
      <c r="O34" s="55"/>
    </row>
    <row r="35" spans="3:15" ht="5.15" customHeight="1">
      <c r="C35" s="328"/>
      <c r="D35" s="55"/>
      <c r="E35" s="55"/>
      <c r="F35" s="55"/>
      <c r="G35" s="55"/>
      <c r="H35" s="55"/>
      <c r="I35" s="55"/>
      <c r="J35" s="55"/>
      <c r="K35" s="55"/>
      <c r="L35" s="55"/>
      <c r="M35" s="55"/>
      <c r="N35" s="55"/>
      <c r="O35" s="55"/>
    </row>
    <row r="36" spans="3:15" ht="20.149999999999999" customHeight="1">
      <c r="C36" s="354" t="s">
        <v>889</v>
      </c>
      <c r="D36" s="426" t="s">
        <v>369</v>
      </c>
      <c r="E36" s="427"/>
      <c r="F36" s="427"/>
      <c r="G36" s="427"/>
      <c r="H36" s="427"/>
      <c r="I36" s="427"/>
      <c r="J36" s="427"/>
      <c r="K36" s="427"/>
      <c r="L36" s="427"/>
      <c r="M36" s="427"/>
      <c r="N36" s="427"/>
      <c r="O36" s="427"/>
    </row>
    <row r="37" spans="3:15" ht="5.15" customHeight="1">
      <c r="C37" s="355"/>
      <c r="D37" s="55"/>
      <c r="E37" s="55"/>
      <c r="F37" s="55"/>
      <c r="G37" s="55"/>
      <c r="H37" s="55"/>
      <c r="I37" s="55"/>
      <c r="J37" s="55"/>
      <c r="K37" s="55"/>
      <c r="L37" s="55"/>
      <c r="M37" s="55"/>
      <c r="N37" s="55"/>
      <c r="O37" s="55"/>
    </row>
    <row r="38" spans="3:15" ht="20.149999999999999" customHeight="1">
      <c r="C38" s="354" t="s">
        <v>890</v>
      </c>
      <c r="D38" s="426" t="s">
        <v>370</v>
      </c>
      <c r="E38" s="427"/>
      <c r="F38" s="427"/>
      <c r="G38" s="427"/>
      <c r="H38" s="427"/>
      <c r="I38" s="427"/>
      <c r="J38" s="427"/>
      <c r="K38" s="427"/>
      <c r="L38" s="427"/>
      <c r="M38" s="427"/>
      <c r="N38" s="427"/>
      <c r="O38" s="427"/>
    </row>
    <row r="39" spans="3:15" ht="12.75" customHeight="1"/>
    <row r="40" spans="3:15" ht="12.75" customHeight="1"/>
    <row r="41" spans="3:15" ht="12.75" customHeight="1">
      <c r="C41" s="54" t="s">
        <v>371</v>
      </c>
      <c r="D41" s="54" t="s">
        <v>712</v>
      </c>
      <c r="E41" s="54"/>
    </row>
    <row r="42" spans="3:15" ht="12.75" customHeight="1">
      <c r="D42" s="54" t="s">
        <v>713</v>
      </c>
      <c r="E42" s="54"/>
    </row>
    <row r="43" spans="3:15">
      <c r="D43" s="54" t="s">
        <v>714</v>
      </c>
      <c r="E43" s="54"/>
    </row>
    <row r="44" spans="3:15">
      <c r="D44" s="54" t="s">
        <v>715</v>
      </c>
      <c r="E44" s="54"/>
    </row>
    <row r="45" spans="3:15">
      <c r="D45" s="54" t="s">
        <v>716</v>
      </c>
      <c r="E45" s="54"/>
    </row>
    <row r="46" spans="3:15">
      <c r="D46" s="54" t="s">
        <v>717</v>
      </c>
      <c r="E46" s="54"/>
    </row>
    <row r="47" spans="3:15">
      <c r="E47" s="53"/>
    </row>
    <row r="49" spans="4:4">
      <c r="D49" s="204"/>
    </row>
  </sheetData>
  <sheetProtection algorithmName="SHA-512" hashValue="yDmCg9cC1VoU1LM2PXdxa9iGadDmrkzSQn4PcKthrC785fPHePDM6PHu8Js5Z8gYEGzf/jV0fRVLf8PeuTcVPA==" saltValue="Irtsvh3nkSQ3Hkq22TF18g==" spinCount="100000" sheet="1" selectLockedCells="1"/>
  <mergeCells count="6">
    <mergeCell ref="D38:O38"/>
    <mergeCell ref="C10:D10"/>
    <mergeCell ref="C11:D11"/>
    <mergeCell ref="H14:I14"/>
    <mergeCell ref="H15:I15"/>
    <mergeCell ref="D36:O36"/>
  </mergeCells>
  <hyperlinks>
    <hyperlink ref="C11" r:id="rId1" display="for more information please refer to section 3.3 of Economic Evaluation Manual." xr:uid="{E3960E82-E49D-4B60-A743-221E388B3AEE}"/>
    <hyperlink ref="C11:D11" r:id="rId2" display="For more information please refer to section 4.1 of Monetised benefits and Costs Manual." xr:uid="{BF059E19-9DB7-43E6-A1EF-7DDBC706E504}"/>
  </hyperlinks>
  <pageMargins left="0.25" right="0.25" top="0.75" bottom="0.75" header="0.3" footer="0.3"/>
  <pageSetup paperSize="8" orientation="landscape"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0A072-5596-405D-9648-66A2A1F69888}">
  <sheetPr codeName="Sheet5">
    <pageSetUpPr fitToPage="1"/>
  </sheetPr>
  <dimension ref="A1:AD92"/>
  <sheetViews>
    <sheetView topLeftCell="A17" zoomScaleNormal="100" workbookViewId="0">
      <selection activeCell="Q32" sqref="Q32:U32"/>
    </sheetView>
  </sheetViews>
  <sheetFormatPr defaultColWidth="7.75" defaultRowHeight="13.5"/>
  <cols>
    <col min="1" max="1" width="3.6640625" style="58" customWidth="1"/>
    <col min="2" max="3" width="10" style="57" customWidth="1"/>
    <col min="4" max="4" width="6.5" style="57" customWidth="1"/>
    <col min="5" max="6" width="4.83203125" style="57" customWidth="1"/>
    <col min="7" max="7" width="5.33203125" style="57" customWidth="1"/>
    <col min="8" max="8" width="6" style="57" customWidth="1"/>
    <col min="9" max="14" width="4.83203125" style="57" customWidth="1"/>
    <col min="15" max="15" width="16.1640625" style="57" customWidth="1"/>
    <col min="16" max="16" width="9.25" style="57" customWidth="1"/>
    <col min="17" max="17" width="26.75" style="57" customWidth="1"/>
    <col min="18" max="20" width="9.25" style="57" customWidth="1"/>
    <col min="21" max="21" width="11" style="57" customWidth="1"/>
    <col min="22" max="22" width="4.83203125" style="57" customWidth="1"/>
    <col min="23" max="23" width="9.25" style="57" hidden="1" customWidth="1"/>
    <col min="24" max="24" width="10.6640625" style="57" hidden="1" customWidth="1"/>
    <col min="25" max="25" width="10" style="57" hidden="1" customWidth="1"/>
    <col min="26" max="256" width="7.75" style="57"/>
    <col min="257" max="257" width="3.6640625" style="57" customWidth="1"/>
    <col min="258" max="259" width="10" style="57" customWidth="1"/>
    <col min="260" max="260" width="6.5" style="57" customWidth="1"/>
    <col min="261" max="262" width="4.83203125" style="57" customWidth="1"/>
    <col min="263" max="263" width="5.33203125" style="57" customWidth="1"/>
    <col min="264" max="264" width="6" style="57" customWidth="1"/>
    <col min="265" max="270" width="4.83203125" style="57" customWidth="1"/>
    <col min="271" max="271" width="16.1640625" style="57" customWidth="1"/>
    <col min="272" max="272" width="9.25" style="57" customWidth="1"/>
    <col min="273" max="273" width="26.75" style="57" customWidth="1"/>
    <col min="274" max="276" width="9.25" style="57" customWidth="1"/>
    <col min="277" max="277" width="11" style="57" customWidth="1"/>
    <col min="278" max="278" width="4.83203125" style="57" customWidth="1"/>
    <col min="279" max="279" width="9.25" style="57" customWidth="1"/>
    <col min="280" max="280" width="10.6640625" style="57" customWidth="1"/>
    <col min="281" max="281" width="10" style="57" customWidth="1"/>
    <col min="282" max="512" width="7.75" style="57"/>
    <col min="513" max="513" width="3.6640625" style="57" customWidth="1"/>
    <col min="514" max="515" width="10" style="57" customWidth="1"/>
    <col min="516" max="516" width="6.5" style="57" customWidth="1"/>
    <col min="517" max="518" width="4.83203125" style="57" customWidth="1"/>
    <col min="519" max="519" width="5.33203125" style="57" customWidth="1"/>
    <col min="520" max="520" width="6" style="57" customWidth="1"/>
    <col min="521" max="526" width="4.83203125" style="57" customWidth="1"/>
    <col min="527" max="527" width="16.1640625" style="57" customWidth="1"/>
    <col min="528" max="528" width="9.25" style="57" customWidth="1"/>
    <col min="529" max="529" width="26.75" style="57" customWidth="1"/>
    <col min="530" max="532" width="9.25" style="57" customWidth="1"/>
    <col min="533" max="533" width="11" style="57" customWidth="1"/>
    <col min="534" max="534" width="4.83203125" style="57" customWidth="1"/>
    <col min="535" max="535" width="9.25" style="57" customWidth="1"/>
    <col min="536" max="536" width="10.6640625" style="57" customWidth="1"/>
    <col min="537" max="537" width="10" style="57" customWidth="1"/>
    <col min="538" max="768" width="7.75" style="57"/>
    <col min="769" max="769" width="3.6640625" style="57" customWidth="1"/>
    <col min="770" max="771" width="10" style="57" customWidth="1"/>
    <col min="772" max="772" width="6.5" style="57" customWidth="1"/>
    <col min="773" max="774" width="4.83203125" style="57" customWidth="1"/>
    <col min="775" max="775" width="5.33203125" style="57" customWidth="1"/>
    <col min="776" max="776" width="6" style="57" customWidth="1"/>
    <col min="777" max="782" width="4.83203125" style="57" customWidth="1"/>
    <col min="783" max="783" width="16.1640625" style="57" customWidth="1"/>
    <col min="784" max="784" width="9.25" style="57" customWidth="1"/>
    <col min="785" max="785" width="26.75" style="57" customWidth="1"/>
    <col min="786" max="788" width="9.25" style="57" customWidth="1"/>
    <col min="789" max="789" width="11" style="57" customWidth="1"/>
    <col min="790" max="790" width="4.83203125" style="57" customWidth="1"/>
    <col min="791" max="791" width="9.25" style="57" customWidth="1"/>
    <col min="792" max="792" width="10.6640625" style="57" customWidth="1"/>
    <col min="793" max="793" width="10" style="57" customWidth="1"/>
    <col min="794" max="1024" width="7.75" style="57"/>
    <col min="1025" max="1025" width="3.6640625" style="57" customWidth="1"/>
    <col min="1026" max="1027" width="10" style="57" customWidth="1"/>
    <col min="1028" max="1028" width="6.5" style="57" customWidth="1"/>
    <col min="1029" max="1030" width="4.83203125" style="57" customWidth="1"/>
    <col min="1031" max="1031" width="5.33203125" style="57" customWidth="1"/>
    <col min="1032" max="1032" width="6" style="57" customWidth="1"/>
    <col min="1033" max="1038" width="4.83203125" style="57" customWidth="1"/>
    <col min="1039" max="1039" width="16.1640625" style="57" customWidth="1"/>
    <col min="1040" max="1040" width="9.25" style="57" customWidth="1"/>
    <col min="1041" max="1041" width="26.75" style="57" customWidth="1"/>
    <col min="1042" max="1044" width="9.25" style="57" customWidth="1"/>
    <col min="1045" max="1045" width="11" style="57" customWidth="1"/>
    <col min="1046" max="1046" width="4.83203125" style="57" customWidth="1"/>
    <col min="1047" max="1047" width="9.25" style="57" customWidth="1"/>
    <col min="1048" max="1048" width="10.6640625" style="57" customWidth="1"/>
    <col min="1049" max="1049" width="10" style="57" customWidth="1"/>
    <col min="1050" max="1280" width="7.75" style="57"/>
    <col min="1281" max="1281" width="3.6640625" style="57" customWidth="1"/>
    <col min="1282" max="1283" width="10" style="57" customWidth="1"/>
    <col min="1284" max="1284" width="6.5" style="57" customWidth="1"/>
    <col min="1285" max="1286" width="4.83203125" style="57" customWidth="1"/>
    <col min="1287" max="1287" width="5.33203125" style="57" customWidth="1"/>
    <col min="1288" max="1288" width="6" style="57" customWidth="1"/>
    <col min="1289" max="1294" width="4.83203125" style="57" customWidth="1"/>
    <col min="1295" max="1295" width="16.1640625" style="57" customWidth="1"/>
    <col min="1296" max="1296" width="9.25" style="57" customWidth="1"/>
    <col min="1297" max="1297" width="26.75" style="57" customWidth="1"/>
    <col min="1298" max="1300" width="9.25" style="57" customWidth="1"/>
    <col min="1301" max="1301" width="11" style="57" customWidth="1"/>
    <col min="1302" max="1302" width="4.83203125" style="57" customWidth="1"/>
    <col min="1303" max="1303" width="9.25" style="57" customWidth="1"/>
    <col min="1304" max="1304" width="10.6640625" style="57" customWidth="1"/>
    <col min="1305" max="1305" width="10" style="57" customWidth="1"/>
    <col min="1306" max="1536" width="7.75" style="57"/>
    <col min="1537" max="1537" width="3.6640625" style="57" customWidth="1"/>
    <col min="1538" max="1539" width="10" style="57" customWidth="1"/>
    <col min="1540" max="1540" width="6.5" style="57" customWidth="1"/>
    <col min="1541" max="1542" width="4.83203125" style="57" customWidth="1"/>
    <col min="1543" max="1543" width="5.33203125" style="57" customWidth="1"/>
    <col min="1544" max="1544" width="6" style="57" customWidth="1"/>
    <col min="1545" max="1550" width="4.83203125" style="57" customWidth="1"/>
    <col min="1551" max="1551" width="16.1640625" style="57" customWidth="1"/>
    <col min="1552" max="1552" width="9.25" style="57" customWidth="1"/>
    <col min="1553" max="1553" width="26.75" style="57" customWidth="1"/>
    <col min="1554" max="1556" width="9.25" style="57" customWidth="1"/>
    <col min="1557" max="1557" width="11" style="57" customWidth="1"/>
    <col min="1558" max="1558" width="4.83203125" style="57" customWidth="1"/>
    <col min="1559" max="1559" width="9.25" style="57" customWidth="1"/>
    <col min="1560" max="1560" width="10.6640625" style="57" customWidth="1"/>
    <col min="1561" max="1561" width="10" style="57" customWidth="1"/>
    <col min="1562" max="1792" width="7.75" style="57"/>
    <col min="1793" max="1793" width="3.6640625" style="57" customWidth="1"/>
    <col min="1794" max="1795" width="10" style="57" customWidth="1"/>
    <col min="1796" max="1796" width="6.5" style="57" customWidth="1"/>
    <col min="1797" max="1798" width="4.83203125" style="57" customWidth="1"/>
    <col min="1799" max="1799" width="5.33203125" style="57" customWidth="1"/>
    <col min="1800" max="1800" width="6" style="57" customWidth="1"/>
    <col min="1801" max="1806" width="4.83203125" style="57" customWidth="1"/>
    <col min="1807" max="1807" width="16.1640625" style="57" customWidth="1"/>
    <col min="1808" max="1808" width="9.25" style="57" customWidth="1"/>
    <col min="1809" max="1809" width="26.75" style="57" customWidth="1"/>
    <col min="1810" max="1812" width="9.25" style="57" customWidth="1"/>
    <col min="1813" max="1813" width="11" style="57" customWidth="1"/>
    <col min="1814" max="1814" width="4.83203125" style="57" customWidth="1"/>
    <col min="1815" max="1815" width="9.25" style="57" customWidth="1"/>
    <col min="1816" max="1816" width="10.6640625" style="57" customWidth="1"/>
    <col min="1817" max="1817" width="10" style="57" customWidth="1"/>
    <col min="1818" max="2048" width="7.75" style="57"/>
    <col min="2049" max="2049" width="3.6640625" style="57" customWidth="1"/>
    <col min="2050" max="2051" width="10" style="57" customWidth="1"/>
    <col min="2052" max="2052" width="6.5" style="57" customWidth="1"/>
    <col min="2053" max="2054" width="4.83203125" style="57" customWidth="1"/>
    <col min="2055" max="2055" width="5.33203125" style="57" customWidth="1"/>
    <col min="2056" max="2056" width="6" style="57" customWidth="1"/>
    <col min="2057" max="2062" width="4.83203125" style="57" customWidth="1"/>
    <col min="2063" max="2063" width="16.1640625" style="57" customWidth="1"/>
    <col min="2064" max="2064" width="9.25" style="57" customWidth="1"/>
    <col min="2065" max="2065" width="26.75" style="57" customWidth="1"/>
    <col min="2066" max="2068" width="9.25" style="57" customWidth="1"/>
    <col min="2069" max="2069" width="11" style="57" customWidth="1"/>
    <col min="2070" max="2070" width="4.83203125" style="57" customWidth="1"/>
    <col min="2071" max="2071" width="9.25" style="57" customWidth="1"/>
    <col min="2072" max="2072" width="10.6640625" style="57" customWidth="1"/>
    <col min="2073" max="2073" width="10" style="57" customWidth="1"/>
    <col min="2074" max="2304" width="7.75" style="57"/>
    <col min="2305" max="2305" width="3.6640625" style="57" customWidth="1"/>
    <col min="2306" max="2307" width="10" style="57" customWidth="1"/>
    <col min="2308" max="2308" width="6.5" style="57" customWidth="1"/>
    <col min="2309" max="2310" width="4.83203125" style="57" customWidth="1"/>
    <col min="2311" max="2311" width="5.33203125" style="57" customWidth="1"/>
    <col min="2312" max="2312" width="6" style="57" customWidth="1"/>
    <col min="2313" max="2318" width="4.83203125" style="57" customWidth="1"/>
    <col min="2319" max="2319" width="16.1640625" style="57" customWidth="1"/>
    <col min="2320" max="2320" width="9.25" style="57" customWidth="1"/>
    <col min="2321" max="2321" width="26.75" style="57" customWidth="1"/>
    <col min="2322" max="2324" width="9.25" style="57" customWidth="1"/>
    <col min="2325" max="2325" width="11" style="57" customWidth="1"/>
    <col min="2326" max="2326" width="4.83203125" style="57" customWidth="1"/>
    <col min="2327" max="2327" width="9.25" style="57" customWidth="1"/>
    <col min="2328" max="2328" width="10.6640625" style="57" customWidth="1"/>
    <col min="2329" max="2329" width="10" style="57" customWidth="1"/>
    <col min="2330" max="2560" width="7.75" style="57"/>
    <col min="2561" max="2561" width="3.6640625" style="57" customWidth="1"/>
    <col min="2562" max="2563" width="10" style="57" customWidth="1"/>
    <col min="2564" max="2564" width="6.5" style="57" customWidth="1"/>
    <col min="2565" max="2566" width="4.83203125" style="57" customWidth="1"/>
    <col min="2567" max="2567" width="5.33203125" style="57" customWidth="1"/>
    <col min="2568" max="2568" width="6" style="57" customWidth="1"/>
    <col min="2569" max="2574" width="4.83203125" style="57" customWidth="1"/>
    <col min="2575" max="2575" width="16.1640625" style="57" customWidth="1"/>
    <col min="2576" max="2576" width="9.25" style="57" customWidth="1"/>
    <col min="2577" max="2577" width="26.75" style="57" customWidth="1"/>
    <col min="2578" max="2580" width="9.25" style="57" customWidth="1"/>
    <col min="2581" max="2581" width="11" style="57" customWidth="1"/>
    <col min="2582" max="2582" width="4.83203125" style="57" customWidth="1"/>
    <col min="2583" max="2583" width="9.25" style="57" customWidth="1"/>
    <col min="2584" max="2584" width="10.6640625" style="57" customWidth="1"/>
    <col min="2585" max="2585" width="10" style="57" customWidth="1"/>
    <col min="2586" max="2816" width="7.75" style="57"/>
    <col min="2817" max="2817" width="3.6640625" style="57" customWidth="1"/>
    <col min="2818" max="2819" width="10" style="57" customWidth="1"/>
    <col min="2820" max="2820" width="6.5" style="57" customWidth="1"/>
    <col min="2821" max="2822" width="4.83203125" style="57" customWidth="1"/>
    <col min="2823" max="2823" width="5.33203125" style="57" customWidth="1"/>
    <col min="2824" max="2824" width="6" style="57" customWidth="1"/>
    <col min="2825" max="2830" width="4.83203125" style="57" customWidth="1"/>
    <col min="2831" max="2831" width="16.1640625" style="57" customWidth="1"/>
    <col min="2832" max="2832" width="9.25" style="57" customWidth="1"/>
    <col min="2833" max="2833" width="26.75" style="57" customWidth="1"/>
    <col min="2834" max="2836" width="9.25" style="57" customWidth="1"/>
    <col min="2837" max="2837" width="11" style="57" customWidth="1"/>
    <col min="2838" max="2838" width="4.83203125" style="57" customWidth="1"/>
    <col min="2839" max="2839" width="9.25" style="57" customWidth="1"/>
    <col min="2840" max="2840" width="10.6640625" style="57" customWidth="1"/>
    <col min="2841" max="2841" width="10" style="57" customWidth="1"/>
    <col min="2842" max="3072" width="7.75" style="57"/>
    <col min="3073" max="3073" width="3.6640625" style="57" customWidth="1"/>
    <col min="3074" max="3075" width="10" style="57" customWidth="1"/>
    <col min="3076" max="3076" width="6.5" style="57" customWidth="1"/>
    <col min="3077" max="3078" width="4.83203125" style="57" customWidth="1"/>
    <col min="3079" max="3079" width="5.33203125" style="57" customWidth="1"/>
    <col min="3080" max="3080" width="6" style="57" customWidth="1"/>
    <col min="3081" max="3086" width="4.83203125" style="57" customWidth="1"/>
    <col min="3087" max="3087" width="16.1640625" style="57" customWidth="1"/>
    <col min="3088" max="3088" width="9.25" style="57" customWidth="1"/>
    <col min="3089" max="3089" width="26.75" style="57" customWidth="1"/>
    <col min="3090" max="3092" width="9.25" style="57" customWidth="1"/>
    <col min="3093" max="3093" width="11" style="57" customWidth="1"/>
    <col min="3094" max="3094" width="4.83203125" style="57" customWidth="1"/>
    <col min="3095" max="3095" width="9.25" style="57" customWidth="1"/>
    <col min="3096" max="3096" width="10.6640625" style="57" customWidth="1"/>
    <col min="3097" max="3097" width="10" style="57" customWidth="1"/>
    <col min="3098" max="3328" width="7.75" style="57"/>
    <col min="3329" max="3329" width="3.6640625" style="57" customWidth="1"/>
    <col min="3330" max="3331" width="10" style="57" customWidth="1"/>
    <col min="3332" max="3332" width="6.5" style="57" customWidth="1"/>
    <col min="3333" max="3334" width="4.83203125" style="57" customWidth="1"/>
    <col min="3335" max="3335" width="5.33203125" style="57" customWidth="1"/>
    <col min="3336" max="3336" width="6" style="57" customWidth="1"/>
    <col min="3337" max="3342" width="4.83203125" style="57" customWidth="1"/>
    <col min="3343" max="3343" width="16.1640625" style="57" customWidth="1"/>
    <col min="3344" max="3344" width="9.25" style="57" customWidth="1"/>
    <col min="3345" max="3345" width="26.75" style="57" customWidth="1"/>
    <col min="3346" max="3348" width="9.25" style="57" customWidth="1"/>
    <col min="3349" max="3349" width="11" style="57" customWidth="1"/>
    <col min="3350" max="3350" width="4.83203125" style="57" customWidth="1"/>
    <col min="3351" max="3351" width="9.25" style="57" customWidth="1"/>
    <col min="3352" max="3352" width="10.6640625" style="57" customWidth="1"/>
    <col min="3353" max="3353" width="10" style="57" customWidth="1"/>
    <col min="3354" max="3584" width="7.75" style="57"/>
    <col min="3585" max="3585" width="3.6640625" style="57" customWidth="1"/>
    <col min="3586" max="3587" width="10" style="57" customWidth="1"/>
    <col min="3588" max="3588" width="6.5" style="57" customWidth="1"/>
    <col min="3589" max="3590" width="4.83203125" style="57" customWidth="1"/>
    <col min="3591" max="3591" width="5.33203125" style="57" customWidth="1"/>
    <col min="3592" max="3592" width="6" style="57" customWidth="1"/>
    <col min="3593" max="3598" width="4.83203125" style="57" customWidth="1"/>
    <col min="3599" max="3599" width="16.1640625" style="57" customWidth="1"/>
    <col min="3600" max="3600" width="9.25" style="57" customWidth="1"/>
    <col min="3601" max="3601" width="26.75" style="57" customWidth="1"/>
    <col min="3602" max="3604" width="9.25" style="57" customWidth="1"/>
    <col min="3605" max="3605" width="11" style="57" customWidth="1"/>
    <col min="3606" max="3606" width="4.83203125" style="57" customWidth="1"/>
    <col min="3607" max="3607" width="9.25" style="57" customWidth="1"/>
    <col min="3608" max="3608" width="10.6640625" style="57" customWidth="1"/>
    <col min="3609" max="3609" width="10" style="57" customWidth="1"/>
    <col min="3610" max="3840" width="7.75" style="57"/>
    <col min="3841" max="3841" width="3.6640625" style="57" customWidth="1"/>
    <col min="3842" max="3843" width="10" style="57" customWidth="1"/>
    <col min="3844" max="3844" width="6.5" style="57" customWidth="1"/>
    <col min="3845" max="3846" width="4.83203125" style="57" customWidth="1"/>
    <col min="3847" max="3847" width="5.33203125" style="57" customWidth="1"/>
    <col min="3848" max="3848" width="6" style="57" customWidth="1"/>
    <col min="3849" max="3854" width="4.83203125" style="57" customWidth="1"/>
    <col min="3855" max="3855" width="16.1640625" style="57" customWidth="1"/>
    <col min="3856" max="3856" width="9.25" style="57" customWidth="1"/>
    <col min="3857" max="3857" width="26.75" style="57" customWidth="1"/>
    <col min="3858" max="3860" width="9.25" style="57" customWidth="1"/>
    <col min="3861" max="3861" width="11" style="57" customWidth="1"/>
    <col min="3862" max="3862" width="4.83203125" style="57" customWidth="1"/>
    <col min="3863" max="3863" width="9.25" style="57" customWidth="1"/>
    <col min="3864" max="3864" width="10.6640625" style="57" customWidth="1"/>
    <col min="3865" max="3865" width="10" style="57" customWidth="1"/>
    <col min="3866" max="4096" width="7.75" style="57"/>
    <col min="4097" max="4097" width="3.6640625" style="57" customWidth="1"/>
    <col min="4098" max="4099" width="10" style="57" customWidth="1"/>
    <col min="4100" max="4100" width="6.5" style="57" customWidth="1"/>
    <col min="4101" max="4102" width="4.83203125" style="57" customWidth="1"/>
    <col min="4103" max="4103" width="5.33203125" style="57" customWidth="1"/>
    <col min="4104" max="4104" width="6" style="57" customWidth="1"/>
    <col min="4105" max="4110" width="4.83203125" style="57" customWidth="1"/>
    <col min="4111" max="4111" width="16.1640625" style="57" customWidth="1"/>
    <col min="4112" max="4112" width="9.25" style="57" customWidth="1"/>
    <col min="4113" max="4113" width="26.75" style="57" customWidth="1"/>
    <col min="4114" max="4116" width="9.25" style="57" customWidth="1"/>
    <col min="4117" max="4117" width="11" style="57" customWidth="1"/>
    <col min="4118" max="4118" width="4.83203125" style="57" customWidth="1"/>
    <col min="4119" max="4119" width="9.25" style="57" customWidth="1"/>
    <col min="4120" max="4120" width="10.6640625" style="57" customWidth="1"/>
    <col min="4121" max="4121" width="10" style="57" customWidth="1"/>
    <col min="4122" max="4352" width="7.75" style="57"/>
    <col min="4353" max="4353" width="3.6640625" style="57" customWidth="1"/>
    <col min="4354" max="4355" width="10" style="57" customWidth="1"/>
    <col min="4356" max="4356" width="6.5" style="57" customWidth="1"/>
    <col min="4357" max="4358" width="4.83203125" style="57" customWidth="1"/>
    <col min="4359" max="4359" width="5.33203125" style="57" customWidth="1"/>
    <col min="4360" max="4360" width="6" style="57" customWidth="1"/>
    <col min="4361" max="4366" width="4.83203125" style="57" customWidth="1"/>
    <col min="4367" max="4367" width="16.1640625" style="57" customWidth="1"/>
    <col min="4368" max="4368" width="9.25" style="57" customWidth="1"/>
    <col min="4369" max="4369" width="26.75" style="57" customWidth="1"/>
    <col min="4370" max="4372" width="9.25" style="57" customWidth="1"/>
    <col min="4373" max="4373" width="11" style="57" customWidth="1"/>
    <col min="4374" max="4374" width="4.83203125" style="57" customWidth="1"/>
    <col min="4375" max="4375" width="9.25" style="57" customWidth="1"/>
    <col min="4376" max="4376" width="10.6640625" style="57" customWidth="1"/>
    <col min="4377" max="4377" width="10" style="57" customWidth="1"/>
    <col min="4378" max="4608" width="7.75" style="57"/>
    <col min="4609" max="4609" width="3.6640625" style="57" customWidth="1"/>
    <col min="4610" max="4611" width="10" style="57" customWidth="1"/>
    <col min="4612" max="4612" width="6.5" style="57" customWidth="1"/>
    <col min="4613" max="4614" width="4.83203125" style="57" customWidth="1"/>
    <col min="4615" max="4615" width="5.33203125" style="57" customWidth="1"/>
    <col min="4616" max="4616" width="6" style="57" customWidth="1"/>
    <col min="4617" max="4622" width="4.83203125" style="57" customWidth="1"/>
    <col min="4623" max="4623" width="16.1640625" style="57" customWidth="1"/>
    <col min="4624" max="4624" width="9.25" style="57" customWidth="1"/>
    <col min="4625" max="4625" width="26.75" style="57" customWidth="1"/>
    <col min="4626" max="4628" width="9.25" style="57" customWidth="1"/>
    <col min="4629" max="4629" width="11" style="57" customWidth="1"/>
    <col min="4630" max="4630" width="4.83203125" style="57" customWidth="1"/>
    <col min="4631" max="4631" width="9.25" style="57" customWidth="1"/>
    <col min="4632" max="4632" width="10.6640625" style="57" customWidth="1"/>
    <col min="4633" max="4633" width="10" style="57" customWidth="1"/>
    <col min="4634" max="4864" width="7.75" style="57"/>
    <col min="4865" max="4865" width="3.6640625" style="57" customWidth="1"/>
    <col min="4866" max="4867" width="10" style="57" customWidth="1"/>
    <col min="4868" max="4868" width="6.5" style="57" customWidth="1"/>
    <col min="4869" max="4870" width="4.83203125" style="57" customWidth="1"/>
    <col min="4871" max="4871" width="5.33203125" style="57" customWidth="1"/>
    <col min="4872" max="4872" width="6" style="57" customWidth="1"/>
    <col min="4873" max="4878" width="4.83203125" style="57" customWidth="1"/>
    <col min="4879" max="4879" width="16.1640625" style="57" customWidth="1"/>
    <col min="4880" max="4880" width="9.25" style="57" customWidth="1"/>
    <col min="4881" max="4881" width="26.75" style="57" customWidth="1"/>
    <col min="4882" max="4884" width="9.25" style="57" customWidth="1"/>
    <col min="4885" max="4885" width="11" style="57" customWidth="1"/>
    <col min="4886" max="4886" width="4.83203125" style="57" customWidth="1"/>
    <col min="4887" max="4887" width="9.25" style="57" customWidth="1"/>
    <col min="4888" max="4888" width="10.6640625" style="57" customWidth="1"/>
    <col min="4889" max="4889" width="10" style="57" customWidth="1"/>
    <col min="4890" max="5120" width="7.75" style="57"/>
    <col min="5121" max="5121" width="3.6640625" style="57" customWidth="1"/>
    <col min="5122" max="5123" width="10" style="57" customWidth="1"/>
    <col min="5124" max="5124" width="6.5" style="57" customWidth="1"/>
    <col min="5125" max="5126" width="4.83203125" style="57" customWidth="1"/>
    <col min="5127" max="5127" width="5.33203125" style="57" customWidth="1"/>
    <col min="5128" max="5128" width="6" style="57" customWidth="1"/>
    <col min="5129" max="5134" width="4.83203125" style="57" customWidth="1"/>
    <col min="5135" max="5135" width="16.1640625" style="57" customWidth="1"/>
    <col min="5136" max="5136" width="9.25" style="57" customWidth="1"/>
    <col min="5137" max="5137" width="26.75" style="57" customWidth="1"/>
    <col min="5138" max="5140" width="9.25" style="57" customWidth="1"/>
    <col min="5141" max="5141" width="11" style="57" customWidth="1"/>
    <col min="5142" max="5142" width="4.83203125" style="57" customWidth="1"/>
    <col min="5143" max="5143" width="9.25" style="57" customWidth="1"/>
    <col min="5144" max="5144" width="10.6640625" style="57" customWidth="1"/>
    <col min="5145" max="5145" width="10" style="57" customWidth="1"/>
    <col min="5146" max="5376" width="7.75" style="57"/>
    <col min="5377" max="5377" width="3.6640625" style="57" customWidth="1"/>
    <col min="5378" max="5379" width="10" style="57" customWidth="1"/>
    <col min="5380" max="5380" width="6.5" style="57" customWidth="1"/>
    <col min="5381" max="5382" width="4.83203125" style="57" customWidth="1"/>
    <col min="5383" max="5383" width="5.33203125" style="57" customWidth="1"/>
    <col min="5384" max="5384" width="6" style="57" customWidth="1"/>
    <col min="5385" max="5390" width="4.83203125" style="57" customWidth="1"/>
    <col min="5391" max="5391" width="16.1640625" style="57" customWidth="1"/>
    <col min="5392" max="5392" width="9.25" style="57" customWidth="1"/>
    <col min="5393" max="5393" width="26.75" style="57" customWidth="1"/>
    <col min="5394" max="5396" width="9.25" style="57" customWidth="1"/>
    <col min="5397" max="5397" width="11" style="57" customWidth="1"/>
    <col min="5398" max="5398" width="4.83203125" style="57" customWidth="1"/>
    <col min="5399" max="5399" width="9.25" style="57" customWidth="1"/>
    <col min="5400" max="5400" width="10.6640625" style="57" customWidth="1"/>
    <col min="5401" max="5401" width="10" style="57" customWidth="1"/>
    <col min="5402" max="5632" width="7.75" style="57"/>
    <col min="5633" max="5633" width="3.6640625" style="57" customWidth="1"/>
    <col min="5634" max="5635" width="10" style="57" customWidth="1"/>
    <col min="5636" max="5636" width="6.5" style="57" customWidth="1"/>
    <col min="5637" max="5638" width="4.83203125" style="57" customWidth="1"/>
    <col min="5639" max="5639" width="5.33203125" style="57" customWidth="1"/>
    <col min="5640" max="5640" width="6" style="57" customWidth="1"/>
    <col min="5641" max="5646" width="4.83203125" style="57" customWidth="1"/>
    <col min="5647" max="5647" width="16.1640625" style="57" customWidth="1"/>
    <col min="5648" max="5648" width="9.25" style="57" customWidth="1"/>
    <col min="5649" max="5649" width="26.75" style="57" customWidth="1"/>
    <col min="5650" max="5652" width="9.25" style="57" customWidth="1"/>
    <col min="5653" max="5653" width="11" style="57" customWidth="1"/>
    <col min="5654" max="5654" width="4.83203125" style="57" customWidth="1"/>
    <col min="5655" max="5655" width="9.25" style="57" customWidth="1"/>
    <col min="5656" max="5656" width="10.6640625" style="57" customWidth="1"/>
    <col min="5657" max="5657" width="10" style="57" customWidth="1"/>
    <col min="5658" max="5888" width="7.75" style="57"/>
    <col min="5889" max="5889" width="3.6640625" style="57" customWidth="1"/>
    <col min="5890" max="5891" width="10" style="57" customWidth="1"/>
    <col min="5892" max="5892" width="6.5" style="57" customWidth="1"/>
    <col min="5893" max="5894" width="4.83203125" style="57" customWidth="1"/>
    <col min="5895" max="5895" width="5.33203125" style="57" customWidth="1"/>
    <col min="5896" max="5896" width="6" style="57" customWidth="1"/>
    <col min="5897" max="5902" width="4.83203125" style="57" customWidth="1"/>
    <col min="5903" max="5903" width="16.1640625" style="57" customWidth="1"/>
    <col min="5904" max="5904" width="9.25" style="57" customWidth="1"/>
    <col min="5905" max="5905" width="26.75" style="57" customWidth="1"/>
    <col min="5906" max="5908" width="9.25" style="57" customWidth="1"/>
    <col min="5909" max="5909" width="11" style="57" customWidth="1"/>
    <col min="5910" max="5910" width="4.83203125" style="57" customWidth="1"/>
    <col min="5911" max="5911" width="9.25" style="57" customWidth="1"/>
    <col min="5912" max="5912" width="10.6640625" style="57" customWidth="1"/>
    <col min="5913" max="5913" width="10" style="57" customWidth="1"/>
    <col min="5914" max="6144" width="7.75" style="57"/>
    <col min="6145" max="6145" width="3.6640625" style="57" customWidth="1"/>
    <col min="6146" max="6147" width="10" style="57" customWidth="1"/>
    <col min="6148" max="6148" width="6.5" style="57" customWidth="1"/>
    <col min="6149" max="6150" width="4.83203125" style="57" customWidth="1"/>
    <col min="6151" max="6151" width="5.33203125" style="57" customWidth="1"/>
    <col min="6152" max="6152" width="6" style="57" customWidth="1"/>
    <col min="6153" max="6158" width="4.83203125" style="57" customWidth="1"/>
    <col min="6159" max="6159" width="16.1640625" style="57" customWidth="1"/>
    <col min="6160" max="6160" width="9.25" style="57" customWidth="1"/>
    <col min="6161" max="6161" width="26.75" style="57" customWidth="1"/>
    <col min="6162" max="6164" width="9.25" style="57" customWidth="1"/>
    <col min="6165" max="6165" width="11" style="57" customWidth="1"/>
    <col min="6166" max="6166" width="4.83203125" style="57" customWidth="1"/>
    <col min="6167" max="6167" width="9.25" style="57" customWidth="1"/>
    <col min="6168" max="6168" width="10.6640625" style="57" customWidth="1"/>
    <col min="6169" max="6169" width="10" style="57" customWidth="1"/>
    <col min="6170" max="6400" width="7.75" style="57"/>
    <col min="6401" max="6401" width="3.6640625" style="57" customWidth="1"/>
    <col min="6402" max="6403" width="10" style="57" customWidth="1"/>
    <col min="6404" max="6404" width="6.5" style="57" customWidth="1"/>
    <col min="6405" max="6406" width="4.83203125" style="57" customWidth="1"/>
    <col min="6407" max="6407" width="5.33203125" style="57" customWidth="1"/>
    <col min="6408" max="6408" width="6" style="57" customWidth="1"/>
    <col min="6409" max="6414" width="4.83203125" style="57" customWidth="1"/>
    <col min="6415" max="6415" width="16.1640625" style="57" customWidth="1"/>
    <col min="6416" max="6416" width="9.25" style="57" customWidth="1"/>
    <col min="6417" max="6417" width="26.75" style="57" customWidth="1"/>
    <col min="6418" max="6420" width="9.25" style="57" customWidth="1"/>
    <col min="6421" max="6421" width="11" style="57" customWidth="1"/>
    <col min="6422" max="6422" width="4.83203125" style="57" customWidth="1"/>
    <col min="6423" max="6423" width="9.25" style="57" customWidth="1"/>
    <col min="6424" max="6424" width="10.6640625" style="57" customWidth="1"/>
    <col min="6425" max="6425" width="10" style="57" customWidth="1"/>
    <col min="6426" max="6656" width="7.75" style="57"/>
    <col min="6657" max="6657" width="3.6640625" style="57" customWidth="1"/>
    <col min="6658" max="6659" width="10" style="57" customWidth="1"/>
    <col min="6660" max="6660" width="6.5" style="57" customWidth="1"/>
    <col min="6661" max="6662" width="4.83203125" style="57" customWidth="1"/>
    <col min="6663" max="6663" width="5.33203125" style="57" customWidth="1"/>
    <col min="6664" max="6664" width="6" style="57" customWidth="1"/>
    <col min="6665" max="6670" width="4.83203125" style="57" customWidth="1"/>
    <col min="6671" max="6671" width="16.1640625" style="57" customWidth="1"/>
    <col min="6672" max="6672" width="9.25" style="57" customWidth="1"/>
    <col min="6673" max="6673" width="26.75" style="57" customWidth="1"/>
    <col min="6674" max="6676" width="9.25" style="57" customWidth="1"/>
    <col min="6677" max="6677" width="11" style="57" customWidth="1"/>
    <col min="6678" max="6678" width="4.83203125" style="57" customWidth="1"/>
    <col min="6679" max="6679" width="9.25" style="57" customWidth="1"/>
    <col min="6680" max="6680" width="10.6640625" style="57" customWidth="1"/>
    <col min="6681" max="6681" width="10" style="57" customWidth="1"/>
    <col min="6682" max="6912" width="7.75" style="57"/>
    <col min="6913" max="6913" width="3.6640625" style="57" customWidth="1"/>
    <col min="6914" max="6915" width="10" style="57" customWidth="1"/>
    <col min="6916" max="6916" width="6.5" style="57" customWidth="1"/>
    <col min="6917" max="6918" width="4.83203125" style="57" customWidth="1"/>
    <col min="6919" max="6919" width="5.33203125" style="57" customWidth="1"/>
    <col min="6920" max="6920" width="6" style="57" customWidth="1"/>
    <col min="6921" max="6926" width="4.83203125" style="57" customWidth="1"/>
    <col min="6927" max="6927" width="16.1640625" style="57" customWidth="1"/>
    <col min="6928" max="6928" width="9.25" style="57" customWidth="1"/>
    <col min="6929" max="6929" width="26.75" style="57" customWidth="1"/>
    <col min="6930" max="6932" width="9.25" style="57" customWidth="1"/>
    <col min="6933" max="6933" width="11" style="57" customWidth="1"/>
    <col min="6934" max="6934" width="4.83203125" style="57" customWidth="1"/>
    <col min="6935" max="6935" width="9.25" style="57" customWidth="1"/>
    <col min="6936" max="6936" width="10.6640625" style="57" customWidth="1"/>
    <col min="6937" max="6937" width="10" style="57" customWidth="1"/>
    <col min="6938" max="7168" width="7.75" style="57"/>
    <col min="7169" max="7169" width="3.6640625" style="57" customWidth="1"/>
    <col min="7170" max="7171" width="10" style="57" customWidth="1"/>
    <col min="7172" max="7172" width="6.5" style="57" customWidth="1"/>
    <col min="7173" max="7174" width="4.83203125" style="57" customWidth="1"/>
    <col min="7175" max="7175" width="5.33203125" style="57" customWidth="1"/>
    <col min="7176" max="7176" width="6" style="57" customWidth="1"/>
    <col min="7177" max="7182" width="4.83203125" style="57" customWidth="1"/>
    <col min="7183" max="7183" width="16.1640625" style="57" customWidth="1"/>
    <col min="7184" max="7184" width="9.25" style="57" customWidth="1"/>
    <col min="7185" max="7185" width="26.75" style="57" customWidth="1"/>
    <col min="7186" max="7188" width="9.25" style="57" customWidth="1"/>
    <col min="7189" max="7189" width="11" style="57" customWidth="1"/>
    <col min="7190" max="7190" width="4.83203125" style="57" customWidth="1"/>
    <col min="7191" max="7191" width="9.25" style="57" customWidth="1"/>
    <col min="7192" max="7192" width="10.6640625" style="57" customWidth="1"/>
    <col min="7193" max="7193" width="10" style="57" customWidth="1"/>
    <col min="7194" max="7424" width="7.75" style="57"/>
    <col min="7425" max="7425" width="3.6640625" style="57" customWidth="1"/>
    <col min="7426" max="7427" width="10" style="57" customWidth="1"/>
    <col min="7428" max="7428" width="6.5" style="57" customWidth="1"/>
    <col min="7429" max="7430" width="4.83203125" style="57" customWidth="1"/>
    <col min="7431" max="7431" width="5.33203125" style="57" customWidth="1"/>
    <col min="7432" max="7432" width="6" style="57" customWidth="1"/>
    <col min="7433" max="7438" width="4.83203125" style="57" customWidth="1"/>
    <col min="7439" max="7439" width="16.1640625" style="57" customWidth="1"/>
    <col min="7440" max="7440" width="9.25" style="57" customWidth="1"/>
    <col min="7441" max="7441" width="26.75" style="57" customWidth="1"/>
    <col min="7442" max="7444" width="9.25" style="57" customWidth="1"/>
    <col min="7445" max="7445" width="11" style="57" customWidth="1"/>
    <col min="7446" max="7446" width="4.83203125" style="57" customWidth="1"/>
    <col min="7447" max="7447" width="9.25" style="57" customWidth="1"/>
    <col min="7448" max="7448" width="10.6640625" style="57" customWidth="1"/>
    <col min="7449" max="7449" width="10" style="57" customWidth="1"/>
    <col min="7450" max="7680" width="7.75" style="57"/>
    <col min="7681" max="7681" width="3.6640625" style="57" customWidth="1"/>
    <col min="7682" max="7683" width="10" style="57" customWidth="1"/>
    <col min="7684" max="7684" width="6.5" style="57" customWidth="1"/>
    <col min="7685" max="7686" width="4.83203125" style="57" customWidth="1"/>
    <col min="7687" max="7687" width="5.33203125" style="57" customWidth="1"/>
    <col min="7688" max="7688" width="6" style="57" customWidth="1"/>
    <col min="7689" max="7694" width="4.83203125" style="57" customWidth="1"/>
    <col min="7695" max="7695" width="16.1640625" style="57" customWidth="1"/>
    <col min="7696" max="7696" width="9.25" style="57" customWidth="1"/>
    <col min="7697" max="7697" width="26.75" style="57" customWidth="1"/>
    <col min="7698" max="7700" width="9.25" style="57" customWidth="1"/>
    <col min="7701" max="7701" width="11" style="57" customWidth="1"/>
    <col min="7702" max="7702" width="4.83203125" style="57" customWidth="1"/>
    <col min="7703" max="7703" width="9.25" style="57" customWidth="1"/>
    <col min="7704" max="7704" width="10.6640625" style="57" customWidth="1"/>
    <col min="7705" max="7705" width="10" style="57" customWidth="1"/>
    <col min="7706" max="7936" width="7.75" style="57"/>
    <col min="7937" max="7937" width="3.6640625" style="57" customWidth="1"/>
    <col min="7938" max="7939" width="10" style="57" customWidth="1"/>
    <col min="7940" max="7940" width="6.5" style="57" customWidth="1"/>
    <col min="7941" max="7942" width="4.83203125" style="57" customWidth="1"/>
    <col min="7943" max="7943" width="5.33203125" style="57" customWidth="1"/>
    <col min="7944" max="7944" width="6" style="57" customWidth="1"/>
    <col min="7945" max="7950" width="4.83203125" style="57" customWidth="1"/>
    <col min="7951" max="7951" width="16.1640625" style="57" customWidth="1"/>
    <col min="7952" max="7952" width="9.25" style="57" customWidth="1"/>
    <col min="7953" max="7953" width="26.75" style="57" customWidth="1"/>
    <col min="7954" max="7956" width="9.25" style="57" customWidth="1"/>
    <col min="7957" max="7957" width="11" style="57" customWidth="1"/>
    <col min="7958" max="7958" width="4.83203125" style="57" customWidth="1"/>
    <col min="7959" max="7959" width="9.25" style="57" customWidth="1"/>
    <col min="7960" max="7960" width="10.6640625" style="57" customWidth="1"/>
    <col min="7961" max="7961" width="10" style="57" customWidth="1"/>
    <col min="7962" max="8192" width="7.75" style="57"/>
    <col min="8193" max="8193" width="3.6640625" style="57" customWidth="1"/>
    <col min="8194" max="8195" width="10" style="57" customWidth="1"/>
    <col min="8196" max="8196" width="6.5" style="57" customWidth="1"/>
    <col min="8197" max="8198" width="4.83203125" style="57" customWidth="1"/>
    <col min="8199" max="8199" width="5.33203125" style="57" customWidth="1"/>
    <col min="8200" max="8200" width="6" style="57" customWidth="1"/>
    <col min="8201" max="8206" width="4.83203125" style="57" customWidth="1"/>
    <col min="8207" max="8207" width="16.1640625" style="57" customWidth="1"/>
    <col min="8208" max="8208" width="9.25" style="57" customWidth="1"/>
    <col min="8209" max="8209" width="26.75" style="57" customWidth="1"/>
    <col min="8210" max="8212" width="9.25" style="57" customWidth="1"/>
    <col min="8213" max="8213" width="11" style="57" customWidth="1"/>
    <col min="8214" max="8214" width="4.83203125" style="57" customWidth="1"/>
    <col min="8215" max="8215" width="9.25" style="57" customWidth="1"/>
    <col min="8216" max="8216" width="10.6640625" style="57" customWidth="1"/>
    <col min="8217" max="8217" width="10" style="57" customWidth="1"/>
    <col min="8218" max="8448" width="7.75" style="57"/>
    <col min="8449" max="8449" width="3.6640625" style="57" customWidth="1"/>
    <col min="8450" max="8451" width="10" style="57" customWidth="1"/>
    <col min="8452" max="8452" width="6.5" style="57" customWidth="1"/>
    <col min="8453" max="8454" width="4.83203125" style="57" customWidth="1"/>
    <col min="8455" max="8455" width="5.33203125" style="57" customWidth="1"/>
    <col min="8456" max="8456" width="6" style="57" customWidth="1"/>
    <col min="8457" max="8462" width="4.83203125" style="57" customWidth="1"/>
    <col min="8463" max="8463" width="16.1640625" style="57" customWidth="1"/>
    <col min="8464" max="8464" width="9.25" style="57" customWidth="1"/>
    <col min="8465" max="8465" width="26.75" style="57" customWidth="1"/>
    <col min="8466" max="8468" width="9.25" style="57" customWidth="1"/>
    <col min="8469" max="8469" width="11" style="57" customWidth="1"/>
    <col min="8470" max="8470" width="4.83203125" style="57" customWidth="1"/>
    <col min="8471" max="8471" width="9.25" style="57" customWidth="1"/>
    <col min="8472" max="8472" width="10.6640625" style="57" customWidth="1"/>
    <col min="8473" max="8473" width="10" style="57" customWidth="1"/>
    <col min="8474" max="8704" width="7.75" style="57"/>
    <col min="8705" max="8705" width="3.6640625" style="57" customWidth="1"/>
    <col min="8706" max="8707" width="10" style="57" customWidth="1"/>
    <col min="8708" max="8708" width="6.5" style="57" customWidth="1"/>
    <col min="8709" max="8710" width="4.83203125" style="57" customWidth="1"/>
    <col min="8711" max="8711" width="5.33203125" style="57" customWidth="1"/>
    <col min="8712" max="8712" width="6" style="57" customWidth="1"/>
    <col min="8713" max="8718" width="4.83203125" style="57" customWidth="1"/>
    <col min="8719" max="8719" width="16.1640625" style="57" customWidth="1"/>
    <col min="8720" max="8720" width="9.25" style="57" customWidth="1"/>
    <col min="8721" max="8721" width="26.75" style="57" customWidth="1"/>
    <col min="8722" max="8724" width="9.25" style="57" customWidth="1"/>
    <col min="8725" max="8725" width="11" style="57" customWidth="1"/>
    <col min="8726" max="8726" width="4.83203125" style="57" customWidth="1"/>
    <col min="8727" max="8727" width="9.25" style="57" customWidth="1"/>
    <col min="8728" max="8728" width="10.6640625" style="57" customWidth="1"/>
    <col min="8729" max="8729" width="10" style="57" customWidth="1"/>
    <col min="8730" max="8960" width="7.75" style="57"/>
    <col min="8961" max="8961" width="3.6640625" style="57" customWidth="1"/>
    <col min="8962" max="8963" width="10" style="57" customWidth="1"/>
    <col min="8964" max="8964" width="6.5" style="57" customWidth="1"/>
    <col min="8965" max="8966" width="4.83203125" style="57" customWidth="1"/>
    <col min="8967" max="8967" width="5.33203125" style="57" customWidth="1"/>
    <col min="8968" max="8968" width="6" style="57" customWidth="1"/>
    <col min="8969" max="8974" width="4.83203125" style="57" customWidth="1"/>
    <col min="8975" max="8975" width="16.1640625" style="57" customWidth="1"/>
    <col min="8976" max="8976" width="9.25" style="57" customWidth="1"/>
    <col min="8977" max="8977" width="26.75" style="57" customWidth="1"/>
    <col min="8978" max="8980" width="9.25" style="57" customWidth="1"/>
    <col min="8981" max="8981" width="11" style="57" customWidth="1"/>
    <col min="8982" max="8982" width="4.83203125" style="57" customWidth="1"/>
    <col min="8983" max="8983" width="9.25" style="57" customWidth="1"/>
    <col min="8984" max="8984" width="10.6640625" style="57" customWidth="1"/>
    <col min="8985" max="8985" width="10" style="57" customWidth="1"/>
    <col min="8986" max="9216" width="7.75" style="57"/>
    <col min="9217" max="9217" width="3.6640625" style="57" customWidth="1"/>
    <col min="9218" max="9219" width="10" style="57" customWidth="1"/>
    <col min="9220" max="9220" width="6.5" style="57" customWidth="1"/>
    <col min="9221" max="9222" width="4.83203125" style="57" customWidth="1"/>
    <col min="9223" max="9223" width="5.33203125" style="57" customWidth="1"/>
    <col min="9224" max="9224" width="6" style="57" customWidth="1"/>
    <col min="9225" max="9230" width="4.83203125" style="57" customWidth="1"/>
    <col min="9231" max="9231" width="16.1640625" style="57" customWidth="1"/>
    <col min="9232" max="9232" width="9.25" style="57" customWidth="1"/>
    <col min="9233" max="9233" width="26.75" style="57" customWidth="1"/>
    <col min="9234" max="9236" width="9.25" style="57" customWidth="1"/>
    <col min="9237" max="9237" width="11" style="57" customWidth="1"/>
    <col min="9238" max="9238" width="4.83203125" style="57" customWidth="1"/>
    <col min="9239" max="9239" width="9.25" style="57" customWidth="1"/>
    <col min="9240" max="9240" width="10.6640625" style="57" customWidth="1"/>
    <col min="9241" max="9241" width="10" style="57" customWidth="1"/>
    <col min="9242" max="9472" width="7.75" style="57"/>
    <col min="9473" max="9473" width="3.6640625" style="57" customWidth="1"/>
    <col min="9474" max="9475" width="10" style="57" customWidth="1"/>
    <col min="9476" max="9476" width="6.5" style="57" customWidth="1"/>
    <col min="9477" max="9478" width="4.83203125" style="57" customWidth="1"/>
    <col min="9479" max="9479" width="5.33203125" style="57" customWidth="1"/>
    <col min="9480" max="9480" width="6" style="57" customWidth="1"/>
    <col min="9481" max="9486" width="4.83203125" style="57" customWidth="1"/>
    <col min="9487" max="9487" width="16.1640625" style="57" customWidth="1"/>
    <col min="9488" max="9488" width="9.25" style="57" customWidth="1"/>
    <col min="9489" max="9489" width="26.75" style="57" customWidth="1"/>
    <col min="9490" max="9492" width="9.25" style="57" customWidth="1"/>
    <col min="9493" max="9493" width="11" style="57" customWidth="1"/>
    <col min="9494" max="9494" width="4.83203125" style="57" customWidth="1"/>
    <col min="9495" max="9495" width="9.25" style="57" customWidth="1"/>
    <col min="9496" max="9496" width="10.6640625" style="57" customWidth="1"/>
    <col min="9497" max="9497" width="10" style="57" customWidth="1"/>
    <col min="9498" max="9728" width="7.75" style="57"/>
    <col min="9729" max="9729" width="3.6640625" style="57" customWidth="1"/>
    <col min="9730" max="9731" width="10" style="57" customWidth="1"/>
    <col min="9732" max="9732" width="6.5" style="57" customWidth="1"/>
    <col min="9733" max="9734" width="4.83203125" style="57" customWidth="1"/>
    <col min="9735" max="9735" width="5.33203125" style="57" customWidth="1"/>
    <col min="9736" max="9736" width="6" style="57" customWidth="1"/>
    <col min="9737" max="9742" width="4.83203125" style="57" customWidth="1"/>
    <col min="9743" max="9743" width="16.1640625" style="57" customWidth="1"/>
    <col min="9744" max="9744" width="9.25" style="57" customWidth="1"/>
    <col min="9745" max="9745" width="26.75" style="57" customWidth="1"/>
    <col min="9746" max="9748" width="9.25" style="57" customWidth="1"/>
    <col min="9749" max="9749" width="11" style="57" customWidth="1"/>
    <col min="9750" max="9750" width="4.83203125" style="57" customWidth="1"/>
    <col min="9751" max="9751" width="9.25" style="57" customWidth="1"/>
    <col min="9752" max="9752" width="10.6640625" style="57" customWidth="1"/>
    <col min="9753" max="9753" width="10" style="57" customWidth="1"/>
    <col min="9754" max="9984" width="7.75" style="57"/>
    <col min="9985" max="9985" width="3.6640625" style="57" customWidth="1"/>
    <col min="9986" max="9987" width="10" style="57" customWidth="1"/>
    <col min="9988" max="9988" width="6.5" style="57" customWidth="1"/>
    <col min="9989" max="9990" width="4.83203125" style="57" customWidth="1"/>
    <col min="9991" max="9991" width="5.33203125" style="57" customWidth="1"/>
    <col min="9992" max="9992" width="6" style="57" customWidth="1"/>
    <col min="9993" max="9998" width="4.83203125" style="57" customWidth="1"/>
    <col min="9999" max="9999" width="16.1640625" style="57" customWidth="1"/>
    <col min="10000" max="10000" width="9.25" style="57" customWidth="1"/>
    <col min="10001" max="10001" width="26.75" style="57" customWidth="1"/>
    <col min="10002" max="10004" width="9.25" style="57" customWidth="1"/>
    <col min="10005" max="10005" width="11" style="57" customWidth="1"/>
    <col min="10006" max="10006" width="4.83203125" style="57" customWidth="1"/>
    <col min="10007" max="10007" width="9.25" style="57" customWidth="1"/>
    <col min="10008" max="10008" width="10.6640625" style="57" customWidth="1"/>
    <col min="10009" max="10009" width="10" style="57" customWidth="1"/>
    <col min="10010" max="10240" width="7.75" style="57"/>
    <col min="10241" max="10241" width="3.6640625" style="57" customWidth="1"/>
    <col min="10242" max="10243" width="10" style="57" customWidth="1"/>
    <col min="10244" max="10244" width="6.5" style="57" customWidth="1"/>
    <col min="10245" max="10246" width="4.83203125" style="57" customWidth="1"/>
    <col min="10247" max="10247" width="5.33203125" style="57" customWidth="1"/>
    <col min="10248" max="10248" width="6" style="57" customWidth="1"/>
    <col min="10249" max="10254" width="4.83203125" style="57" customWidth="1"/>
    <col min="10255" max="10255" width="16.1640625" style="57" customWidth="1"/>
    <col min="10256" max="10256" width="9.25" style="57" customWidth="1"/>
    <col min="10257" max="10257" width="26.75" style="57" customWidth="1"/>
    <col min="10258" max="10260" width="9.25" style="57" customWidth="1"/>
    <col min="10261" max="10261" width="11" style="57" customWidth="1"/>
    <col min="10262" max="10262" width="4.83203125" style="57" customWidth="1"/>
    <col min="10263" max="10263" width="9.25" style="57" customWidth="1"/>
    <col min="10264" max="10264" width="10.6640625" style="57" customWidth="1"/>
    <col min="10265" max="10265" width="10" style="57" customWidth="1"/>
    <col min="10266" max="10496" width="7.75" style="57"/>
    <col min="10497" max="10497" width="3.6640625" style="57" customWidth="1"/>
    <col min="10498" max="10499" width="10" style="57" customWidth="1"/>
    <col min="10500" max="10500" width="6.5" style="57" customWidth="1"/>
    <col min="10501" max="10502" width="4.83203125" style="57" customWidth="1"/>
    <col min="10503" max="10503" width="5.33203125" style="57" customWidth="1"/>
    <col min="10504" max="10504" width="6" style="57" customWidth="1"/>
    <col min="10505" max="10510" width="4.83203125" style="57" customWidth="1"/>
    <col min="10511" max="10511" width="16.1640625" style="57" customWidth="1"/>
    <col min="10512" max="10512" width="9.25" style="57" customWidth="1"/>
    <col min="10513" max="10513" width="26.75" style="57" customWidth="1"/>
    <col min="10514" max="10516" width="9.25" style="57" customWidth="1"/>
    <col min="10517" max="10517" width="11" style="57" customWidth="1"/>
    <col min="10518" max="10518" width="4.83203125" style="57" customWidth="1"/>
    <col min="10519" max="10519" width="9.25" style="57" customWidth="1"/>
    <col min="10520" max="10520" width="10.6640625" style="57" customWidth="1"/>
    <col min="10521" max="10521" width="10" style="57" customWidth="1"/>
    <col min="10522" max="10752" width="7.75" style="57"/>
    <col min="10753" max="10753" width="3.6640625" style="57" customWidth="1"/>
    <col min="10754" max="10755" width="10" style="57" customWidth="1"/>
    <col min="10756" max="10756" width="6.5" style="57" customWidth="1"/>
    <col min="10757" max="10758" width="4.83203125" style="57" customWidth="1"/>
    <col min="10759" max="10759" width="5.33203125" style="57" customWidth="1"/>
    <col min="10760" max="10760" width="6" style="57" customWidth="1"/>
    <col min="10761" max="10766" width="4.83203125" style="57" customWidth="1"/>
    <col min="10767" max="10767" width="16.1640625" style="57" customWidth="1"/>
    <col min="10768" max="10768" width="9.25" style="57" customWidth="1"/>
    <col min="10769" max="10769" width="26.75" style="57" customWidth="1"/>
    <col min="10770" max="10772" width="9.25" style="57" customWidth="1"/>
    <col min="10773" max="10773" width="11" style="57" customWidth="1"/>
    <col min="10774" max="10774" width="4.83203125" style="57" customWidth="1"/>
    <col min="10775" max="10775" width="9.25" style="57" customWidth="1"/>
    <col min="10776" max="10776" width="10.6640625" style="57" customWidth="1"/>
    <col min="10777" max="10777" width="10" style="57" customWidth="1"/>
    <col min="10778" max="11008" width="7.75" style="57"/>
    <col min="11009" max="11009" width="3.6640625" style="57" customWidth="1"/>
    <col min="11010" max="11011" width="10" style="57" customWidth="1"/>
    <col min="11012" max="11012" width="6.5" style="57" customWidth="1"/>
    <col min="11013" max="11014" width="4.83203125" style="57" customWidth="1"/>
    <col min="11015" max="11015" width="5.33203125" style="57" customWidth="1"/>
    <col min="11016" max="11016" width="6" style="57" customWidth="1"/>
    <col min="11017" max="11022" width="4.83203125" style="57" customWidth="1"/>
    <col min="11023" max="11023" width="16.1640625" style="57" customWidth="1"/>
    <col min="11024" max="11024" width="9.25" style="57" customWidth="1"/>
    <col min="11025" max="11025" width="26.75" style="57" customWidth="1"/>
    <col min="11026" max="11028" width="9.25" style="57" customWidth="1"/>
    <col min="11029" max="11029" width="11" style="57" customWidth="1"/>
    <col min="11030" max="11030" width="4.83203125" style="57" customWidth="1"/>
    <col min="11031" max="11031" width="9.25" style="57" customWidth="1"/>
    <col min="11032" max="11032" width="10.6640625" style="57" customWidth="1"/>
    <col min="11033" max="11033" width="10" style="57" customWidth="1"/>
    <col min="11034" max="11264" width="7.75" style="57"/>
    <col min="11265" max="11265" width="3.6640625" style="57" customWidth="1"/>
    <col min="11266" max="11267" width="10" style="57" customWidth="1"/>
    <col min="11268" max="11268" width="6.5" style="57" customWidth="1"/>
    <col min="11269" max="11270" width="4.83203125" style="57" customWidth="1"/>
    <col min="11271" max="11271" width="5.33203125" style="57" customWidth="1"/>
    <col min="11272" max="11272" width="6" style="57" customWidth="1"/>
    <col min="11273" max="11278" width="4.83203125" style="57" customWidth="1"/>
    <col min="11279" max="11279" width="16.1640625" style="57" customWidth="1"/>
    <col min="11280" max="11280" width="9.25" style="57" customWidth="1"/>
    <col min="11281" max="11281" width="26.75" style="57" customWidth="1"/>
    <col min="11282" max="11284" width="9.25" style="57" customWidth="1"/>
    <col min="11285" max="11285" width="11" style="57" customWidth="1"/>
    <col min="11286" max="11286" width="4.83203125" style="57" customWidth="1"/>
    <col min="11287" max="11287" width="9.25" style="57" customWidth="1"/>
    <col min="11288" max="11288" width="10.6640625" style="57" customWidth="1"/>
    <col min="11289" max="11289" width="10" style="57" customWidth="1"/>
    <col min="11290" max="11520" width="7.75" style="57"/>
    <col min="11521" max="11521" width="3.6640625" style="57" customWidth="1"/>
    <col min="11522" max="11523" width="10" style="57" customWidth="1"/>
    <col min="11524" max="11524" width="6.5" style="57" customWidth="1"/>
    <col min="11525" max="11526" width="4.83203125" style="57" customWidth="1"/>
    <col min="11527" max="11527" width="5.33203125" style="57" customWidth="1"/>
    <col min="11528" max="11528" width="6" style="57" customWidth="1"/>
    <col min="11529" max="11534" width="4.83203125" style="57" customWidth="1"/>
    <col min="11535" max="11535" width="16.1640625" style="57" customWidth="1"/>
    <col min="11536" max="11536" width="9.25" style="57" customWidth="1"/>
    <col min="11537" max="11537" width="26.75" style="57" customWidth="1"/>
    <col min="11538" max="11540" width="9.25" style="57" customWidth="1"/>
    <col min="11541" max="11541" width="11" style="57" customWidth="1"/>
    <col min="11542" max="11542" width="4.83203125" style="57" customWidth="1"/>
    <col min="11543" max="11543" width="9.25" style="57" customWidth="1"/>
    <col min="11544" max="11544" width="10.6640625" style="57" customWidth="1"/>
    <col min="11545" max="11545" width="10" style="57" customWidth="1"/>
    <col min="11546" max="11776" width="7.75" style="57"/>
    <col min="11777" max="11777" width="3.6640625" style="57" customWidth="1"/>
    <col min="11778" max="11779" width="10" style="57" customWidth="1"/>
    <col min="11780" max="11780" width="6.5" style="57" customWidth="1"/>
    <col min="11781" max="11782" width="4.83203125" style="57" customWidth="1"/>
    <col min="11783" max="11783" width="5.33203125" style="57" customWidth="1"/>
    <col min="11784" max="11784" width="6" style="57" customWidth="1"/>
    <col min="11785" max="11790" width="4.83203125" style="57" customWidth="1"/>
    <col min="11791" max="11791" width="16.1640625" style="57" customWidth="1"/>
    <col min="11792" max="11792" width="9.25" style="57" customWidth="1"/>
    <col min="11793" max="11793" width="26.75" style="57" customWidth="1"/>
    <col min="11794" max="11796" width="9.25" style="57" customWidth="1"/>
    <col min="11797" max="11797" width="11" style="57" customWidth="1"/>
    <col min="11798" max="11798" width="4.83203125" style="57" customWidth="1"/>
    <col min="11799" max="11799" width="9.25" style="57" customWidth="1"/>
    <col min="11800" max="11800" width="10.6640625" style="57" customWidth="1"/>
    <col min="11801" max="11801" width="10" style="57" customWidth="1"/>
    <col min="11802" max="12032" width="7.75" style="57"/>
    <col min="12033" max="12033" width="3.6640625" style="57" customWidth="1"/>
    <col min="12034" max="12035" width="10" style="57" customWidth="1"/>
    <col min="12036" max="12036" width="6.5" style="57" customWidth="1"/>
    <col min="12037" max="12038" width="4.83203125" style="57" customWidth="1"/>
    <col min="12039" max="12039" width="5.33203125" style="57" customWidth="1"/>
    <col min="12040" max="12040" width="6" style="57" customWidth="1"/>
    <col min="12041" max="12046" width="4.83203125" style="57" customWidth="1"/>
    <col min="12047" max="12047" width="16.1640625" style="57" customWidth="1"/>
    <col min="12048" max="12048" width="9.25" style="57" customWidth="1"/>
    <col min="12049" max="12049" width="26.75" style="57" customWidth="1"/>
    <col min="12050" max="12052" width="9.25" style="57" customWidth="1"/>
    <col min="12053" max="12053" width="11" style="57" customWidth="1"/>
    <col min="12054" max="12054" width="4.83203125" style="57" customWidth="1"/>
    <col min="12055" max="12055" width="9.25" style="57" customWidth="1"/>
    <col min="12056" max="12056" width="10.6640625" style="57" customWidth="1"/>
    <col min="12057" max="12057" width="10" style="57" customWidth="1"/>
    <col min="12058" max="12288" width="7.75" style="57"/>
    <col min="12289" max="12289" width="3.6640625" style="57" customWidth="1"/>
    <col min="12290" max="12291" width="10" style="57" customWidth="1"/>
    <col min="12292" max="12292" width="6.5" style="57" customWidth="1"/>
    <col min="12293" max="12294" width="4.83203125" style="57" customWidth="1"/>
    <col min="12295" max="12295" width="5.33203125" style="57" customWidth="1"/>
    <col min="12296" max="12296" width="6" style="57" customWidth="1"/>
    <col min="12297" max="12302" width="4.83203125" style="57" customWidth="1"/>
    <col min="12303" max="12303" width="16.1640625" style="57" customWidth="1"/>
    <col min="12304" max="12304" width="9.25" style="57" customWidth="1"/>
    <col min="12305" max="12305" width="26.75" style="57" customWidth="1"/>
    <col min="12306" max="12308" width="9.25" style="57" customWidth="1"/>
    <col min="12309" max="12309" width="11" style="57" customWidth="1"/>
    <col min="12310" max="12310" width="4.83203125" style="57" customWidth="1"/>
    <col min="12311" max="12311" width="9.25" style="57" customWidth="1"/>
    <col min="12312" max="12312" width="10.6640625" style="57" customWidth="1"/>
    <col min="12313" max="12313" width="10" style="57" customWidth="1"/>
    <col min="12314" max="12544" width="7.75" style="57"/>
    <col min="12545" max="12545" width="3.6640625" style="57" customWidth="1"/>
    <col min="12546" max="12547" width="10" style="57" customWidth="1"/>
    <col min="12548" max="12548" width="6.5" style="57" customWidth="1"/>
    <col min="12549" max="12550" width="4.83203125" style="57" customWidth="1"/>
    <col min="12551" max="12551" width="5.33203125" style="57" customWidth="1"/>
    <col min="12552" max="12552" width="6" style="57" customWidth="1"/>
    <col min="12553" max="12558" width="4.83203125" style="57" customWidth="1"/>
    <col min="12559" max="12559" width="16.1640625" style="57" customWidth="1"/>
    <col min="12560" max="12560" width="9.25" style="57" customWidth="1"/>
    <col min="12561" max="12561" width="26.75" style="57" customWidth="1"/>
    <col min="12562" max="12564" width="9.25" style="57" customWidth="1"/>
    <col min="12565" max="12565" width="11" style="57" customWidth="1"/>
    <col min="12566" max="12566" width="4.83203125" style="57" customWidth="1"/>
    <col min="12567" max="12567" width="9.25" style="57" customWidth="1"/>
    <col min="12568" max="12568" width="10.6640625" style="57" customWidth="1"/>
    <col min="12569" max="12569" width="10" style="57" customWidth="1"/>
    <col min="12570" max="12800" width="7.75" style="57"/>
    <col min="12801" max="12801" width="3.6640625" style="57" customWidth="1"/>
    <col min="12802" max="12803" width="10" style="57" customWidth="1"/>
    <col min="12804" max="12804" width="6.5" style="57" customWidth="1"/>
    <col min="12805" max="12806" width="4.83203125" style="57" customWidth="1"/>
    <col min="12807" max="12807" width="5.33203125" style="57" customWidth="1"/>
    <col min="12808" max="12808" width="6" style="57" customWidth="1"/>
    <col min="12809" max="12814" width="4.83203125" style="57" customWidth="1"/>
    <col min="12815" max="12815" width="16.1640625" style="57" customWidth="1"/>
    <col min="12816" max="12816" width="9.25" style="57" customWidth="1"/>
    <col min="12817" max="12817" width="26.75" style="57" customWidth="1"/>
    <col min="12818" max="12820" width="9.25" style="57" customWidth="1"/>
    <col min="12821" max="12821" width="11" style="57" customWidth="1"/>
    <col min="12822" max="12822" width="4.83203125" style="57" customWidth="1"/>
    <col min="12823" max="12823" width="9.25" style="57" customWidth="1"/>
    <col min="12824" max="12824" width="10.6640625" style="57" customWidth="1"/>
    <col min="12825" max="12825" width="10" style="57" customWidth="1"/>
    <col min="12826" max="13056" width="7.75" style="57"/>
    <col min="13057" max="13057" width="3.6640625" style="57" customWidth="1"/>
    <col min="13058" max="13059" width="10" style="57" customWidth="1"/>
    <col min="13060" max="13060" width="6.5" style="57" customWidth="1"/>
    <col min="13061" max="13062" width="4.83203125" style="57" customWidth="1"/>
    <col min="13063" max="13063" width="5.33203125" style="57" customWidth="1"/>
    <col min="13064" max="13064" width="6" style="57" customWidth="1"/>
    <col min="13065" max="13070" width="4.83203125" style="57" customWidth="1"/>
    <col min="13071" max="13071" width="16.1640625" style="57" customWidth="1"/>
    <col min="13072" max="13072" width="9.25" style="57" customWidth="1"/>
    <col min="13073" max="13073" width="26.75" style="57" customWidth="1"/>
    <col min="13074" max="13076" width="9.25" style="57" customWidth="1"/>
    <col min="13077" max="13077" width="11" style="57" customWidth="1"/>
    <col min="13078" max="13078" width="4.83203125" style="57" customWidth="1"/>
    <col min="13079" max="13079" width="9.25" style="57" customWidth="1"/>
    <col min="13080" max="13080" width="10.6640625" style="57" customWidth="1"/>
    <col min="13081" max="13081" width="10" style="57" customWidth="1"/>
    <col min="13082" max="13312" width="7.75" style="57"/>
    <col min="13313" max="13313" width="3.6640625" style="57" customWidth="1"/>
    <col min="13314" max="13315" width="10" style="57" customWidth="1"/>
    <col min="13316" max="13316" width="6.5" style="57" customWidth="1"/>
    <col min="13317" max="13318" width="4.83203125" style="57" customWidth="1"/>
    <col min="13319" max="13319" width="5.33203125" style="57" customWidth="1"/>
    <col min="13320" max="13320" width="6" style="57" customWidth="1"/>
    <col min="13321" max="13326" width="4.83203125" style="57" customWidth="1"/>
    <col min="13327" max="13327" width="16.1640625" style="57" customWidth="1"/>
    <col min="13328" max="13328" width="9.25" style="57" customWidth="1"/>
    <col min="13329" max="13329" width="26.75" style="57" customWidth="1"/>
    <col min="13330" max="13332" width="9.25" style="57" customWidth="1"/>
    <col min="13333" max="13333" width="11" style="57" customWidth="1"/>
    <col min="13334" max="13334" width="4.83203125" style="57" customWidth="1"/>
    <col min="13335" max="13335" width="9.25" style="57" customWidth="1"/>
    <col min="13336" max="13336" width="10.6640625" style="57" customWidth="1"/>
    <col min="13337" max="13337" width="10" style="57" customWidth="1"/>
    <col min="13338" max="13568" width="7.75" style="57"/>
    <col min="13569" max="13569" width="3.6640625" style="57" customWidth="1"/>
    <col min="13570" max="13571" width="10" style="57" customWidth="1"/>
    <col min="13572" max="13572" width="6.5" style="57" customWidth="1"/>
    <col min="13573" max="13574" width="4.83203125" style="57" customWidth="1"/>
    <col min="13575" max="13575" width="5.33203125" style="57" customWidth="1"/>
    <col min="13576" max="13576" width="6" style="57" customWidth="1"/>
    <col min="13577" max="13582" width="4.83203125" style="57" customWidth="1"/>
    <col min="13583" max="13583" width="16.1640625" style="57" customWidth="1"/>
    <col min="13584" max="13584" width="9.25" style="57" customWidth="1"/>
    <col min="13585" max="13585" width="26.75" style="57" customWidth="1"/>
    <col min="13586" max="13588" width="9.25" style="57" customWidth="1"/>
    <col min="13589" max="13589" width="11" style="57" customWidth="1"/>
    <col min="13590" max="13590" width="4.83203125" style="57" customWidth="1"/>
    <col min="13591" max="13591" width="9.25" style="57" customWidth="1"/>
    <col min="13592" max="13592" width="10.6640625" style="57" customWidth="1"/>
    <col min="13593" max="13593" width="10" style="57" customWidth="1"/>
    <col min="13594" max="13824" width="7.75" style="57"/>
    <col min="13825" max="13825" width="3.6640625" style="57" customWidth="1"/>
    <col min="13826" max="13827" width="10" style="57" customWidth="1"/>
    <col min="13828" max="13828" width="6.5" style="57" customWidth="1"/>
    <col min="13829" max="13830" width="4.83203125" style="57" customWidth="1"/>
    <col min="13831" max="13831" width="5.33203125" style="57" customWidth="1"/>
    <col min="13832" max="13832" width="6" style="57" customWidth="1"/>
    <col min="13833" max="13838" width="4.83203125" style="57" customWidth="1"/>
    <col min="13839" max="13839" width="16.1640625" style="57" customWidth="1"/>
    <col min="13840" max="13840" width="9.25" style="57" customWidth="1"/>
    <col min="13841" max="13841" width="26.75" style="57" customWidth="1"/>
    <col min="13842" max="13844" width="9.25" style="57" customWidth="1"/>
    <col min="13845" max="13845" width="11" style="57" customWidth="1"/>
    <col min="13846" max="13846" width="4.83203125" style="57" customWidth="1"/>
    <col min="13847" max="13847" width="9.25" style="57" customWidth="1"/>
    <col min="13848" max="13848" width="10.6640625" style="57" customWidth="1"/>
    <col min="13849" max="13849" width="10" style="57" customWidth="1"/>
    <col min="13850" max="14080" width="7.75" style="57"/>
    <col min="14081" max="14081" width="3.6640625" style="57" customWidth="1"/>
    <col min="14082" max="14083" width="10" style="57" customWidth="1"/>
    <col min="14084" max="14084" width="6.5" style="57" customWidth="1"/>
    <col min="14085" max="14086" width="4.83203125" style="57" customWidth="1"/>
    <col min="14087" max="14087" width="5.33203125" style="57" customWidth="1"/>
    <col min="14088" max="14088" width="6" style="57" customWidth="1"/>
    <col min="14089" max="14094" width="4.83203125" style="57" customWidth="1"/>
    <col min="14095" max="14095" width="16.1640625" style="57" customWidth="1"/>
    <col min="14096" max="14096" width="9.25" style="57" customWidth="1"/>
    <col min="14097" max="14097" width="26.75" style="57" customWidth="1"/>
    <col min="14098" max="14100" width="9.25" style="57" customWidth="1"/>
    <col min="14101" max="14101" width="11" style="57" customWidth="1"/>
    <col min="14102" max="14102" width="4.83203125" style="57" customWidth="1"/>
    <col min="14103" max="14103" width="9.25" style="57" customWidth="1"/>
    <col min="14104" max="14104" width="10.6640625" style="57" customWidth="1"/>
    <col min="14105" max="14105" width="10" style="57" customWidth="1"/>
    <col min="14106" max="14336" width="7.75" style="57"/>
    <col min="14337" max="14337" width="3.6640625" style="57" customWidth="1"/>
    <col min="14338" max="14339" width="10" style="57" customWidth="1"/>
    <col min="14340" max="14340" width="6.5" style="57" customWidth="1"/>
    <col min="14341" max="14342" width="4.83203125" style="57" customWidth="1"/>
    <col min="14343" max="14343" width="5.33203125" style="57" customWidth="1"/>
    <col min="14344" max="14344" width="6" style="57" customWidth="1"/>
    <col min="14345" max="14350" width="4.83203125" style="57" customWidth="1"/>
    <col min="14351" max="14351" width="16.1640625" style="57" customWidth="1"/>
    <col min="14352" max="14352" width="9.25" style="57" customWidth="1"/>
    <col min="14353" max="14353" width="26.75" style="57" customWidth="1"/>
    <col min="14354" max="14356" width="9.25" style="57" customWidth="1"/>
    <col min="14357" max="14357" width="11" style="57" customWidth="1"/>
    <col min="14358" max="14358" width="4.83203125" style="57" customWidth="1"/>
    <col min="14359" max="14359" width="9.25" style="57" customWidth="1"/>
    <col min="14360" max="14360" width="10.6640625" style="57" customWidth="1"/>
    <col min="14361" max="14361" width="10" style="57" customWidth="1"/>
    <col min="14362" max="14592" width="7.75" style="57"/>
    <col min="14593" max="14593" width="3.6640625" style="57" customWidth="1"/>
    <col min="14594" max="14595" width="10" style="57" customWidth="1"/>
    <col min="14596" max="14596" width="6.5" style="57" customWidth="1"/>
    <col min="14597" max="14598" width="4.83203125" style="57" customWidth="1"/>
    <col min="14599" max="14599" width="5.33203125" style="57" customWidth="1"/>
    <col min="14600" max="14600" width="6" style="57" customWidth="1"/>
    <col min="14601" max="14606" width="4.83203125" style="57" customWidth="1"/>
    <col min="14607" max="14607" width="16.1640625" style="57" customWidth="1"/>
    <col min="14608" max="14608" width="9.25" style="57" customWidth="1"/>
    <col min="14609" max="14609" width="26.75" style="57" customWidth="1"/>
    <col min="14610" max="14612" width="9.25" style="57" customWidth="1"/>
    <col min="14613" max="14613" width="11" style="57" customWidth="1"/>
    <col min="14614" max="14614" width="4.83203125" style="57" customWidth="1"/>
    <col min="14615" max="14615" width="9.25" style="57" customWidth="1"/>
    <col min="14616" max="14616" width="10.6640625" style="57" customWidth="1"/>
    <col min="14617" max="14617" width="10" style="57" customWidth="1"/>
    <col min="14618" max="14848" width="7.75" style="57"/>
    <col min="14849" max="14849" width="3.6640625" style="57" customWidth="1"/>
    <col min="14850" max="14851" width="10" style="57" customWidth="1"/>
    <col min="14852" max="14852" width="6.5" style="57" customWidth="1"/>
    <col min="14853" max="14854" width="4.83203125" style="57" customWidth="1"/>
    <col min="14855" max="14855" width="5.33203125" style="57" customWidth="1"/>
    <col min="14856" max="14856" width="6" style="57" customWidth="1"/>
    <col min="14857" max="14862" width="4.83203125" style="57" customWidth="1"/>
    <col min="14863" max="14863" width="16.1640625" style="57" customWidth="1"/>
    <col min="14864" max="14864" width="9.25" style="57" customWidth="1"/>
    <col min="14865" max="14865" width="26.75" style="57" customWidth="1"/>
    <col min="14866" max="14868" width="9.25" style="57" customWidth="1"/>
    <col min="14869" max="14869" width="11" style="57" customWidth="1"/>
    <col min="14870" max="14870" width="4.83203125" style="57" customWidth="1"/>
    <col min="14871" max="14871" width="9.25" style="57" customWidth="1"/>
    <col min="14872" max="14872" width="10.6640625" style="57" customWidth="1"/>
    <col min="14873" max="14873" width="10" style="57" customWidth="1"/>
    <col min="14874" max="15104" width="7.75" style="57"/>
    <col min="15105" max="15105" width="3.6640625" style="57" customWidth="1"/>
    <col min="15106" max="15107" width="10" style="57" customWidth="1"/>
    <col min="15108" max="15108" width="6.5" style="57" customWidth="1"/>
    <col min="15109" max="15110" width="4.83203125" style="57" customWidth="1"/>
    <col min="15111" max="15111" width="5.33203125" style="57" customWidth="1"/>
    <col min="15112" max="15112" width="6" style="57" customWidth="1"/>
    <col min="15113" max="15118" width="4.83203125" style="57" customWidth="1"/>
    <col min="15119" max="15119" width="16.1640625" style="57" customWidth="1"/>
    <col min="15120" max="15120" width="9.25" style="57" customWidth="1"/>
    <col min="15121" max="15121" width="26.75" style="57" customWidth="1"/>
    <col min="15122" max="15124" width="9.25" style="57" customWidth="1"/>
    <col min="15125" max="15125" width="11" style="57" customWidth="1"/>
    <col min="15126" max="15126" width="4.83203125" style="57" customWidth="1"/>
    <col min="15127" max="15127" width="9.25" style="57" customWidth="1"/>
    <col min="15128" max="15128" width="10.6640625" style="57" customWidth="1"/>
    <col min="15129" max="15129" width="10" style="57" customWidth="1"/>
    <col min="15130" max="15360" width="7.75" style="57"/>
    <col min="15361" max="15361" width="3.6640625" style="57" customWidth="1"/>
    <col min="15362" max="15363" width="10" style="57" customWidth="1"/>
    <col min="15364" max="15364" width="6.5" style="57" customWidth="1"/>
    <col min="15365" max="15366" width="4.83203125" style="57" customWidth="1"/>
    <col min="15367" max="15367" width="5.33203125" style="57" customWidth="1"/>
    <col min="15368" max="15368" width="6" style="57" customWidth="1"/>
    <col min="15369" max="15374" width="4.83203125" style="57" customWidth="1"/>
    <col min="15375" max="15375" width="16.1640625" style="57" customWidth="1"/>
    <col min="15376" max="15376" width="9.25" style="57" customWidth="1"/>
    <col min="15377" max="15377" width="26.75" style="57" customWidth="1"/>
    <col min="15378" max="15380" width="9.25" style="57" customWidth="1"/>
    <col min="15381" max="15381" width="11" style="57" customWidth="1"/>
    <col min="15382" max="15382" width="4.83203125" style="57" customWidth="1"/>
    <col min="15383" max="15383" width="9.25" style="57" customWidth="1"/>
    <col min="15384" max="15384" width="10.6640625" style="57" customWidth="1"/>
    <col min="15385" max="15385" width="10" style="57" customWidth="1"/>
    <col min="15386" max="15616" width="7.75" style="57"/>
    <col min="15617" max="15617" width="3.6640625" style="57" customWidth="1"/>
    <col min="15618" max="15619" width="10" style="57" customWidth="1"/>
    <col min="15620" max="15620" width="6.5" style="57" customWidth="1"/>
    <col min="15621" max="15622" width="4.83203125" style="57" customWidth="1"/>
    <col min="15623" max="15623" width="5.33203125" style="57" customWidth="1"/>
    <col min="15624" max="15624" width="6" style="57" customWidth="1"/>
    <col min="15625" max="15630" width="4.83203125" style="57" customWidth="1"/>
    <col min="15631" max="15631" width="16.1640625" style="57" customWidth="1"/>
    <col min="15632" max="15632" width="9.25" style="57" customWidth="1"/>
    <col min="15633" max="15633" width="26.75" style="57" customWidth="1"/>
    <col min="15634" max="15636" width="9.25" style="57" customWidth="1"/>
    <col min="15637" max="15637" width="11" style="57" customWidth="1"/>
    <col min="15638" max="15638" width="4.83203125" style="57" customWidth="1"/>
    <col min="15639" max="15639" width="9.25" style="57" customWidth="1"/>
    <col min="15640" max="15640" width="10.6640625" style="57" customWidth="1"/>
    <col min="15641" max="15641" width="10" style="57" customWidth="1"/>
    <col min="15642" max="15872" width="7.75" style="57"/>
    <col min="15873" max="15873" width="3.6640625" style="57" customWidth="1"/>
    <col min="15874" max="15875" width="10" style="57" customWidth="1"/>
    <col min="15876" max="15876" width="6.5" style="57" customWidth="1"/>
    <col min="15877" max="15878" width="4.83203125" style="57" customWidth="1"/>
    <col min="15879" max="15879" width="5.33203125" style="57" customWidth="1"/>
    <col min="15880" max="15880" width="6" style="57" customWidth="1"/>
    <col min="15881" max="15886" width="4.83203125" style="57" customWidth="1"/>
    <col min="15887" max="15887" width="16.1640625" style="57" customWidth="1"/>
    <col min="15888" max="15888" width="9.25" style="57" customWidth="1"/>
    <col min="15889" max="15889" width="26.75" style="57" customWidth="1"/>
    <col min="15890" max="15892" width="9.25" style="57" customWidth="1"/>
    <col min="15893" max="15893" width="11" style="57" customWidth="1"/>
    <col min="15894" max="15894" width="4.83203125" style="57" customWidth="1"/>
    <col min="15895" max="15895" width="9.25" style="57" customWidth="1"/>
    <col min="15896" max="15896" width="10.6640625" style="57" customWidth="1"/>
    <col min="15897" max="15897" width="10" style="57" customWidth="1"/>
    <col min="15898" max="16128" width="7.75" style="57"/>
    <col min="16129" max="16129" width="3.6640625" style="57" customWidth="1"/>
    <col min="16130" max="16131" width="10" style="57" customWidth="1"/>
    <col min="16132" max="16132" width="6.5" style="57" customWidth="1"/>
    <col min="16133" max="16134" width="4.83203125" style="57" customWidth="1"/>
    <col min="16135" max="16135" width="5.33203125" style="57" customWidth="1"/>
    <col min="16136" max="16136" width="6" style="57" customWidth="1"/>
    <col min="16137" max="16142" width="4.83203125" style="57" customWidth="1"/>
    <col min="16143" max="16143" width="16.1640625" style="57" customWidth="1"/>
    <col min="16144" max="16144" width="9.25" style="57" customWidth="1"/>
    <col min="16145" max="16145" width="26.75" style="57" customWidth="1"/>
    <col min="16146" max="16148" width="9.25" style="57" customWidth="1"/>
    <col min="16149" max="16149" width="11" style="57" customWidth="1"/>
    <col min="16150" max="16150" width="4.83203125" style="57" customWidth="1"/>
    <col min="16151" max="16151" width="9.25" style="57" customWidth="1"/>
    <col min="16152" max="16152" width="10.6640625" style="57" customWidth="1"/>
    <col min="16153" max="16153" width="10" style="57" customWidth="1"/>
    <col min="16154" max="16384" width="7.75" style="57"/>
  </cols>
  <sheetData>
    <row r="1" spans="1:26" s="205" customFormat="1" ht="15" customHeight="1">
      <c r="Q1" s="66" t="s">
        <v>372</v>
      </c>
    </row>
    <row r="2" spans="1:26" s="69" customFormat="1" ht="15" customHeight="1">
      <c r="A2" s="70" t="s">
        <v>718</v>
      </c>
      <c r="B2" s="61"/>
      <c r="C2" s="61"/>
      <c r="D2" s="61"/>
      <c r="E2" s="61"/>
      <c r="F2" s="61"/>
      <c r="G2" s="61"/>
      <c r="H2" s="61"/>
      <c r="I2" s="61"/>
      <c r="J2" s="61"/>
      <c r="K2" s="61"/>
      <c r="L2" s="206" t="s">
        <v>895</v>
      </c>
      <c r="M2" s="61"/>
      <c r="N2" s="61"/>
      <c r="O2" s="61"/>
      <c r="Q2" s="207" t="s">
        <v>373</v>
      </c>
      <c r="R2" s="53"/>
      <c r="S2" s="61"/>
      <c r="U2" s="66"/>
      <c r="V2" s="61"/>
      <c r="W2" s="61"/>
      <c r="X2" s="61"/>
      <c r="Y2" s="61"/>
      <c r="Z2" s="61"/>
    </row>
    <row r="3" spans="1:26" s="62" customFormat="1" ht="15" customHeight="1">
      <c r="A3" s="68" t="s">
        <v>374</v>
      </c>
      <c r="B3" s="61"/>
      <c r="C3" s="61"/>
      <c r="D3" s="61"/>
      <c r="E3" s="61"/>
      <c r="F3" s="61"/>
      <c r="G3" s="61"/>
      <c r="H3" s="61"/>
      <c r="I3" s="61"/>
      <c r="J3" s="61"/>
      <c r="K3" s="61"/>
      <c r="L3" s="61"/>
      <c r="M3" s="61"/>
      <c r="N3" s="61"/>
      <c r="O3" s="61"/>
      <c r="P3" s="61"/>
      <c r="Q3" s="61"/>
      <c r="R3" s="61"/>
      <c r="S3" s="61"/>
      <c r="T3" s="61"/>
      <c r="U3" s="66"/>
      <c r="V3" s="61"/>
      <c r="W3" s="61"/>
      <c r="X3" s="61"/>
      <c r="Y3" s="61"/>
      <c r="Z3" s="61"/>
    </row>
    <row r="4" spans="1:26" s="55" customFormat="1" ht="15" customHeight="1">
      <c r="A4" s="67"/>
      <c r="B4" s="434" t="s">
        <v>719</v>
      </c>
      <c r="C4" s="434"/>
      <c r="D4" s="434"/>
      <c r="E4" s="434"/>
      <c r="F4" s="434"/>
      <c r="G4" s="434"/>
      <c r="H4" s="434"/>
      <c r="I4" s="434"/>
      <c r="J4" s="434"/>
      <c r="K4" s="434"/>
      <c r="L4" s="434"/>
      <c r="M4" s="434"/>
      <c r="N4" s="434"/>
      <c r="O4" s="66"/>
      <c r="P4" s="66"/>
      <c r="Q4" s="52"/>
      <c r="R4" s="52"/>
      <c r="S4" s="66"/>
      <c r="T4" s="66"/>
      <c r="U4" s="66"/>
      <c r="V4" s="66"/>
      <c r="W4" s="66"/>
      <c r="X4" s="66"/>
      <c r="Y4" s="66"/>
      <c r="Z4" s="66"/>
    </row>
    <row r="5" spans="1:26" s="55" customFormat="1" ht="18" customHeight="1" thickBot="1">
      <c r="A5" s="67"/>
      <c r="B5" s="434"/>
      <c r="C5" s="434"/>
      <c r="D5" s="434"/>
      <c r="E5" s="434"/>
      <c r="F5" s="434"/>
      <c r="G5" s="434"/>
      <c r="H5" s="434"/>
      <c r="I5" s="434"/>
      <c r="J5" s="434"/>
      <c r="K5" s="434"/>
      <c r="L5" s="434"/>
      <c r="M5" s="434"/>
      <c r="N5" s="434"/>
      <c r="O5" s="66"/>
      <c r="P5" s="66"/>
      <c r="Q5" s="52"/>
      <c r="R5" s="52"/>
      <c r="S5" s="66"/>
      <c r="T5" s="66"/>
      <c r="U5" s="66"/>
      <c r="V5" s="66"/>
      <c r="W5" s="66"/>
      <c r="X5" s="66"/>
      <c r="Y5" s="66"/>
      <c r="Z5" s="66"/>
    </row>
    <row r="6" spans="1:26" s="62" customFormat="1" ht="6.75" customHeight="1" thickTop="1" thickBot="1">
      <c r="A6" s="138"/>
      <c r="B6" s="61"/>
      <c r="C6" s="61"/>
      <c r="D6" s="61"/>
      <c r="E6" s="61"/>
      <c r="F6" s="61"/>
      <c r="G6" s="61"/>
      <c r="H6" s="61"/>
      <c r="I6" s="61"/>
      <c r="J6" s="61"/>
      <c r="K6" s="61"/>
      <c r="L6" s="61"/>
      <c r="M6" s="61"/>
      <c r="N6" s="61"/>
      <c r="O6" s="61"/>
      <c r="P6" s="61"/>
      <c r="Q6" s="61"/>
      <c r="R6" s="61"/>
      <c r="S6" s="61"/>
      <c r="T6" s="61"/>
      <c r="U6" s="61"/>
      <c r="V6" s="208"/>
      <c r="W6" s="208"/>
      <c r="X6" s="61"/>
      <c r="Y6" s="61"/>
      <c r="Z6" s="61"/>
    </row>
    <row r="7" spans="1:26" s="61" customFormat="1" ht="3.75" customHeight="1" thickTop="1" thickBot="1">
      <c r="A7" s="209"/>
      <c r="B7" s="210"/>
      <c r="C7" s="210"/>
      <c r="D7" s="210"/>
      <c r="E7" s="210"/>
      <c r="F7" s="210"/>
      <c r="G7" s="210"/>
      <c r="H7" s="210"/>
      <c r="I7" s="210"/>
      <c r="J7" s="210"/>
      <c r="K7" s="210"/>
      <c r="L7" s="210"/>
      <c r="M7" s="210"/>
      <c r="N7" s="210"/>
      <c r="O7" s="210"/>
      <c r="V7" s="208"/>
      <c r="W7" s="208"/>
    </row>
    <row r="8" spans="1:26" s="62" customFormat="1" ht="15" customHeight="1" thickTop="1" thickBot="1">
      <c r="A8" s="211">
        <v>1</v>
      </c>
      <c r="B8" s="210" t="s">
        <v>375</v>
      </c>
      <c r="C8" s="433"/>
      <c r="D8" s="433"/>
      <c r="E8" s="433"/>
      <c r="F8" s="433"/>
      <c r="G8" s="433"/>
      <c r="H8" s="433"/>
      <c r="I8" s="433"/>
      <c r="J8" s="433"/>
      <c r="K8" s="433"/>
      <c r="L8" s="433"/>
      <c r="M8" s="433"/>
      <c r="N8" s="433"/>
      <c r="O8" s="210"/>
      <c r="P8" s="61"/>
      <c r="Q8" s="435" t="s">
        <v>896</v>
      </c>
      <c r="R8" s="435"/>
      <c r="S8" s="435"/>
      <c r="T8" s="435"/>
      <c r="U8" s="435"/>
      <c r="V8" s="208"/>
      <c r="W8" s="208"/>
      <c r="X8" s="61"/>
      <c r="Y8" s="61"/>
      <c r="Z8" s="61"/>
    </row>
    <row r="9" spans="1:26" s="62" customFormat="1" ht="15" customHeight="1" thickTop="1" thickBot="1">
      <c r="A9" s="209"/>
      <c r="B9" s="210" t="s">
        <v>376</v>
      </c>
      <c r="C9" s="433"/>
      <c r="D9" s="433"/>
      <c r="E9" s="433"/>
      <c r="F9" s="433"/>
      <c r="G9" s="433"/>
      <c r="H9" s="433"/>
      <c r="I9" s="433"/>
      <c r="J9" s="433"/>
      <c r="K9" s="433"/>
      <c r="L9" s="433"/>
      <c r="M9" s="433"/>
      <c r="N9" s="433"/>
      <c r="O9" s="210"/>
      <c r="P9" s="61"/>
      <c r="Q9" s="435"/>
      <c r="R9" s="435"/>
      <c r="S9" s="435"/>
      <c r="T9" s="435"/>
      <c r="U9" s="435"/>
      <c r="V9" s="208"/>
      <c r="W9" s="208"/>
      <c r="X9" s="208"/>
      <c r="Y9" s="61"/>
      <c r="Z9" s="61"/>
    </row>
    <row r="10" spans="1:26" s="213" customFormat="1" ht="15" customHeight="1" thickTop="1" thickBot="1">
      <c r="A10" s="211">
        <v>2</v>
      </c>
      <c r="B10" s="436" t="s">
        <v>720</v>
      </c>
      <c r="C10" s="436"/>
      <c r="D10" s="212"/>
      <c r="E10" s="212"/>
      <c r="F10" s="212"/>
      <c r="G10" s="212"/>
      <c r="H10" s="212"/>
      <c r="I10" s="212"/>
      <c r="J10" s="212"/>
      <c r="K10" s="212"/>
      <c r="L10" s="210"/>
      <c r="M10" s="210"/>
      <c r="N10" s="210"/>
      <c r="O10" s="210"/>
      <c r="P10" s="208"/>
      <c r="Q10" s="61"/>
      <c r="R10" s="61"/>
      <c r="S10" s="61"/>
      <c r="T10" s="61"/>
      <c r="U10" s="61"/>
      <c r="V10" s="208"/>
      <c r="W10" s="208"/>
      <c r="X10" s="208"/>
      <c r="Y10" s="208"/>
      <c r="Z10" s="208"/>
    </row>
    <row r="11" spans="1:26" s="62" customFormat="1" ht="15" customHeight="1" thickTop="1" thickBot="1">
      <c r="A11" s="209"/>
      <c r="B11" s="210" t="s">
        <v>377</v>
      </c>
      <c r="C11" s="210"/>
      <c r="D11" s="210"/>
      <c r="E11" s="433"/>
      <c r="F11" s="433"/>
      <c r="G11" s="433"/>
      <c r="H11" s="433"/>
      <c r="I11" s="433"/>
      <c r="J11" s="433"/>
      <c r="K11" s="433"/>
      <c r="L11" s="433"/>
      <c r="M11" s="433"/>
      <c r="N11" s="433"/>
      <c r="O11" s="210"/>
      <c r="P11" s="61"/>
      <c r="Q11" s="61"/>
      <c r="R11" s="61"/>
      <c r="S11" s="61"/>
      <c r="T11" s="61"/>
      <c r="U11" s="61"/>
      <c r="V11" s="61"/>
      <c r="W11" s="61"/>
      <c r="X11" s="61"/>
      <c r="Y11" s="61"/>
      <c r="Z11" s="61"/>
    </row>
    <row r="12" spans="1:26" s="62" customFormat="1" ht="15" customHeight="1" thickTop="1" thickBot="1">
      <c r="A12" s="209"/>
      <c r="B12" s="210" t="s">
        <v>721</v>
      </c>
      <c r="C12" s="210"/>
      <c r="D12" s="210"/>
      <c r="E12" s="433"/>
      <c r="F12" s="433"/>
      <c r="G12" s="433"/>
      <c r="H12" s="433"/>
      <c r="I12" s="433"/>
      <c r="J12" s="433"/>
      <c r="K12" s="433"/>
      <c r="L12" s="433"/>
      <c r="M12" s="433"/>
      <c r="N12" s="433"/>
      <c r="O12" s="210"/>
      <c r="P12" s="61"/>
      <c r="Q12" s="61"/>
      <c r="R12" s="61"/>
      <c r="S12" s="61"/>
      <c r="T12" s="61"/>
      <c r="U12" s="61"/>
      <c r="V12" s="61"/>
      <c r="W12" s="61"/>
      <c r="X12" s="61"/>
      <c r="Y12" s="61"/>
      <c r="Z12" s="61"/>
    </row>
    <row r="13" spans="1:26" s="62" customFormat="1" ht="15" customHeight="1" thickTop="1" thickBot="1">
      <c r="A13" s="209"/>
      <c r="B13" s="210" t="s">
        <v>378</v>
      </c>
      <c r="C13" s="210"/>
      <c r="D13" s="210"/>
      <c r="E13" s="433"/>
      <c r="F13" s="433"/>
      <c r="G13" s="433"/>
      <c r="H13" s="433"/>
      <c r="I13" s="433"/>
      <c r="J13" s="433"/>
      <c r="K13" s="433"/>
      <c r="L13" s="433"/>
      <c r="M13" s="433"/>
      <c r="N13" s="433"/>
      <c r="O13" s="210"/>
      <c r="P13" s="61"/>
      <c r="Q13" s="61"/>
      <c r="R13" s="61"/>
      <c r="S13" s="61"/>
      <c r="T13" s="61"/>
      <c r="U13" s="61"/>
      <c r="V13" s="61"/>
      <c r="W13" s="61"/>
      <c r="X13" s="61"/>
      <c r="Y13" s="61"/>
      <c r="Z13" s="61"/>
    </row>
    <row r="14" spans="1:26" s="62" customFormat="1" ht="41" thickTop="1" thickBot="1">
      <c r="A14" s="209"/>
      <c r="B14" s="214" t="s">
        <v>379</v>
      </c>
      <c r="C14" s="210"/>
      <c r="D14" s="210"/>
      <c r="E14" s="433"/>
      <c r="F14" s="433"/>
      <c r="G14" s="433"/>
      <c r="H14" s="433"/>
      <c r="I14" s="433"/>
      <c r="J14" s="433"/>
      <c r="K14" s="433"/>
      <c r="L14" s="433"/>
      <c r="M14" s="433"/>
      <c r="N14" s="433"/>
      <c r="O14" s="215" t="s">
        <v>722</v>
      </c>
      <c r="P14" s="61"/>
      <c r="Q14" s="61"/>
      <c r="R14" s="61"/>
      <c r="S14" s="61"/>
      <c r="T14" s="61"/>
      <c r="U14" s="61"/>
      <c r="V14" s="61"/>
      <c r="W14" s="61"/>
      <c r="X14" s="61"/>
      <c r="Y14" s="61"/>
      <c r="Z14" s="61"/>
    </row>
    <row r="15" spans="1:26" s="62" customFormat="1" ht="41" thickTop="1" thickBot="1">
      <c r="A15" s="209"/>
      <c r="B15" s="214" t="s">
        <v>380</v>
      </c>
      <c r="C15" s="210"/>
      <c r="D15" s="210"/>
      <c r="E15" s="433"/>
      <c r="F15" s="433"/>
      <c r="G15" s="433"/>
      <c r="H15" s="433"/>
      <c r="I15" s="433"/>
      <c r="J15" s="433"/>
      <c r="K15" s="433"/>
      <c r="L15" s="433"/>
      <c r="M15" s="433"/>
      <c r="N15" s="433"/>
      <c r="O15" s="216" t="s">
        <v>722</v>
      </c>
      <c r="P15" s="61"/>
      <c r="Q15" s="61"/>
      <c r="R15" s="61"/>
      <c r="S15" s="61"/>
      <c r="T15" s="61"/>
      <c r="U15" s="61"/>
      <c r="V15" s="61"/>
      <c r="W15" s="61"/>
      <c r="X15" s="61"/>
      <c r="Y15" s="61"/>
      <c r="Z15" s="61"/>
    </row>
    <row r="16" spans="1:26" s="213" customFormat="1" ht="15" customHeight="1" thickTop="1" thickBot="1">
      <c r="A16" s="211">
        <v>3</v>
      </c>
      <c r="B16" s="210" t="s">
        <v>177</v>
      </c>
      <c r="C16" s="212"/>
      <c r="D16" s="212"/>
      <c r="E16" s="212"/>
      <c r="F16" s="212"/>
      <c r="G16" s="212"/>
      <c r="H16" s="212"/>
      <c r="I16" s="212"/>
      <c r="J16" s="212"/>
      <c r="K16" s="212"/>
      <c r="L16" s="212"/>
      <c r="M16" s="212"/>
      <c r="N16" s="212"/>
      <c r="O16" s="210"/>
      <c r="P16" s="208"/>
      <c r="Q16" s="208"/>
      <c r="R16" s="208"/>
      <c r="S16" s="208"/>
      <c r="T16" s="208"/>
      <c r="U16" s="208"/>
      <c r="V16" s="61"/>
      <c r="W16" s="61"/>
      <c r="X16" s="208"/>
      <c r="Y16" s="208"/>
      <c r="Z16" s="208"/>
    </row>
    <row r="17" spans="1:30" s="62" customFormat="1" ht="41" thickTop="1" thickBot="1">
      <c r="A17" s="209"/>
      <c r="B17" s="214" t="s">
        <v>381</v>
      </c>
      <c r="C17" s="210"/>
      <c r="D17" s="210"/>
      <c r="E17" s="433"/>
      <c r="F17" s="433"/>
      <c r="G17" s="433"/>
      <c r="H17" s="433"/>
      <c r="I17" s="433"/>
      <c r="J17" s="433"/>
      <c r="K17" s="433"/>
      <c r="L17" s="433"/>
      <c r="M17" s="433"/>
      <c r="N17" s="433"/>
      <c r="O17" s="216" t="s">
        <v>722</v>
      </c>
      <c r="P17" s="61"/>
      <c r="Q17" s="61"/>
      <c r="R17" s="61"/>
      <c r="S17" s="61"/>
      <c r="T17" s="61"/>
      <c r="U17" s="61"/>
      <c r="V17" s="61"/>
      <c r="W17" s="61"/>
      <c r="X17" s="61"/>
      <c r="Y17" s="61"/>
      <c r="Z17" s="61"/>
    </row>
    <row r="18" spans="1:30" s="213" customFormat="1" ht="15" customHeight="1" thickTop="1" thickBot="1">
      <c r="A18" s="211">
        <v>4</v>
      </c>
      <c r="B18" s="436" t="s">
        <v>382</v>
      </c>
      <c r="C18" s="436"/>
      <c r="D18" s="212"/>
      <c r="E18" s="212"/>
      <c r="F18" s="212"/>
      <c r="G18" s="212"/>
      <c r="H18" s="212"/>
      <c r="I18" s="212"/>
      <c r="J18" s="212"/>
      <c r="K18" s="212"/>
      <c r="L18" s="212"/>
      <c r="M18" s="212"/>
      <c r="N18" s="212"/>
      <c r="O18" s="210"/>
      <c r="P18" s="208"/>
      <c r="Q18" s="208"/>
      <c r="R18" s="208"/>
      <c r="S18" s="208"/>
      <c r="T18" s="208"/>
      <c r="U18" s="208"/>
      <c r="V18" s="61"/>
      <c r="W18" s="61"/>
      <c r="X18" s="208"/>
      <c r="Y18" s="208"/>
      <c r="Z18" s="208"/>
    </row>
    <row r="19" spans="1:30" s="62" customFormat="1" ht="41" thickTop="1" thickBot="1">
      <c r="A19" s="209"/>
      <c r="B19" s="214" t="s">
        <v>383</v>
      </c>
      <c r="C19" s="210"/>
      <c r="D19" s="210"/>
      <c r="E19" s="433"/>
      <c r="F19" s="433"/>
      <c r="G19" s="433"/>
      <c r="H19" s="433"/>
      <c r="I19" s="433"/>
      <c r="J19" s="433"/>
      <c r="K19" s="433"/>
      <c r="L19" s="433"/>
      <c r="M19" s="433"/>
      <c r="N19" s="433"/>
      <c r="O19" s="216" t="s">
        <v>722</v>
      </c>
      <c r="P19" s="61"/>
      <c r="Q19" s="61"/>
      <c r="R19" s="61"/>
      <c r="S19" s="61"/>
      <c r="T19" s="61"/>
      <c r="U19" s="61"/>
      <c r="V19" s="61"/>
      <c r="W19" s="61"/>
      <c r="X19" s="61"/>
      <c r="Y19" s="61"/>
      <c r="Z19" s="61"/>
    </row>
    <row r="20" spans="1:30" s="62" customFormat="1" ht="51" thickTop="1" thickBot="1">
      <c r="A20" s="209"/>
      <c r="B20" s="214" t="s">
        <v>384</v>
      </c>
      <c r="C20" s="210"/>
      <c r="D20" s="210"/>
      <c r="E20" s="433"/>
      <c r="F20" s="433"/>
      <c r="G20" s="433"/>
      <c r="H20" s="433"/>
      <c r="I20" s="433"/>
      <c r="J20" s="433"/>
      <c r="K20" s="433"/>
      <c r="L20" s="433"/>
      <c r="M20" s="433"/>
      <c r="N20" s="433"/>
      <c r="O20" s="216" t="s">
        <v>723</v>
      </c>
      <c r="P20" s="65"/>
      <c r="Q20" s="65"/>
      <c r="R20" s="65"/>
      <c r="S20" s="61"/>
      <c r="T20" s="61"/>
      <c r="U20" s="61"/>
      <c r="V20" s="61"/>
      <c r="W20" s="61"/>
      <c r="X20" s="61"/>
      <c r="Y20" s="61"/>
      <c r="Z20" s="61"/>
    </row>
    <row r="21" spans="1:30" s="213" customFormat="1" ht="15.75" customHeight="1" thickTop="1" thickBot="1">
      <c r="A21" s="211">
        <v>5</v>
      </c>
      <c r="B21" s="210" t="s">
        <v>385</v>
      </c>
      <c r="C21" s="212"/>
      <c r="D21" s="212"/>
      <c r="E21" s="212"/>
      <c r="F21" s="212"/>
      <c r="G21" s="212"/>
      <c r="H21" s="212"/>
      <c r="I21" s="217"/>
      <c r="J21" s="218"/>
      <c r="K21" s="218"/>
      <c r="L21" s="218"/>
      <c r="M21" s="218"/>
      <c r="N21" s="218"/>
      <c r="O21" s="212"/>
      <c r="P21" s="219"/>
      <c r="Q21" s="219"/>
      <c r="R21" s="219"/>
      <c r="S21" s="208"/>
      <c r="T21" s="208"/>
      <c r="U21" s="208"/>
      <c r="V21" s="61"/>
      <c r="W21" s="61"/>
      <c r="X21" s="208"/>
      <c r="Y21" s="208"/>
      <c r="Z21" s="208"/>
    </row>
    <row r="22" spans="1:30" s="62" customFormat="1" ht="15.75" customHeight="1" thickTop="1" thickBot="1">
      <c r="A22" s="209"/>
      <c r="B22" s="210" t="s">
        <v>386</v>
      </c>
      <c r="C22" s="210"/>
      <c r="D22" s="210"/>
      <c r="E22" s="210"/>
      <c r="F22" s="210"/>
      <c r="G22" s="210"/>
      <c r="H22" s="220" t="s">
        <v>387</v>
      </c>
      <c r="I22" s="437"/>
      <c r="J22" s="437"/>
      <c r="K22" s="437"/>
      <c r="L22" s="437"/>
      <c r="M22" s="437"/>
      <c r="N22" s="437"/>
      <c r="O22" s="221"/>
      <c r="P22" s="61"/>
      <c r="Q22" s="438" t="s">
        <v>897</v>
      </c>
      <c r="R22" s="439"/>
      <c r="S22" s="439"/>
      <c r="T22" s="439"/>
      <c r="U22" s="440"/>
      <c r="V22" s="61"/>
      <c r="W22" s="61"/>
      <c r="X22" s="61"/>
      <c r="Y22" s="61"/>
      <c r="Z22" s="61"/>
    </row>
    <row r="23" spans="1:30" s="62" customFormat="1" ht="15.75" customHeight="1" thickTop="1" thickBot="1">
      <c r="A23" s="209"/>
      <c r="B23" s="210" t="s">
        <v>388</v>
      </c>
      <c r="C23" s="210"/>
      <c r="D23" s="210"/>
      <c r="E23" s="210"/>
      <c r="F23" s="210"/>
      <c r="G23" s="210"/>
      <c r="H23" s="222"/>
      <c r="I23" s="437"/>
      <c r="J23" s="437"/>
      <c r="K23" s="437"/>
      <c r="L23" s="437"/>
      <c r="M23" s="437"/>
      <c r="N23" s="437"/>
      <c r="O23" s="210"/>
      <c r="P23" s="61"/>
      <c r="Q23" s="61"/>
      <c r="R23" s="61"/>
      <c r="S23" s="61"/>
      <c r="T23" s="61"/>
      <c r="U23" s="61"/>
      <c r="V23" s="61"/>
      <c r="W23" s="61"/>
      <c r="X23" s="61"/>
      <c r="Y23" s="61"/>
      <c r="Z23" s="61"/>
    </row>
    <row r="24" spans="1:30" s="62" customFormat="1" ht="15.75" customHeight="1" thickTop="1" thickBot="1">
      <c r="A24" s="209"/>
      <c r="B24" s="256" t="s">
        <v>725</v>
      </c>
      <c r="C24" s="210"/>
      <c r="D24" s="210"/>
      <c r="E24" s="210"/>
      <c r="F24" s="210"/>
      <c r="G24" s="210"/>
      <c r="H24" s="222"/>
      <c r="I24" s="437"/>
      <c r="J24" s="437"/>
      <c r="K24" s="437"/>
      <c r="L24" s="437"/>
      <c r="M24" s="437"/>
      <c r="N24" s="437"/>
      <c r="O24" s="210"/>
      <c r="P24" s="61"/>
      <c r="Q24" s="61"/>
      <c r="R24" s="61"/>
      <c r="S24" s="61"/>
      <c r="T24" s="61"/>
      <c r="U24" s="61"/>
      <c r="V24" s="61"/>
      <c r="W24" s="61"/>
      <c r="X24" s="61"/>
      <c r="Y24" s="61"/>
      <c r="Z24" s="61"/>
    </row>
    <row r="25" spans="1:30" s="62" customFormat="1" ht="15.75" customHeight="1" thickTop="1" thickBot="1">
      <c r="A25" s="209"/>
      <c r="B25" s="225" t="s">
        <v>135</v>
      </c>
      <c r="C25" s="210"/>
      <c r="D25" s="210"/>
      <c r="E25" s="210"/>
      <c r="F25" s="210"/>
      <c r="G25" s="210"/>
      <c r="H25" s="222"/>
      <c r="I25" s="463">
        <v>0.04</v>
      </c>
      <c r="J25" s="464"/>
      <c r="K25" s="464"/>
      <c r="L25" s="464"/>
      <c r="M25" s="464"/>
      <c r="N25" s="465"/>
      <c r="O25" s="210"/>
      <c r="P25" s="61"/>
      <c r="Q25" s="61"/>
      <c r="R25" s="61"/>
      <c r="S25" s="61"/>
      <c r="T25" s="61"/>
      <c r="U25" s="61"/>
      <c r="V25" s="61"/>
      <c r="W25" s="61"/>
      <c r="X25" s="61"/>
      <c r="Y25" s="61"/>
      <c r="Z25" s="61"/>
    </row>
    <row r="26" spans="1:30" s="213" customFormat="1" ht="15.75" customHeight="1" thickTop="1" thickBot="1">
      <c r="A26" s="211">
        <v>6</v>
      </c>
      <c r="B26" s="436" t="s">
        <v>389</v>
      </c>
      <c r="C26" s="436"/>
      <c r="D26" s="212"/>
      <c r="E26" s="212"/>
      <c r="F26" s="212"/>
      <c r="G26" s="212"/>
      <c r="H26" s="223"/>
      <c r="I26" s="224"/>
      <c r="J26" s="212"/>
      <c r="K26" s="212"/>
      <c r="L26" s="212"/>
      <c r="M26" s="212"/>
      <c r="N26" s="212"/>
      <c r="O26" s="212"/>
      <c r="P26" s="208"/>
      <c r="Q26" s="208"/>
      <c r="R26" s="208"/>
      <c r="S26" s="208"/>
      <c r="T26" s="208"/>
      <c r="U26" s="208"/>
      <c r="V26" s="61"/>
      <c r="W26" s="61"/>
      <c r="X26" s="208"/>
      <c r="Y26" s="208"/>
      <c r="Z26" s="208"/>
    </row>
    <row r="27" spans="1:30" s="62" customFormat="1" ht="15.75" customHeight="1" thickTop="1" thickBot="1">
      <c r="A27" s="211"/>
      <c r="B27" s="210" t="s">
        <v>390</v>
      </c>
      <c r="C27" s="210"/>
      <c r="D27" s="210"/>
      <c r="E27" s="210"/>
      <c r="F27" s="210"/>
      <c r="G27" s="210"/>
      <c r="H27" s="222"/>
      <c r="I27" s="441"/>
      <c r="J27" s="442"/>
      <c r="K27" s="442"/>
      <c r="L27" s="442"/>
      <c r="M27" s="442"/>
      <c r="N27" s="442"/>
      <c r="O27" s="212"/>
      <c r="P27" s="61"/>
      <c r="Q27" s="61"/>
      <c r="R27" s="61"/>
      <c r="S27" s="61"/>
      <c r="T27" s="61"/>
      <c r="U27" s="61"/>
      <c r="V27" s="61"/>
      <c r="W27" s="61"/>
      <c r="X27" s="61"/>
      <c r="Y27" s="61"/>
      <c r="Z27" s="61"/>
    </row>
    <row r="28" spans="1:30" s="62" customFormat="1" ht="15.75" customHeight="1" thickTop="1" thickBot="1">
      <c r="A28" s="211"/>
      <c r="B28" s="210" t="s">
        <v>391</v>
      </c>
      <c r="C28" s="210"/>
      <c r="D28" s="210"/>
      <c r="E28" s="210"/>
      <c r="F28" s="210"/>
      <c r="G28" s="210"/>
      <c r="H28" s="226" t="s">
        <v>387</v>
      </c>
      <c r="I28" s="437"/>
      <c r="J28" s="437"/>
      <c r="K28" s="437"/>
      <c r="L28" s="437"/>
      <c r="M28" s="437"/>
      <c r="N28" s="437"/>
      <c r="O28" s="212"/>
      <c r="P28" s="61"/>
      <c r="Q28" s="438" t="s">
        <v>898</v>
      </c>
      <c r="R28" s="439"/>
      <c r="S28" s="439"/>
      <c r="T28" s="439"/>
      <c r="U28" s="440"/>
      <c r="V28" s="61"/>
      <c r="W28" s="61"/>
      <c r="X28" s="61"/>
      <c r="Y28" s="61"/>
      <c r="Z28" s="61"/>
      <c r="AA28" s="61"/>
      <c r="AB28" s="61"/>
      <c r="AC28" s="61"/>
      <c r="AD28" s="61"/>
    </row>
    <row r="29" spans="1:30" s="62" customFormat="1" ht="15.75" customHeight="1" thickTop="1" thickBot="1">
      <c r="A29" s="211"/>
      <c r="B29" s="210" t="s">
        <v>724</v>
      </c>
      <c r="C29" s="210"/>
      <c r="D29" s="210"/>
      <c r="E29" s="210"/>
      <c r="F29" s="210"/>
      <c r="G29" s="210"/>
      <c r="H29" s="210"/>
      <c r="I29" s="443"/>
      <c r="J29" s="443"/>
      <c r="K29" s="443"/>
      <c r="L29" s="443"/>
      <c r="M29" s="443"/>
      <c r="N29" s="443"/>
      <c r="O29" s="212"/>
      <c r="P29" s="61"/>
      <c r="Q29" s="61"/>
      <c r="R29" s="61"/>
      <c r="S29" s="61"/>
      <c r="T29" s="61"/>
      <c r="U29" s="61"/>
      <c r="V29" s="61"/>
      <c r="W29" s="61"/>
      <c r="X29" s="61"/>
      <c r="Y29" s="61"/>
      <c r="Z29" s="61"/>
      <c r="AA29" s="61"/>
      <c r="AB29" s="61"/>
      <c r="AC29" s="61"/>
      <c r="AD29" s="61"/>
    </row>
    <row r="30" spans="1:30" s="62" customFormat="1" ht="25" customHeight="1" thickTop="1" thickBot="1">
      <c r="A30" s="211"/>
      <c r="B30" s="210" t="s">
        <v>726</v>
      </c>
      <c r="C30" s="210"/>
      <c r="D30" s="210"/>
      <c r="E30" s="210"/>
      <c r="F30" s="210"/>
      <c r="G30" s="210"/>
      <c r="H30" s="210"/>
      <c r="I30" s="444"/>
      <c r="J30" s="444"/>
      <c r="K30" s="444"/>
      <c r="L30" s="444"/>
      <c r="M30" s="444"/>
      <c r="N30" s="444"/>
      <c r="O30" s="212"/>
      <c r="P30" s="61"/>
      <c r="Q30" s="445" t="s">
        <v>727</v>
      </c>
      <c r="R30" s="446"/>
      <c r="S30" s="446"/>
      <c r="T30" s="446"/>
      <c r="U30" s="447"/>
      <c r="V30" s="61"/>
      <c r="W30" s="61"/>
      <c r="X30" s="61"/>
      <c r="Y30" s="61"/>
      <c r="Z30" s="61"/>
      <c r="AA30" s="61"/>
      <c r="AB30" s="61"/>
      <c r="AC30" s="61"/>
      <c r="AD30" s="61"/>
    </row>
    <row r="31" spans="1:30" s="62" customFormat="1" ht="15.75" customHeight="1" thickTop="1" thickBot="1">
      <c r="A31" s="211"/>
      <c r="B31" s="210" t="s">
        <v>728</v>
      </c>
      <c r="C31" s="210"/>
      <c r="D31" s="210" t="s">
        <v>729</v>
      </c>
      <c r="E31" s="210"/>
      <c r="F31" s="210"/>
      <c r="G31" s="448"/>
      <c r="H31" s="448"/>
      <c r="I31" s="210" t="s">
        <v>730</v>
      </c>
      <c r="J31" s="210"/>
      <c r="K31" s="210"/>
      <c r="L31" s="210"/>
      <c r="M31" s="449"/>
      <c r="N31" s="449"/>
      <c r="O31" s="210" t="s">
        <v>220</v>
      </c>
      <c r="P31" s="61"/>
      <c r="Q31" s="438" t="s">
        <v>899</v>
      </c>
      <c r="R31" s="439"/>
      <c r="S31" s="439"/>
      <c r="T31" s="439"/>
      <c r="U31" s="440"/>
      <c r="V31" s="61"/>
      <c r="W31" s="61"/>
      <c r="X31" s="61"/>
      <c r="Y31" s="61"/>
      <c r="Z31" s="61"/>
    </row>
    <row r="32" spans="1:30" s="62" customFormat="1" ht="15.75" customHeight="1" thickTop="1" thickBot="1">
      <c r="A32" s="211"/>
      <c r="B32" s="210" t="s">
        <v>731</v>
      </c>
      <c r="C32" s="210"/>
      <c r="D32" s="210" t="s">
        <v>729</v>
      </c>
      <c r="E32" s="210"/>
      <c r="F32" s="210"/>
      <c r="G32" s="448"/>
      <c r="H32" s="448"/>
      <c r="I32" s="210" t="s">
        <v>732</v>
      </c>
      <c r="J32" s="210"/>
      <c r="K32" s="210"/>
      <c r="L32" s="210"/>
      <c r="M32" s="449"/>
      <c r="N32" s="449"/>
      <c r="O32" s="210" t="s">
        <v>220</v>
      </c>
      <c r="P32" s="61"/>
      <c r="Q32" s="438" t="s">
        <v>900</v>
      </c>
      <c r="R32" s="439"/>
      <c r="S32" s="439"/>
      <c r="T32" s="439"/>
      <c r="U32" s="440"/>
      <c r="V32" s="61"/>
      <c r="W32" s="61"/>
      <c r="X32" s="61"/>
      <c r="Y32" s="61"/>
      <c r="Z32" s="61"/>
    </row>
    <row r="33" spans="1:26" s="62" customFormat="1" ht="15.75" customHeight="1" thickTop="1" thickBot="1">
      <c r="A33" s="211"/>
      <c r="B33" s="210" t="s">
        <v>733</v>
      </c>
      <c r="C33" s="210"/>
      <c r="D33" s="210"/>
      <c r="E33" s="210"/>
      <c r="F33" s="210"/>
      <c r="G33" s="443"/>
      <c r="H33" s="443"/>
      <c r="I33" s="210" t="s">
        <v>216</v>
      </c>
      <c r="J33" s="210"/>
      <c r="K33" s="210"/>
      <c r="L33" s="210"/>
      <c r="M33" s="210"/>
      <c r="N33" s="210"/>
      <c r="O33" s="210"/>
      <c r="P33" s="61"/>
      <c r="Q33" s="438" t="s">
        <v>899</v>
      </c>
      <c r="R33" s="439"/>
      <c r="S33" s="439"/>
      <c r="T33" s="439"/>
      <c r="U33" s="440"/>
      <c r="V33" s="61"/>
      <c r="Z33" s="61"/>
    </row>
    <row r="34" spans="1:26" s="62" customFormat="1" ht="15.75" customHeight="1" thickTop="1" thickBot="1">
      <c r="A34" s="211"/>
      <c r="B34" s="210" t="s">
        <v>734</v>
      </c>
      <c r="C34" s="210"/>
      <c r="D34" s="210"/>
      <c r="E34" s="210"/>
      <c r="F34" s="210"/>
      <c r="G34" s="443"/>
      <c r="H34" s="443"/>
      <c r="I34" s="210" t="s">
        <v>216</v>
      </c>
      <c r="J34" s="210"/>
      <c r="K34" s="210"/>
      <c r="L34" s="210"/>
      <c r="M34" s="210"/>
      <c r="N34" s="210"/>
      <c r="O34" s="210"/>
      <c r="P34" s="61"/>
      <c r="Q34" s="438" t="s">
        <v>900</v>
      </c>
      <c r="R34" s="439"/>
      <c r="S34" s="439"/>
      <c r="T34" s="439"/>
      <c r="U34" s="440"/>
      <c r="V34" s="61"/>
      <c r="W34" s="63"/>
      <c r="X34" s="225" t="s">
        <v>449</v>
      </c>
      <c r="Y34" s="227" t="s">
        <v>735</v>
      </c>
      <c r="Z34" s="61"/>
    </row>
    <row r="35" spans="1:26" s="213" customFormat="1" ht="15.75" customHeight="1" thickTop="1" thickBot="1">
      <c r="A35" s="211">
        <v>7</v>
      </c>
      <c r="B35" s="436" t="s">
        <v>392</v>
      </c>
      <c r="C35" s="436"/>
      <c r="D35" s="210"/>
      <c r="E35" s="210"/>
      <c r="F35" s="210"/>
      <c r="G35" s="210"/>
      <c r="H35" s="210"/>
      <c r="I35" s="210"/>
      <c r="J35" s="210"/>
      <c r="K35" s="210"/>
      <c r="L35" s="226" t="s">
        <v>267</v>
      </c>
      <c r="M35" s="450"/>
      <c r="N35" s="450"/>
      <c r="O35" s="224" t="s">
        <v>393</v>
      </c>
      <c r="P35" s="208"/>
      <c r="Q35" s="438" t="s">
        <v>901</v>
      </c>
      <c r="R35" s="439"/>
      <c r="S35" s="439"/>
      <c r="T35" s="439"/>
      <c r="U35" s="440"/>
      <c r="W35" s="63" t="s">
        <v>736</v>
      </c>
      <c r="X35" s="225">
        <f>'SP3-3 (1)'!L7</f>
        <v>0</v>
      </c>
      <c r="Y35" s="228">
        <f>'SP3-3 (1)'!Q29</f>
        <v>0</v>
      </c>
      <c r="Z35" s="208"/>
    </row>
    <row r="36" spans="1:26" s="62" customFormat="1" ht="15.75" customHeight="1" thickTop="1" thickBot="1">
      <c r="A36" s="211">
        <v>8</v>
      </c>
      <c r="B36" s="436" t="s">
        <v>394</v>
      </c>
      <c r="C36" s="436"/>
      <c r="D36" s="436"/>
      <c r="E36" s="210"/>
      <c r="F36" s="210"/>
      <c r="G36" s="210"/>
      <c r="H36" s="210"/>
      <c r="I36" s="210"/>
      <c r="J36" s="210"/>
      <c r="K36" s="210"/>
      <c r="L36" s="226" t="s">
        <v>737</v>
      </c>
      <c r="M36" s="450"/>
      <c r="N36" s="450"/>
      <c r="O36" s="224" t="s">
        <v>395</v>
      </c>
      <c r="P36" s="61"/>
      <c r="Q36" s="438" t="s">
        <v>902</v>
      </c>
      <c r="R36" s="439"/>
      <c r="S36" s="439"/>
      <c r="T36" s="439"/>
      <c r="U36" s="440"/>
      <c r="V36" s="61"/>
      <c r="W36" s="63" t="s">
        <v>738</v>
      </c>
      <c r="X36" s="225">
        <f>'SP3-3 (2)'!L7</f>
        <v>0</v>
      </c>
      <c r="Y36" s="228">
        <f>'SP3-3 (2)'!Q29</f>
        <v>0</v>
      </c>
      <c r="Z36" s="61"/>
    </row>
    <row r="37" spans="1:26" s="62" customFormat="1" ht="15.75" customHeight="1" thickTop="1" thickBot="1">
      <c r="A37" s="211">
        <v>9</v>
      </c>
      <c r="B37" s="436" t="s">
        <v>396</v>
      </c>
      <c r="C37" s="436"/>
      <c r="D37" s="436"/>
      <c r="E37" s="436"/>
      <c r="F37" s="212"/>
      <c r="G37" s="212"/>
      <c r="H37" s="212"/>
      <c r="I37" s="212"/>
      <c r="J37" s="212"/>
      <c r="K37" s="212"/>
      <c r="L37" s="212"/>
      <c r="M37" s="212"/>
      <c r="N37" s="210"/>
      <c r="O37" s="224"/>
      <c r="P37" s="65"/>
      <c r="Q37" s="65"/>
      <c r="R37" s="64"/>
      <c r="T37" s="61"/>
      <c r="U37" s="61"/>
      <c r="V37" s="61"/>
      <c r="W37" s="63" t="s">
        <v>739</v>
      </c>
      <c r="X37" s="225">
        <f>'SP3-3 (3)'!L7</f>
        <v>0</v>
      </c>
      <c r="Y37" s="228">
        <f>'SP3-3 (3)'!Q29</f>
        <v>0</v>
      </c>
      <c r="Z37" s="61"/>
    </row>
    <row r="38" spans="1:26" s="62" customFormat="1" ht="15.75" customHeight="1" thickTop="1" thickBot="1">
      <c r="A38" s="209"/>
      <c r="B38" s="210" t="s">
        <v>397</v>
      </c>
      <c r="C38" s="210"/>
      <c r="D38" s="222" t="s">
        <v>267</v>
      </c>
      <c r="E38" s="451">
        <f>'SP3-4'!N24</f>
        <v>0</v>
      </c>
      <c r="F38" s="451"/>
      <c r="G38" s="212" t="s">
        <v>398</v>
      </c>
      <c r="H38" s="210"/>
      <c r="I38" s="210"/>
      <c r="J38" s="452"/>
      <c r="K38" s="452"/>
      <c r="L38" s="226" t="s">
        <v>399</v>
      </c>
      <c r="M38" s="453">
        <f>E38*J38</f>
        <v>0</v>
      </c>
      <c r="N38" s="453"/>
      <c r="O38" s="224" t="s">
        <v>740</v>
      </c>
      <c r="P38" s="61"/>
      <c r="Q38" s="454" t="s">
        <v>903</v>
      </c>
      <c r="R38" s="454"/>
      <c r="S38" s="454"/>
      <c r="T38" s="454"/>
      <c r="U38" s="454"/>
      <c r="V38" s="61"/>
      <c r="Z38" s="61"/>
    </row>
    <row r="39" spans="1:26" s="62" customFormat="1" ht="15.75" customHeight="1" thickTop="1" thickBot="1">
      <c r="A39" s="209"/>
      <c r="B39" s="210" t="s">
        <v>741</v>
      </c>
      <c r="C39" s="210"/>
      <c r="D39" s="222" t="s">
        <v>267</v>
      </c>
      <c r="E39" s="451">
        <f>'SP3-5'!N29</f>
        <v>0</v>
      </c>
      <c r="F39" s="451"/>
      <c r="G39" s="212" t="s">
        <v>742</v>
      </c>
      <c r="H39" s="210"/>
      <c r="I39" s="210"/>
      <c r="J39" s="452"/>
      <c r="K39" s="452"/>
      <c r="L39" s="226" t="s">
        <v>399</v>
      </c>
      <c r="M39" s="453">
        <f>E39*J39</f>
        <v>0</v>
      </c>
      <c r="N39" s="453"/>
      <c r="O39" s="224" t="s">
        <v>400</v>
      </c>
      <c r="Q39" s="454"/>
      <c r="R39" s="454"/>
      <c r="S39" s="454"/>
      <c r="T39" s="454"/>
      <c r="U39" s="454"/>
      <c r="V39" s="61"/>
      <c r="Z39" s="61"/>
    </row>
    <row r="40" spans="1:26" s="62" customFormat="1" ht="15.75" customHeight="1" thickTop="1" thickBot="1">
      <c r="A40" s="209"/>
      <c r="B40" s="210" t="s">
        <v>743</v>
      </c>
      <c r="C40" s="210"/>
      <c r="D40" s="222" t="s">
        <v>267</v>
      </c>
      <c r="E40" s="451">
        <f>'SP3-6'!J41</f>
        <v>0</v>
      </c>
      <c r="F40" s="451"/>
      <c r="G40" s="212" t="s">
        <v>744</v>
      </c>
      <c r="H40" s="210"/>
      <c r="I40" s="210"/>
      <c r="J40" s="452"/>
      <c r="K40" s="452"/>
      <c r="L40" s="226" t="s">
        <v>399</v>
      </c>
      <c r="M40" s="455">
        <f>E40*J40</f>
        <v>0</v>
      </c>
      <c r="N40" s="455"/>
      <c r="O40" s="229" t="s">
        <v>401</v>
      </c>
      <c r="Q40" s="454"/>
      <c r="R40" s="454"/>
      <c r="S40" s="454"/>
      <c r="T40" s="454"/>
      <c r="U40" s="454"/>
      <c r="V40" s="61"/>
      <c r="W40" s="61"/>
      <c r="X40" s="61"/>
      <c r="Y40" s="61"/>
      <c r="Z40" s="61"/>
    </row>
    <row r="41" spans="1:26" s="213" customFormat="1" ht="15.75" customHeight="1" thickTop="1" thickBot="1">
      <c r="A41" s="456">
        <v>10</v>
      </c>
      <c r="B41" s="457" t="s">
        <v>402</v>
      </c>
      <c r="C41" s="458" t="s">
        <v>403</v>
      </c>
      <c r="D41" s="458"/>
      <c r="E41" s="456" t="s">
        <v>404</v>
      </c>
      <c r="F41" s="459" t="s">
        <v>745</v>
      </c>
      <c r="G41" s="459"/>
      <c r="H41" s="459"/>
      <c r="I41" s="456" t="s">
        <v>404</v>
      </c>
      <c r="J41" s="453">
        <f>M38+M39+M40</f>
        <v>0</v>
      </c>
      <c r="K41" s="453"/>
      <c r="L41" s="474" t="s">
        <v>404</v>
      </c>
      <c r="M41" s="475">
        <f>IF(J42=0,,J41/J42)</f>
        <v>0</v>
      </c>
      <c r="N41" s="476"/>
      <c r="O41" s="230"/>
      <c r="Q41" s="205"/>
      <c r="R41" s="205"/>
      <c r="S41" s="205"/>
      <c r="T41" s="61"/>
      <c r="U41" s="61"/>
      <c r="V41" s="208"/>
      <c r="W41" s="208"/>
      <c r="X41" s="208"/>
      <c r="Y41" s="208"/>
      <c r="Z41" s="208"/>
    </row>
    <row r="42" spans="1:26" s="62" customFormat="1" ht="15.75" customHeight="1" thickTop="1" thickBot="1">
      <c r="A42" s="456"/>
      <c r="B42" s="457"/>
      <c r="C42" s="461" t="s">
        <v>746</v>
      </c>
      <c r="D42" s="461"/>
      <c r="E42" s="456"/>
      <c r="F42" s="462" t="s">
        <v>407</v>
      </c>
      <c r="G42" s="462"/>
      <c r="H42" s="462"/>
      <c r="I42" s="456"/>
      <c r="J42" s="453">
        <f>M36-M35</f>
        <v>0</v>
      </c>
      <c r="K42" s="453"/>
      <c r="L42" s="474"/>
      <c r="M42" s="477"/>
      <c r="N42" s="478"/>
      <c r="O42" s="230"/>
      <c r="P42" s="231" t="s">
        <v>405</v>
      </c>
      <c r="Q42" s="466" t="s">
        <v>747</v>
      </c>
      <c r="R42" s="231" t="s">
        <v>406</v>
      </c>
      <c r="S42" s="61"/>
      <c r="T42" s="61"/>
      <c r="U42" s="61"/>
      <c r="V42" s="61"/>
      <c r="W42" s="61"/>
      <c r="X42" s="61"/>
      <c r="Y42" s="61"/>
      <c r="Z42" s="61"/>
    </row>
    <row r="43" spans="1:26" s="62" customFormat="1" ht="15.75" customHeight="1" thickTop="1" thickBot="1">
      <c r="A43" s="456">
        <v>11</v>
      </c>
      <c r="B43" s="457" t="s">
        <v>408</v>
      </c>
      <c r="C43" s="458" t="s">
        <v>748</v>
      </c>
      <c r="D43" s="458"/>
      <c r="E43" s="456" t="s">
        <v>404</v>
      </c>
      <c r="F43" s="458" t="s">
        <v>749</v>
      </c>
      <c r="G43" s="458"/>
      <c r="H43" s="458"/>
      <c r="I43" s="458"/>
      <c r="J43" s="458"/>
      <c r="K43" s="458"/>
      <c r="L43" s="469" t="s">
        <v>404</v>
      </c>
      <c r="M43" s="470">
        <f>IF((M36-M35)=0,0,(((M38+M39)/Tables!O8+M40/Tables!O7)*0.96)/(M36-M35))*100</f>
        <v>0</v>
      </c>
      <c r="N43" s="470"/>
      <c r="O43" s="472" t="s">
        <v>207</v>
      </c>
      <c r="P43" s="473">
        <f>M41*1.158</f>
        <v>0</v>
      </c>
      <c r="Q43" s="467"/>
      <c r="R43" s="460">
        <f>M41*0.772</f>
        <v>0</v>
      </c>
      <c r="S43" s="61"/>
      <c r="T43" s="61"/>
      <c r="U43" s="61"/>
      <c r="V43" s="61"/>
      <c r="W43" s="61"/>
      <c r="X43" s="61"/>
      <c r="Y43" s="61"/>
      <c r="Z43" s="61"/>
    </row>
    <row r="44" spans="1:26" s="62" customFormat="1" ht="15.75" customHeight="1" thickTop="1" thickBot="1">
      <c r="A44" s="456"/>
      <c r="B44" s="457"/>
      <c r="C44" s="461" t="s">
        <v>746</v>
      </c>
      <c r="D44" s="461"/>
      <c r="E44" s="456"/>
      <c r="F44" s="462" t="s">
        <v>750</v>
      </c>
      <c r="G44" s="462"/>
      <c r="H44" s="462"/>
      <c r="I44" s="462"/>
      <c r="J44" s="462"/>
      <c r="K44" s="462"/>
      <c r="L44" s="457"/>
      <c r="M44" s="471"/>
      <c r="N44" s="471"/>
      <c r="O44" s="472"/>
      <c r="P44" s="473"/>
      <c r="Q44" s="468"/>
      <c r="R44" s="460"/>
      <c r="S44" s="61"/>
      <c r="T44" s="61"/>
      <c r="U44" s="61"/>
      <c r="V44" s="61"/>
      <c r="W44" s="61"/>
      <c r="X44" s="61"/>
      <c r="Y44" s="61"/>
      <c r="Z44" s="61"/>
    </row>
    <row r="45" spans="1:26" s="232" customFormat="1" ht="12" customHeight="1" thickTop="1">
      <c r="A45" s="60"/>
      <c r="B45" s="59"/>
      <c r="C45" s="59"/>
      <c r="D45" s="59"/>
      <c r="E45" s="59"/>
      <c r="F45" s="59"/>
      <c r="G45" s="59"/>
      <c r="H45" s="59"/>
      <c r="I45" s="59"/>
      <c r="J45" s="59"/>
      <c r="K45" s="59"/>
      <c r="L45" s="59"/>
      <c r="O45" s="59"/>
      <c r="P45" s="233"/>
      <c r="Q45" s="233"/>
      <c r="R45" s="59"/>
      <c r="S45" s="59"/>
      <c r="T45" s="59"/>
      <c r="U45" s="59"/>
      <c r="V45" s="59"/>
      <c r="W45" s="59"/>
      <c r="X45" s="59"/>
      <c r="Y45" s="59"/>
      <c r="Z45" s="59"/>
    </row>
    <row r="46" spans="1:26" s="232" customFormat="1" ht="11.5" hidden="1">
      <c r="A46" s="60"/>
      <c r="B46" s="59"/>
      <c r="C46" s="59"/>
      <c r="D46" s="59"/>
      <c r="E46" s="59"/>
      <c r="F46" s="59"/>
      <c r="G46" s="59"/>
      <c r="H46" s="59"/>
      <c r="I46" s="59"/>
      <c r="J46" s="59"/>
      <c r="K46" s="59"/>
      <c r="L46" s="59"/>
      <c r="O46" s="59"/>
      <c r="P46" s="59"/>
      <c r="Q46" s="59"/>
      <c r="R46" s="59"/>
      <c r="S46" s="59"/>
      <c r="T46" s="59"/>
      <c r="U46" s="59"/>
      <c r="V46" s="59"/>
      <c r="W46" s="59"/>
      <c r="X46" s="59"/>
      <c r="Y46" s="59"/>
      <c r="Z46" s="59"/>
    </row>
    <row r="47" spans="1:26" s="232" customFormat="1" ht="11.5" hidden="1">
      <c r="A47" s="60"/>
      <c r="B47" s="59"/>
      <c r="C47" s="59"/>
      <c r="D47" s="59"/>
      <c r="E47" s="59"/>
      <c r="F47" s="59"/>
      <c r="G47" s="59"/>
      <c r="H47" s="59"/>
      <c r="I47" s="59"/>
      <c r="J47" s="59"/>
      <c r="K47" s="59"/>
      <c r="L47" s="59"/>
      <c r="O47" s="59"/>
      <c r="P47" s="59"/>
      <c r="Q47" s="59"/>
      <c r="R47" s="59"/>
      <c r="S47" s="59"/>
      <c r="T47" s="59"/>
      <c r="U47" s="59"/>
      <c r="V47" s="59"/>
      <c r="W47" s="59"/>
      <c r="X47" s="59"/>
      <c r="Y47" s="59"/>
      <c r="Z47" s="59"/>
    </row>
    <row r="48" spans="1:26" s="232" customFormat="1" ht="7.5" hidden="1" customHeight="1">
      <c r="A48" s="60"/>
      <c r="B48" s="61" t="s">
        <v>751</v>
      </c>
      <c r="C48" s="59"/>
      <c r="D48" s="59"/>
      <c r="E48" s="59"/>
      <c r="F48" s="59"/>
      <c r="G48" s="59"/>
      <c r="H48" s="59"/>
      <c r="I48" s="59"/>
      <c r="J48" s="59"/>
      <c r="K48" s="59"/>
      <c r="L48" s="59"/>
      <c r="O48" s="59"/>
      <c r="P48" s="59"/>
      <c r="Q48" s="59"/>
      <c r="R48" s="59"/>
      <c r="S48" s="59"/>
      <c r="T48" s="59"/>
      <c r="U48" s="59"/>
      <c r="V48" s="59"/>
      <c r="W48" s="59"/>
      <c r="X48" s="59"/>
      <c r="Y48" s="59"/>
      <c r="Z48" s="59"/>
    </row>
    <row r="49" spans="1:3" s="59" customFormat="1" ht="10" hidden="1">
      <c r="A49" s="60"/>
      <c r="B49" s="61">
        <f>'SP3-4'!$B$29*'SP3-1'!$J$38</f>
        <v>0</v>
      </c>
      <c r="C49" s="59" t="s">
        <v>752</v>
      </c>
    </row>
    <row r="50" spans="1:3" s="59" customFormat="1" ht="10" hidden="1">
      <c r="A50" s="60"/>
      <c r="B50" s="61">
        <f>'SP3-5'!$B$33*'SP3-1'!$J$39</f>
        <v>0</v>
      </c>
      <c r="C50" s="59" t="s">
        <v>753</v>
      </c>
    </row>
    <row r="51" spans="1:3" s="59" customFormat="1" ht="10" hidden="1">
      <c r="A51" s="60"/>
      <c r="B51" s="61" t="e">
        <f>'SP3-6'!#REF!*'SP3-1'!J40</f>
        <v>#REF!</v>
      </c>
      <c r="C51" s="59" t="s">
        <v>754</v>
      </c>
    </row>
    <row r="52" spans="1:3" s="59" customFormat="1" ht="10" hidden="1">
      <c r="A52" s="60"/>
    </row>
    <row r="53" spans="1:3" s="59" customFormat="1" ht="10" hidden="1">
      <c r="A53" s="60">
        <v>2009</v>
      </c>
    </row>
    <row r="54" spans="1:3" s="59" customFormat="1" ht="10" hidden="1">
      <c r="A54" s="60">
        <v>2010</v>
      </c>
    </row>
    <row r="55" spans="1:3" s="59" customFormat="1" ht="10" hidden="1">
      <c r="A55" s="60">
        <v>2011</v>
      </c>
    </row>
    <row r="56" spans="1:3" s="59" customFormat="1" ht="10" hidden="1">
      <c r="A56" s="60">
        <v>2012</v>
      </c>
    </row>
    <row r="57" spans="1:3" s="59" customFormat="1" ht="10" hidden="1">
      <c r="A57" s="60">
        <v>2013</v>
      </c>
    </row>
    <row r="58" spans="1:3" s="59" customFormat="1" ht="10" hidden="1">
      <c r="A58" s="60">
        <v>2014</v>
      </c>
    </row>
    <row r="59" spans="1:3" s="59" customFormat="1" ht="10" hidden="1">
      <c r="A59" s="60">
        <v>2015</v>
      </c>
    </row>
    <row r="60" spans="1:3" s="59" customFormat="1" ht="10" hidden="1">
      <c r="A60" s="60">
        <v>2016</v>
      </c>
    </row>
    <row r="61" spans="1:3" s="59" customFormat="1" ht="10" hidden="1">
      <c r="A61" s="60">
        <v>2017</v>
      </c>
    </row>
    <row r="62" spans="1:3" s="59" customFormat="1" ht="10" hidden="1">
      <c r="A62" s="60">
        <v>2018</v>
      </c>
    </row>
    <row r="63" spans="1:3" s="59" customFormat="1" ht="10" hidden="1">
      <c r="A63" s="60">
        <v>2019</v>
      </c>
    </row>
    <row r="64" spans="1:3" s="59" customFormat="1" ht="10" hidden="1">
      <c r="A64" s="60">
        <v>2020</v>
      </c>
    </row>
    <row r="65" spans="1:1" s="59" customFormat="1" ht="10" hidden="1">
      <c r="A65" s="60">
        <v>2021</v>
      </c>
    </row>
    <row r="66" spans="1:1" s="59" customFormat="1" ht="10" hidden="1">
      <c r="A66" s="60">
        <v>2022</v>
      </c>
    </row>
    <row r="67" spans="1:1" s="59" customFormat="1" ht="10" hidden="1">
      <c r="A67" s="60">
        <v>2023</v>
      </c>
    </row>
    <row r="68" spans="1:1" s="59" customFormat="1" ht="10" hidden="1">
      <c r="A68" s="60">
        <v>2024</v>
      </c>
    </row>
    <row r="69" spans="1:1" s="59" customFormat="1" ht="10" hidden="1">
      <c r="A69" s="60">
        <v>2025</v>
      </c>
    </row>
    <row r="70" spans="1:1" s="59" customFormat="1" ht="10" hidden="1">
      <c r="A70" s="60">
        <v>2026</v>
      </c>
    </row>
    <row r="71" spans="1:1" s="59" customFormat="1" ht="10" hidden="1">
      <c r="A71" s="60">
        <v>2027</v>
      </c>
    </row>
    <row r="72" spans="1:1" s="59" customFormat="1" ht="10" hidden="1">
      <c r="A72" s="60">
        <v>2028</v>
      </c>
    </row>
    <row r="73" spans="1:1" s="59" customFormat="1" ht="10" hidden="1">
      <c r="A73" s="60">
        <v>2029</v>
      </c>
    </row>
    <row r="74" spans="1:1" s="59" customFormat="1" ht="10" hidden="1">
      <c r="A74" s="60">
        <v>2030</v>
      </c>
    </row>
    <row r="75" spans="1:1" s="59" customFormat="1" ht="10" hidden="1">
      <c r="A75" s="60">
        <v>2031</v>
      </c>
    </row>
    <row r="76" spans="1:1" s="59" customFormat="1" ht="10" hidden="1">
      <c r="A76" s="60">
        <v>2032</v>
      </c>
    </row>
    <row r="77" spans="1:1" s="59" customFormat="1" ht="10" hidden="1">
      <c r="A77" s="60">
        <v>2033</v>
      </c>
    </row>
    <row r="78" spans="1:1" s="59" customFormat="1" ht="10" hidden="1">
      <c r="A78" s="60">
        <v>2034</v>
      </c>
    </row>
    <row r="79" spans="1:1" s="59" customFormat="1" ht="10" hidden="1">
      <c r="A79" s="60">
        <v>2035</v>
      </c>
    </row>
    <row r="80" spans="1:1" s="59" customFormat="1" ht="10" hidden="1">
      <c r="A80" s="60">
        <v>2036</v>
      </c>
    </row>
    <row r="81" spans="1:1" s="59" customFormat="1" ht="10" hidden="1">
      <c r="A81" s="60">
        <v>2037</v>
      </c>
    </row>
    <row r="82" spans="1:1" s="59" customFormat="1" ht="10" hidden="1">
      <c r="A82" s="60">
        <v>2038</v>
      </c>
    </row>
    <row r="83" spans="1:1" s="59" customFormat="1" ht="10" hidden="1">
      <c r="A83" s="60">
        <v>2039</v>
      </c>
    </row>
    <row r="84" spans="1:1" s="59" customFormat="1" ht="10" hidden="1">
      <c r="A84" s="60"/>
    </row>
    <row r="85" spans="1:1" s="59" customFormat="1" ht="10" hidden="1">
      <c r="A85" s="60"/>
    </row>
    <row r="86" spans="1:1" s="59" customFormat="1" ht="10" hidden="1">
      <c r="A86" s="60"/>
    </row>
    <row r="87" spans="1:1" s="59" customFormat="1" ht="10">
      <c r="A87" s="60"/>
    </row>
    <row r="88" spans="1:1" s="59" customFormat="1" ht="10">
      <c r="A88" s="60"/>
    </row>
    <row r="89" spans="1:1" s="59" customFormat="1" ht="10">
      <c r="A89" s="60"/>
    </row>
    <row r="90" spans="1:1" s="59" customFormat="1" ht="10">
      <c r="A90" s="60"/>
    </row>
    <row r="91" spans="1:1" s="59" customFormat="1" ht="10">
      <c r="A91" s="60"/>
    </row>
    <row r="92" spans="1:1" s="59" customFormat="1" ht="10">
      <c r="A92" s="60"/>
    </row>
  </sheetData>
  <sheetProtection algorithmName="SHA-512" hashValue="NWjHPNntBqlhryzjXK+FcOyknXBKFijRnwRjeKoEGuGdX6jktkin/vSYEF7c6Ic7feSAyfY30Hdv4y3mWMgpkA==" saltValue="Mw9ugLvbhZj2s9aryKWyOA==" spinCount="100000" sheet="1"/>
  <protectedRanges>
    <protectedRange sqref="E38:F40" name="Range15"/>
    <protectedRange sqref="J38:K40" name="Range14"/>
    <protectedRange sqref="C8:N9" name="Range1_1"/>
    <protectedRange sqref="E11:N15 E17:N17 E19:N20" name="Range2_1"/>
  </protectedRanges>
  <mergeCells count="78">
    <mergeCell ref="R43:R44"/>
    <mergeCell ref="C44:D44"/>
    <mergeCell ref="F44:K44"/>
    <mergeCell ref="I24:N24"/>
    <mergeCell ref="I25:N25"/>
    <mergeCell ref="Q42:Q44"/>
    <mergeCell ref="L43:L44"/>
    <mergeCell ref="M43:N44"/>
    <mergeCell ref="O43:O44"/>
    <mergeCell ref="P43:P44"/>
    <mergeCell ref="J41:K41"/>
    <mergeCell ref="L41:L42"/>
    <mergeCell ref="M41:N42"/>
    <mergeCell ref="C42:D42"/>
    <mergeCell ref="F42:H42"/>
    <mergeCell ref="J42:K42"/>
    <mergeCell ref="I41:I42"/>
    <mergeCell ref="A43:A44"/>
    <mergeCell ref="B43:B44"/>
    <mergeCell ref="C43:D43"/>
    <mergeCell ref="E43:E44"/>
    <mergeCell ref="F43:K43"/>
    <mergeCell ref="A41:A42"/>
    <mergeCell ref="B41:B42"/>
    <mergeCell ref="C41:D41"/>
    <mergeCell ref="E41:E42"/>
    <mergeCell ref="F41:H41"/>
    <mergeCell ref="B36:D36"/>
    <mergeCell ref="M36:N36"/>
    <mergeCell ref="Q36:U36"/>
    <mergeCell ref="B37:E37"/>
    <mergeCell ref="E38:F38"/>
    <mergeCell ref="J38:K38"/>
    <mergeCell ref="M38:N38"/>
    <mergeCell ref="Q38:U40"/>
    <mergeCell ref="E39:F39"/>
    <mergeCell ref="J39:K39"/>
    <mergeCell ref="M39:N39"/>
    <mergeCell ref="E40:F40"/>
    <mergeCell ref="J40:K40"/>
    <mergeCell ref="M40:N40"/>
    <mergeCell ref="G34:H34"/>
    <mergeCell ref="Q34:U34"/>
    <mergeCell ref="B35:C35"/>
    <mergeCell ref="M35:N35"/>
    <mergeCell ref="Q35:U35"/>
    <mergeCell ref="G32:H32"/>
    <mergeCell ref="M32:N32"/>
    <mergeCell ref="Q32:U32"/>
    <mergeCell ref="G33:H33"/>
    <mergeCell ref="Q33:U33"/>
    <mergeCell ref="I29:N29"/>
    <mergeCell ref="I30:N30"/>
    <mergeCell ref="Q30:U30"/>
    <mergeCell ref="G31:H31"/>
    <mergeCell ref="M31:N31"/>
    <mergeCell ref="Q31:U31"/>
    <mergeCell ref="Q22:U22"/>
    <mergeCell ref="I23:N23"/>
    <mergeCell ref="I27:N27"/>
    <mergeCell ref="I28:N28"/>
    <mergeCell ref="Q28:U28"/>
    <mergeCell ref="B26:C26"/>
    <mergeCell ref="E12:N12"/>
    <mergeCell ref="E13:N13"/>
    <mergeCell ref="E14:N14"/>
    <mergeCell ref="E15:N15"/>
    <mergeCell ref="E17:N17"/>
    <mergeCell ref="B18:C18"/>
    <mergeCell ref="E19:N19"/>
    <mergeCell ref="E20:N20"/>
    <mergeCell ref="I22:N22"/>
    <mergeCell ref="E11:N11"/>
    <mergeCell ref="B4:N5"/>
    <mergeCell ref="C8:N8"/>
    <mergeCell ref="Q8:U9"/>
    <mergeCell ref="C9:N9"/>
    <mergeCell ref="B10:C10"/>
  </mergeCells>
  <dataValidations count="2">
    <dataValidation type="decimal" operator="lessThanOrEqual" allowBlank="1" showInputMessage="1" showErrorMessage="1" error="Traffic growth must be no greater than 7% per annum" sqref="I30:N30 JE30:JJ30 TA30:TF30 ACW30:ADB30 AMS30:AMX30 AWO30:AWT30 BGK30:BGP30 BQG30:BQL30 CAC30:CAH30 CJY30:CKD30 CTU30:CTZ30 DDQ30:DDV30 DNM30:DNR30 DXI30:DXN30 EHE30:EHJ30 ERA30:ERF30 FAW30:FBB30 FKS30:FKX30 FUO30:FUT30 GEK30:GEP30 GOG30:GOL30 GYC30:GYH30 HHY30:HID30 HRU30:HRZ30 IBQ30:IBV30 ILM30:ILR30 IVI30:IVN30 JFE30:JFJ30 JPA30:JPF30 JYW30:JZB30 KIS30:KIX30 KSO30:KST30 LCK30:LCP30 LMG30:LML30 LWC30:LWH30 MFY30:MGD30 MPU30:MPZ30 MZQ30:MZV30 NJM30:NJR30 NTI30:NTN30 ODE30:ODJ30 ONA30:ONF30 OWW30:OXB30 PGS30:PGX30 PQO30:PQT30 QAK30:QAP30 QKG30:QKL30 QUC30:QUH30 RDY30:RED30 RNU30:RNZ30 RXQ30:RXV30 SHM30:SHR30 SRI30:SRN30 TBE30:TBJ30 TLA30:TLF30 TUW30:TVB30 UES30:UEX30 UOO30:UOT30 UYK30:UYP30 VIG30:VIL30 VSC30:VSH30 WBY30:WCD30 WLU30:WLZ30 WVQ30:WVV30 I65566:N65566 JE65566:JJ65566 TA65566:TF65566 ACW65566:ADB65566 AMS65566:AMX65566 AWO65566:AWT65566 BGK65566:BGP65566 BQG65566:BQL65566 CAC65566:CAH65566 CJY65566:CKD65566 CTU65566:CTZ65566 DDQ65566:DDV65566 DNM65566:DNR65566 DXI65566:DXN65566 EHE65566:EHJ65566 ERA65566:ERF65566 FAW65566:FBB65566 FKS65566:FKX65566 FUO65566:FUT65566 GEK65566:GEP65566 GOG65566:GOL65566 GYC65566:GYH65566 HHY65566:HID65566 HRU65566:HRZ65566 IBQ65566:IBV65566 ILM65566:ILR65566 IVI65566:IVN65566 JFE65566:JFJ65566 JPA65566:JPF65566 JYW65566:JZB65566 KIS65566:KIX65566 KSO65566:KST65566 LCK65566:LCP65566 LMG65566:LML65566 LWC65566:LWH65566 MFY65566:MGD65566 MPU65566:MPZ65566 MZQ65566:MZV65566 NJM65566:NJR65566 NTI65566:NTN65566 ODE65566:ODJ65566 ONA65566:ONF65566 OWW65566:OXB65566 PGS65566:PGX65566 PQO65566:PQT65566 QAK65566:QAP65566 QKG65566:QKL65566 QUC65566:QUH65566 RDY65566:RED65566 RNU65566:RNZ65566 RXQ65566:RXV65566 SHM65566:SHR65566 SRI65566:SRN65566 TBE65566:TBJ65566 TLA65566:TLF65566 TUW65566:TVB65566 UES65566:UEX65566 UOO65566:UOT65566 UYK65566:UYP65566 VIG65566:VIL65566 VSC65566:VSH65566 WBY65566:WCD65566 WLU65566:WLZ65566 WVQ65566:WVV65566 I131102:N131102 JE131102:JJ131102 TA131102:TF131102 ACW131102:ADB131102 AMS131102:AMX131102 AWO131102:AWT131102 BGK131102:BGP131102 BQG131102:BQL131102 CAC131102:CAH131102 CJY131102:CKD131102 CTU131102:CTZ131102 DDQ131102:DDV131102 DNM131102:DNR131102 DXI131102:DXN131102 EHE131102:EHJ131102 ERA131102:ERF131102 FAW131102:FBB131102 FKS131102:FKX131102 FUO131102:FUT131102 GEK131102:GEP131102 GOG131102:GOL131102 GYC131102:GYH131102 HHY131102:HID131102 HRU131102:HRZ131102 IBQ131102:IBV131102 ILM131102:ILR131102 IVI131102:IVN131102 JFE131102:JFJ131102 JPA131102:JPF131102 JYW131102:JZB131102 KIS131102:KIX131102 KSO131102:KST131102 LCK131102:LCP131102 LMG131102:LML131102 LWC131102:LWH131102 MFY131102:MGD131102 MPU131102:MPZ131102 MZQ131102:MZV131102 NJM131102:NJR131102 NTI131102:NTN131102 ODE131102:ODJ131102 ONA131102:ONF131102 OWW131102:OXB131102 PGS131102:PGX131102 PQO131102:PQT131102 QAK131102:QAP131102 QKG131102:QKL131102 QUC131102:QUH131102 RDY131102:RED131102 RNU131102:RNZ131102 RXQ131102:RXV131102 SHM131102:SHR131102 SRI131102:SRN131102 TBE131102:TBJ131102 TLA131102:TLF131102 TUW131102:TVB131102 UES131102:UEX131102 UOO131102:UOT131102 UYK131102:UYP131102 VIG131102:VIL131102 VSC131102:VSH131102 WBY131102:WCD131102 WLU131102:WLZ131102 WVQ131102:WVV131102 I196638:N196638 JE196638:JJ196638 TA196638:TF196638 ACW196638:ADB196638 AMS196638:AMX196638 AWO196638:AWT196638 BGK196638:BGP196638 BQG196638:BQL196638 CAC196638:CAH196638 CJY196638:CKD196638 CTU196638:CTZ196638 DDQ196638:DDV196638 DNM196638:DNR196638 DXI196638:DXN196638 EHE196638:EHJ196638 ERA196638:ERF196638 FAW196638:FBB196638 FKS196638:FKX196638 FUO196638:FUT196638 GEK196638:GEP196638 GOG196638:GOL196638 GYC196638:GYH196638 HHY196638:HID196638 HRU196638:HRZ196638 IBQ196638:IBV196638 ILM196638:ILR196638 IVI196638:IVN196638 JFE196638:JFJ196638 JPA196638:JPF196638 JYW196638:JZB196638 KIS196638:KIX196638 KSO196638:KST196638 LCK196638:LCP196638 LMG196638:LML196638 LWC196638:LWH196638 MFY196638:MGD196638 MPU196638:MPZ196638 MZQ196638:MZV196638 NJM196638:NJR196638 NTI196638:NTN196638 ODE196638:ODJ196638 ONA196638:ONF196638 OWW196638:OXB196638 PGS196638:PGX196638 PQO196638:PQT196638 QAK196638:QAP196638 QKG196638:QKL196638 QUC196638:QUH196638 RDY196638:RED196638 RNU196638:RNZ196638 RXQ196638:RXV196638 SHM196638:SHR196638 SRI196638:SRN196638 TBE196638:TBJ196638 TLA196638:TLF196638 TUW196638:TVB196638 UES196638:UEX196638 UOO196638:UOT196638 UYK196638:UYP196638 VIG196638:VIL196638 VSC196638:VSH196638 WBY196638:WCD196638 WLU196638:WLZ196638 WVQ196638:WVV196638 I262174:N262174 JE262174:JJ262174 TA262174:TF262174 ACW262174:ADB262174 AMS262174:AMX262174 AWO262174:AWT262174 BGK262174:BGP262174 BQG262174:BQL262174 CAC262174:CAH262174 CJY262174:CKD262174 CTU262174:CTZ262174 DDQ262174:DDV262174 DNM262174:DNR262174 DXI262174:DXN262174 EHE262174:EHJ262174 ERA262174:ERF262174 FAW262174:FBB262174 FKS262174:FKX262174 FUO262174:FUT262174 GEK262174:GEP262174 GOG262174:GOL262174 GYC262174:GYH262174 HHY262174:HID262174 HRU262174:HRZ262174 IBQ262174:IBV262174 ILM262174:ILR262174 IVI262174:IVN262174 JFE262174:JFJ262174 JPA262174:JPF262174 JYW262174:JZB262174 KIS262174:KIX262174 KSO262174:KST262174 LCK262174:LCP262174 LMG262174:LML262174 LWC262174:LWH262174 MFY262174:MGD262174 MPU262174:MPZ262174 MZQ262174:MZV262174 NJM262174:NJR262174 NTI262174:NTN262174 ODE262174:ODJ262174 ONA262174:ONF262174 OWW262174:OXB262174 PGS262174:PGX262174 PQO262174:PQT262174 QAK262174:QAP262174 QKG262174:QKL262174 QUC262174:QUH262174 RDY262174:RED262174 RNU262174:RNZ262174 RXQ262174:RXV262174 SHM262174:SHR262174 SRI262174:SRN262174 TBE262174:TBJ262174 TLA262174:TLF262174 TUW262174:TVB262174 UES262174:UEX262174 UOO262174:UOT262174 UYK262174:UYP262174 VIG262174:VIL262174 VSC262174:VSH262174 WBY262174:WCD262174 WLU262174:WLZ262174 WVQ262174:WVV262174 I327710:N327710 JE327710:JJ327710 TA327710:TF327710 ACW327710:ADB327710 AMS327710:AMX327710 AWO327710:AWT327710 BGK327710:BGP327710 BQG327710:BQL327710 CAC327710:CAH327710 CJY327710:CKD327710 CTU327710:CTZ327710 DDQ327710:DDV327710 DNM327710:DNR327710 DXI327710:DXN327710 EHE327710:EHJ327710 ERA327710:ERF327710 FAW327710:FBB327710 FKS327710:FKX327710 FUO327710:FUT327710 GEK327710:GEP327710 GOG327710:GOL327710 GYC327710:GYH327710 HHY327710:HID327710 HRU327710:HRZ327710 IBQ327710:IBV327710 ILM327710:ILR327710 IVI327710:IVN327710 JFE327710:JFJ327710 JPA327710:JPF327710 JYW327710:JZB327710 KIS327710:KIX327710 KSO327710:KST327710 LCK327710:LCP327710 LMG327710:LML327710 LWC327710:LWH327710 MFY327710:MGD327710 MPU327710:MPZ327710 MZQ327710:MZV327710 NJM327710:NJR327710 NTI327710:NTN327710 ODE327710:ODJ327710 ONA327710:ONF327710 OWW327710:OXB327710 PGS327710:PGX327710 PQO327710:PQT327710 QAK327710:QAP327710 QKG327710:QKL327710 QUC327710:QUH327710 RDY327710:RED327710 RNU327710:RNZ327710 RXQ327710:RXV327710 SHM327710:SHR327710 SRI327710:SRN327710 TBE327710:TBJ327710 TLA327710:TLF327710 TUW327710:TVB327710 UES327710:UEX327710 UOO327710:UOT327710 UYK327710:UYP327710 VIG327710:VIL327710 VSC327710:VSH327710 WBY327710:WCD327710 WLU327710:WLZ327710 WVQ327710:WVV327710 I393246:N393246 JE393246:JJ393246 TA393246:TF393246 ACW393246:ADB393246 AMS393246:AMX393246 AWO393246:AWT393246 BGK393246:BGP393246 BQG393246:BQL393246 CAC393246:CAH393246 CJY393246:CKD393246 CTU393246:CTZ393246 DDQ393246:DDV393246 DNM393246:DNR393246 DXI393246:DXN393246 EHE393246:EHJ393246 ERA393246:ERF393246 FAW393246:FBB393246 FKS393246:FKX393246 FUO393246:FUT393246 GEK393246:GEP393246 GOG393246:GOL393246 GYC393246:GYH393246 HHY393246:HID393246 HRU393246:HRZ393246 IBQ393246:IBV393246 ILM393246:ILR393246 IVI393246:IVN393246 JFE393246:JFJ393246 JPA393246:JPF393246 JYW393246:JZB393246 KIS393246:KIX393246 KSO393246:KST393246 LCK393246:LCP393246 LMG393246:LML393246 LWC393246:LWH393246 MFY393246:MGD393246 MPU393246:MPZ393246 MZQ393246:MZV393246 NJM393246:NJR393246 NTI393246:NTN393246 ODE393246:ODJ393246 ONA393246:ONF393246 OWW393246:OXB393246 PGS393246:PGX393246 PQO393246:PQT393246 QAK393246:QAP393246 QKG393246:QKL393246 QUC393246:QUH393246 RDY393246:RED393246 RNU393246:RNZ393246 RXQ393246:RXV393246 SHM393246:SHR393246 SRI393246:SRN393246 TBE393246:TBJ393246 TLA393246:TLF393246 TUW393246:TVB393246 UES393246:UEX393246 UOO393246:UOT393246 UYK393246:UYP393246 VIG393246:VIL393246 VSC393246:VSH393246 WBY393246:WCD393246 WLU393246:WLZ393246 WVQ393246:WVV393246 I458782:N458782 JE458782:JJ458782 TA458782:TF458782 ACW458782:ADB458782 AMS458782:AMX458782 AWO458782:AWT458782 BGK458782:BGP458782 BQG458782:BQL458782 CAC458782:CAH458782 CJY458782:CKD458782 CTU458782:CTZ458782 DDQ458782:DDV458782 DNM458782:DNR458782 DXI458782:DXN458782 EHE458782:EHJ458782 ERA458782:ERF458782 FAW458782:FBB458782 FKS458782:FKX458782 FUO458782:FUT458782 GEK458782:GEP458782 GOG458782:GOL458782 GYC458782:GYH458782 HHY458782:HID458782 HRU458782:HRZ458782 IBQ458782:IBV458782 ILM458782:ILR458782 IVI458782:IVN458782 JFE458782:JFJ458782 JPA458782:JPF458782 JYW458782:JZB458782 KIS458782:KIX458782 KSO458782:KST458782 LCK458782:LCP458782 LMG458782:LML458782 LWC458782:LWH458782 MFY458782:MGD458782 MPU458782:MPZ458782 MZQ458782:MZV458782 NJM458782:NJR458782 NTI458782:NTN458782 ODE458782:ODJ458782 ONA458782:ONF458782 OWW458782:OXB458782 PGS458782:PGX458782 PQO458782:PQT458782 QAK458782:QAP458782 QKG458782:QKL458782 QUC458782:QUH458782 RDY458782:RED458782 RNU458782:RNZ458782 RXQ458782:RXV458782 SHM458782:SHR458782 SRI458782:SRN458782 TBE458782:TBJ458782 TLA458782:TLF458782 TUW458782:TVB458782 UES458782:UEX458782 UOO458782:UOT458782 UYK458782:UYP458782 VIG458782:VIL458782 VSC458782:VSH458782 WBY458782:WCD458782 WLU458782:WLZ458782 WVQ458782:WVV458782 I524318:N524318 JE524318:JJ524318 TA524318:TF524318 ACW524318:ADB524318 AMS524318:AMX524318 AWO524318:AWT524318 BGK524318:BGP524318 BQG524318:BQL524318 CAC524318:CAH524318 CJY524318:CKD524318 CTU524318:CTZ524318 DDQ524318:DDV524318 DNM524318:DNR524318 DXI524318:DXN524318 EHE524318:EHJ524318 ERA524318:ERF524318 FAW524318:FBB524318 FKS524318:FKX524318 FUO524318:FUT524318 GEK524318:GEP524318 GOG524318:GOL524318 GYC524318:GYH524318 HHY524318:HID524318 HRU524318:HRZ524318 IBQ524318:IBV524318 ILM524318:ILR524318 IVI524318:IVN524318 JFE524318:JFJ524318 JPA524318:JPF524318 JYW524318:JZB524318 KIS524318:KIX524318 KSO524318:KST524318 LCK524318:LCP524318 LMG524318:LML524318 LWC524318:LWH524318 MFY524318:MGD524318 MPU524318:MPZ524318 MZQ524318:MZV524318 NJM524318:NJR524318 NTI524318:NTN524318 ODE524318:ODJ524318 ONA524318:ONF524318 OWW524318:OXB524318 PGS524318:PGX524318 PQO524318:PQT524318 QAK524318:QAP524318 QKG524318:QKL524318 QUC524318:QUH524318 RDY524318:RED524318 RNU524318:RNZ524318 RXQ524318:RXV524318 SHM524318:SHR524318 SRI524318:SRN524318 TBE524318:TBJ524318 TLA524318:TLF524318 TUW524318:TVB524318 UES524318:UEX524318 UOO524318:UOT524318 UYK524318:UYP524318 VIG524318:VIL524318 VSC524318:VSH524318 WBY524318:WCD524318 WLU524318:WLZ524318 WVQ524318:WVV524318 I589854:N589854 JE589854:JJ589854 TA589854:TF589854 ACW589854:ADB589854 AMS589854:AMX589854 AWO589854:AWT589854 BGK589854:BGP589854 BQG589854:BQL589854 CAC589854:CAH589854 CJY589854:CKD589854 CTU589854:CTZ589854 DDQ589854:DDV589854 DNM589854:DNR589854 DXI589854:DXN589854 EHE589854:EHJ589854 ERA589854:ERF589854 FAW589854:FBB589854 FKS589854:FKX589854 FUO589854:FUT589854 GEK589854:GEP589854 GOG589854:GOL589854 GYC589854:GYH589854 HHY589854:HID589854 HRU589854:HRZ589854 IBQ589854:IBV589854 ILM589854:ILR589854 IVI589854:IVN589854 JFE589854:JFJ589854 JPA589854:JPF589854 JYW589854:JZB589854 KIS589854:KIX589854 KSO589854:KST589854 LCK589854:LCP589854 LMG589854:LML589854 LWC589854:LWH589854 MFY589854:MGD589854 MPU589854:MPZ589854 MZQ589854:MZV589854 NJM589854:NJR589854 NTI589854:NTN589854 ODE589854:ODJ589854 ONA589854:ONF589854 OWW589854:OXB589854 PGS589854:PGX589854 PQO589854:PQT589854 QAK589854:QAP589854 QKG589854:QKL589854 QUC589854:QUH589854 RDY589854:RED589854 RNU589854:RNZ589854 RXQ589854:RXV589854 SHM589854:SHR589854 SRI589854:SRN589854 TBE589854:TBJ589854 TLA589854:TLF589854 TUW589854:TVB589854 UES589854:UEX589854 UOO589854:UOT589854 UYK589854:UYP589854 VIG589854:VIL589854 VSC589854:VSH589854 WBY589854:WCD589854 WLU589854:WLZ589854 WVQ589854:WVV589854 I655390:N655390 JE655390:JJ655390 TA655390:TF655390 ACW655390:ADB655390 AMS655390:AMX655390 AWO655390:AWT655390 BGK655390:BGP655390 BQG655390:BQL655390 CAC655390:CAH655390 CJY655390:CKD655390 CTU655390:CTZ655390 DDQ655390:DDV655390 DNM655390:DNR655390 DXI655390:DXN655390 EHE655390:EHJ655390 ERA655390:ERF655390 FAW655390:FBB655390 FKS655390:FKX655390 FUO655390:FUT655390 GEK655390:GEP655390 GOG655390:GOL655390 GYC655390:GYH655390 HHY655390:HID655390 HRU655390:HRZ655390 IBQ655390:IBV655390 ILM655390:ILR655390 IVI655390:IVN655390 JFE655390:JFJ655390 JPA655390:JPF655390 JYW655390:JZB655390 KIS655390:KIX655390 KSO655390:KST655390 LCK655390:LCP655390 LMG655390:LML655390 LWC655390:LWH655390 MFY655390:MGD655390 MPU655390:MPZ655390 MZQ655390:MZV655390 NJM655390:NJR655390 NTI655390:NTN655390 ODE655390:ODJ655390 ONA655390:ONF655390 OWW655390:OXB655390 PGS655390:PGX655390 PQO655390:PQT655390 QAK655390:QAP655390 QKG655390:QKL655390 QUC655390:QUH655390 RDY655390:RED655390 RNU655390:RNZ655390 RXQ655390:RXV655390 SHM655390:SHR655390 SRI655390:SRN655390 TBE655390:TBJ655390 TLA655390:TLF655390 TUW655390:TVB655390 UES655390:UEX655390 UOO655390:UOT655390 UYK655390:UYP655390 VIG655390:VIL655390 VSC655390:VSH655390 WBY655390:WCD655390 WLU655390:WLZ655390 WVQ655390:WVV655390 I720926:N720926 JE720926:JJ720926 TA720926:TF720926 ACW720926:ADB720926 AMS720926:AMX720926 AWO720926:AWT720926 BGK720926:BGP720926 BQG720926:BQL720926 CAC720926:CAH720926 CJY720926:CKD720926 CTU720926:CTZ720926 DDQ720926:DDV720926 DNM720926:DNR720926 DXI720926:DXN720926 EHE720926:EHJ720926 ERA720926:ERF720926 FAW720926:FBB720926 FKS720926:FKX720926 FUO720926:FUT720926 GEK720926:GEP720926 GOG720926:GOL720926 GYC720926:GYH720926 HHY720926:HID720926 HRU720926:HRZ720926 IBQ720926:IBV720926 ILM720926:ILR720926 IVI720926:IVN720926 JFE720926:JFJ720926 JPA720926:JPF720926 JYW720926:JZB720926 KIS720926:KIX720926 KSO720926:KST720926 LCK720926:LCP720926 LMG720926:LML720926 LWC720926:LWH720926 MFY720926:MGD720926 MPU720926:MPZ720926 MZQ720926:MZV720926 NJM720926:NJR720926 NTI720926:NTN720926 ODE720926:ODJ720926 ONA720926:ONF720926 OWW720926:OXB720926 PGS720926:PGX720926 PQO720926:PQT720926 QAK720926:QAP720926 QKG720926:QKL720926 QUC720926:QUH720926 RDY720926:RED720926 RNU720926:RNZ720926 RXQ720926:RXV720926 SHM720926:SHR720926 SRI720926:SRN720926 TBE720926:TBJ720926 TLA720926:TLF720926 TUW720926:TVB720926 UES720926:UEX720926 UOO720926:UOT720926 UYK720926:UYP720926 VIG720926:VIL720926 VSC720926:VSH720926 WBY720926:WCD720926 WLU720926:WLZ720926 WVQ720926:WVV720926 I786462:N786462 JE786462:JJ786462 TA786462:TF786462 ACW786462:ADB786462 AMS786462:AMX786462 AWO786462:AWT786462 BGK786462:BGP786462 BQG786462:BQL786462 CAC786462:CAH786462 CJY786462:CKD786462 CTU786462:CTZ786462 DDQ786462:DDV786462 DNM786462:DNR786462 DXI786462:DXN786462 EHE786462:EHJ786462 ERA786462:ERF786462 FAW786462:FBB786462 FKS786462:FKX786462 FUO786462:FUT786462 GEK786462:GEP786462 GOG786462:GOL786462 GYC786462:GYH786462 HHY786462:HID786462 HRU786462:HRZ786462 IBQ786462:IBV786462 ILM786462:ILR786462 IVI786462:IVN786462 JFE786462:JFJ786462 JPA786462:JPF786462 JYW786462:JZB786462 KIS786462:KIX786462 KSO786462:KST786462 LCK786462:LCP786462 LMG786462:LML786462 LWC786462:LWH786462 MFY786462:MGD786462 MPU786462:MPZ786462 MZQ786462:MZV786462 NJM786462:NJR786462 NTI786462:NTN786462 ODE786462:ODJ786462 ONA786462:ONF786462 OWW786462:OXB786462 PGS786462:PGX786462 PQO786462:PQT786462 QAK786462:QAP786462 QKG786462:QKL786462 QUC786462:QUH786462 RDY786462:RED786462 RNU786462:RNZ786462 RXQ786462:RXV786462 SHM786462:SHR786462 SRI786462:SRN786462 TBE786462:TBJ786462 TLA786462:TLF786462 TUW786462:TVB786462 UES786462:UEX786462 UOO786462:UOT786462 UYK786462:UYP786462 VIG786462:VIL786462 VSC786462:VSH786462 WBY786462:WCD786462 WLU786462:WLZ786462 WVQ786462:WVV786462 I851998:N851998 JE851998:JJ851998 TA851998:TF851998 ACW851998:ADB851998 AMS851998:AMX851998 AWO851998:AWT851998 BGK851998:BGP851998 BQG851998:BQL851998 CAC851998:CAH851998 CJY851998:CKD851998 CTU851998:CTZ851998 DDQ851998:DDV851998 DNM851998:DNR851998 DXI851998:DXN851998 EHE851998:EHJ851998 ERA851998:ERF851998 FAW851998:FBB851998 FKS851998:FKX851998 FUO851998:FUT851998 GEK851998:GEP851998 GOG851998:GOL851998 GYC851998:GYH851998 HHY851998:HID851998 HRU851998:HRZ851998 IBQ851998:IBV851998 ILM851998:ILR851998 IVI851998:IVN851998 JFE851998:JFJ851998 JPA851998:JPF851998 JYW851998:JZB851998 KIS851998:KIX851998 KSO851998:KST851998 LCK851998:LCP851998 LMG851998:LML851998 LWC851998:LWH851998 MFY851998:MGD851998 MPU851998:MPZ851998 MZQ851998:MZV851998 NJM851998:NJR851998 NTI851998:NTN851998 ODE851998:ODJ851998 ONA851998:ONF851998 OWW851998:OXB851998 PGS851998:PGX851998 PQO851998:PQT851998 QAK851998:QAP851998 QKG851998:QKL851998 QUC851998:QUH851998 RDY851998:RED851998 RNU851998:RNZ851998 RXQ851998:RXV851998 SHM851998:SHR851998 SRI851998:SRN851998 TBE851998:TBJ851998 TLA851998:TLF851998 TUW851998:TVB851998 UES851998:UEX851998 UOO851998:UOT851998 UYK851998:UYP851998 VIG851998:VIL851998 VSC851998:VSH851998 WBY851998:WCD851998 WLU851998:WLZ851998 WVQ851998:WVV851998 I917534:N917534 JE917534:JJ917534 TA917534:TF917534 ACW917534:ADB917534 AMS917534:AMX917534 AWO917534:AWT917534 BGK917534:BGP917534 BQG917534:BQL917534 CAC917534:CAH917534 CJY917534:CKD917534 CTU917534:CTZ917534 DDQ917534:DDV917534 DNM917534:DNR917534 DXI917534:DXN917534 EHE917534:EHJ917534 ERA917534:ERF917534 FAW917534:FBB917534 FKS917534:FKX917534 FUO917534:FUT917534 GEK917534:GEP917534 GOG917534:GOL917534 GYC917534:GYH917534 HHY917534:HID917534 HRU917534:HRZ917534 IBQ917534:IBV917534 ILM917534:ILR917534 IVI917534:IVN917534 JFE917534:JFJ917534 JPA917534:JPF917534 JYW917534:JZB917534 KIS917534:KIX917534 KSO917534:KST917534 LCK917534:LCP917534 LMG917534:LML917534 LWC917534:LWH917534 MFY917534:MGD917534 MPU917534:MPZ917534 MZQ917534:MZV917534 NJM917534:NJR917534 NTI917534:NTN917534 ODE917534:ODJ917534 ONA917534:ONF917534 OWW917534:OXB917534 PGS917534:PGX917534 PQO917534:PQT917534 QAK917534:QAP917534 QKG917534:QKL917534 QUC917534:QUH917534 RDY917534:RED917534 RNU917534:RNZ917534 RXQ917534:RXV917534 SHM917534:SHR917534 SRI917534:SRN917534 TBE917534:TBJ917534 TLA917534:TLF917534 TUW917534:TVB917534 UES917534:UEX917534 UOO917534:UOT917534 UYK917534:UYP917534 VIG917534:VIL917534 VSC917534:VSH917534 WBY917534:WCD917534 WLU917534:WLZ917534 WVQ917534:WVV917534 I983070:N983070 JE983070:JJ983070 TA983070:TF983070 ACW983070:ADB983070 AMS983070:AMX983070 AWO983070:AWT983070 BGK983070:BGP983070 BQG983070:BQL983070 CAC983070:CAH983070 CJY983070:CKD983070 CTU983070:CTZ983070 DDQ983070:DDV983070 DNM983070:DNR983070 DXI983070:DXN983070 EHE983070:EHJ983070 ERA983070:ERF983070 FAW983070:FBB983070 FKS983070:FKX983070 FUO983070:FUT983070 GEK983070:GEP983070 GOG983070:GOL983070 GYC983070:GYH983070 HHY983070:HID983070 HRU983070:HRZ983070 IBQ983070:IBV983070 ILM983070:ILR983070 IVI983070:IVN983070 JFE983070:JFJ983070 JPA983070:JPF983070 JYW983070:JZB983070 KIS983070:KIX983070 KSO983070:KST983070 LCK983070:LCP983070 LMG983070:LML983070 LWC983070:LWH983070 MFY983070:MGD983070 MPU983070:MPZ983070 MZQ983070:MZV983070 NJM983070:NJR983070 NTI983070:NTN983070 ODE983070:ODJ983070 ONA983070:ONF983070 OWW983070:OXB983070 PGS983070:PGX983070 PQO983070:PQT983070 QAK983070:QAP983070 QKG983070:QKL983070 QUC983070:QUH983070 RDY983070:RED983070 RNU983070:RNZ983070 RXQ983070:RXV983070 SHM983070:SHR983070 SRI983070:SRN983070 TBE983070:TBJ983070 TLA983070:TLF983070 TUW983070:TVB983070 UES983070:UEX983070 UOO983070:UOT983070 UYK983070:UYP983070 VIG983070:VIL983070 VSC983070:VSH983070 WBY983070:WCD983070 WLU983070:WLZ983070 WVQ983070:WVV983070" xr:uid="{51BEEEDD-86C5-4142-A4B6-6CB5D38090FC}">
      <formula1>7.5</formula1>
    </dataValidation>
    <dataValidation type="list" allowBlank="1" showInputMessage="1" showErrorMessage="1" sqref="I28:N28 JE28:JJ28 TA28:TF28 ACW28:ADB28 AMS28:AMX28 AWO28:AWT28 BGK28:BGP28 BQG28:BQL28 CAC28:CAH28 CJY28:CKD28 CTU28:CTZ28 DDQ28:DDV28 DNM28:DNR28 DXI28:DXN28 EHE28:EHJ28 ERA28:ERF28 FAW28:FBB28 FKS28:FKX28 FUO28:FUT28 GEK28:GEP28 GOG28:GOL28 GYC28:GYH28 HHY28:HID28 HRU28:HRZ28 IBQ28:IBV28 ILM28:ILR28 IVI28:IVN28 JFE28:JFJ28 JPA28:JPF28 JYW28:JZB28 KIS28:KIX28 KSO28:KST28 LCK28:LCP28 LMG28:LML28 LWC28:LWH28 MFY28:MGD28 MPU28:MPZ28 MZQ28:MZV28 NJM28:NJR28 NTI28:NTN28 ODE28:ODJ28 ONA28:ONF28 OWW28:OXB28 PGS28:PGX28 PQO28:PQT28 QAK28:QAP28 QKG28:QKL28 QUC28:QUH28 RDY28:RED28 RNU28:RNZ28 RXQ28:RXV28 SHM28:SHR28 SRI28:SRN28 TBE28:TBJ28 TLA28:TLF28 TUW28:TVB28 UES28:UEX28 UOO28:UOT28 UYK28:UYP28 VIG28:VIL28 VSC28:VSH28 WBY28:WCD28 WLU28:WLZ28 WVQ28:WVV28 I65564:N65564 JE65564:JJ65564 TA65564:TF65564 ACW65564:ADB65564 AMS65564:AMX65564 AWO65564:AWT65564 BGK65564:BGP65564 BQG65564:BQL65564 CAC65564:CAH65564 CJY65564:CKD65564 CTU65564:CTZ65564 DDQ65564:DDV65564 DNM65564:DNR65564 DXI65564:DXN65564 EHE65564:EHJ65564 ERA65564:ERF65564 FAW65564:FBB65564 FKS65564:FKX65564 FUO65564:FUT65564 GEK65564:GEP65564 GOG65564:GOL65564 GYC65564:GYH65564 HHY65564:HID65564 HRU65564:HRZ65564 IBQ65564:IBV65564 ILM65564:ILR65564 IVI65564:IVN65564 JFE65564:JFJ65564 JPA65564:JPF65564 JYW65564:JZB65564 KIS65564:KIX65564 KSO65564:KST65564 LCK65564:LCP65564 LMG65564:LML65564 LWC65564:LWH65564 MFY65564:MGD65564 MPU65564:MPZ65564 MZQ65564:MZV65564 NJM65564:NJR65564 NTI65564:NTN65564 ODE65564:ODJ65564 ONA65564:ONF65564 OWW65564:OXB65564 PGS65564:PGX65564 PQO65564:PQT65564 QAK65564:QAP65564 QKG65564:QKL65564 QUC65564:QUH65564 RDY65564:RED65564 RNU65564:RNZ65564 RXQ65564:RXV65564 SHM65564:SHR65564 SRI65564:SRN65564 TBE65564:TBJ65564 TLA65564:TLF65564 TUW65564:TVB65564 UES65564:UEX65564 UOO65564:UOT65564 UYK65564:UYP65564 VIG65564:VIL65564 VSC65564:VSH65564 WBY65564:WCD65564 WLU65564:WLZ65564 WVQ65564:WVV65564 I131100:N131100 JE131100:JJ131100 TA131100:TF131100 ACW131100:ADB131100 AMS131100:AMX131100 AWO131100:AWT131100 BGK131100:BGP131100 BQG131100:BQL131100 CAC131100:CAH131100 CJY131100:CKD131100 CTU131100:CTZ131100 DDQ131100:DDV131100 DNM131100:DNR131100 DXI131100:DXN131100 EHE131100:EHJ131100 ERA131100:ERF131100 FAW131100:FBB131100 FKS131100:FKX131100 FUO131100:FUT131100 GEK131100:GEP131100 GOG131100:GOL131100 GYC131100:GYH131100 HHY131100:HID131100 HRU131100:HRZ131100 IBQ131100:IBV131100 ILM131100:ILR131100 IVI131100:IVN131100 JFE131100:JFJ131100 JPA131100:JPF131100 JYW131100:JZB131100 KIS131100:KIX131100 KSO131100:KST131100 LCK131100:LCP131100 LMG131100:LML131100 LWC131100:LWH131100 MFY131100:MGD131100 MPU131100:MPZ131100 MZQ131100:MZV131100 NJM131100:NJR131100 NTI131100:NTN131100 ODE131100:ODJ131100 ONA131100:ONF131100 OWW131100:OXB131100 PGS131100:PGX131100 PQO131100:PQT131100 QAK131100:QAP131100 QKG131100:QKL131100 QUC131100:QUH131100 RDY131100:RED131100 RNU131100:RNZ131100 RXQ131100:RXV131100 SHM131100:SHR131100 SRI131100:SRN131100 TBE131100:TBJ131100 TLA131100:TLF131100 TUW131100:TVB131100 UES131100:UEX131100 UOO131100:UOT131100 UYK131100:UYP131100 VIG131100:VIL131100 VSC131100:VSH131100 WBY131100:WCD131100 WLU131100:WLZ131100 WVQ131100:WVV131100 I196636:N196636 JE196636:JJ196636 TA196636:TF196636 ACW196636:ADB196636 AMS196636:AMX196636 AWO196636:AWT196636 BGK196636:BGP196636 BQG196636:BQL196636 CAC196636:CAH196636 CJY196636:CKD196636 CTU196636:CTZ196636 DDQ196636:DDV196636 DNM196636:DNR196636 DXI196636:DXN196636 EHE196636:EHJ196636 ERA196636:ERF196636 FAW196636:FBB196636 FKS196636:FKX196636 FUO196636:FUT196636 GEK196636:GEP196636 GOG196636:GOL196636 GYC196636:GYH196636 HHY196636:HID196636 HRU196636:HRZ196636 IBQ196636:IBV196636 ILM196636:ILR196636 IVI196636:IVN196636 JFE196636:JFJ196636 JPA196636:JPF196636 JYW196636:JZB196636 KIS196636:KIX196636 KSO196636:KST196636 LCK196636:LCP196636 LMG196636:LML196636 LWC196636:LWH196636 MFY196636:MGD196636 MPU196636:MPZ196636 MZQ196636:MZV196636 NJM196636:NJR196636 NTI196636:NTN196636 ODE196636:ODJ196636 ONA196636:ONF196636 OWW196636:OXB196636 PGS196636:PGX196636 PQO196636:PQT196636 QAK196636:QAP196636 QKG196636:QKL196636 QUC196636:QUH196636 RDY196636:RED196636 RNU196636:RNZ196636 RXQ196636:RXV196636 SHM196636:SHR196636 SRI196636:SRN196636 TBE196636:TBJ196636 TLA196636:TLF196636 TUW196636:TVB196636 UES196636:UEX196636 UOO196636:UOT196636 UYK196636:UYP196636 VIG196636:VIL196636 VSC196636:VSH196636 WBY196636:WCD196636 WLU196636:WLZ196636 WVQ196636:WVV196636 I262172:N262172 JE262172:JJ262172 TA262172:TF262172 ACW262172:ADB262172 AMS262172:AMX262172 AWO262172:AWT262172 BGK262172:BGP262172 BQG262172:BQL262172 CAC262172:CAH262172 CJY262172:CKD262172 CTU262172:CTZ262172 DDQ262172:DDV262172 DNM262172:DNR262172 DXI262172:DXN262172 EHE262172:EHJ262172 ERA262172:ERF262172 FAW262172:FBB262172 FKS262172:FKX262172 FUO262172:FUT262172 GEK262172:GEP262172 GOG262172:GOL262172 GYC262172:GYH262172 HHY262172:HID262172 HRU262172:HRZ262172 IBQ262172:IBV262172 ILM262172:ILR262172 IVI262172:IVN262172 JFE262172:JFJ262172 JPA262172:JPF262172 JYW262172:JZB262172 KIS262172:KIX262172 KSO262172:KST262172 LCK262172:LCP262172 LMG262172:LML262172 LWC262172:LWH262172 MFY262172:MGD262172 MPU262172:MPZ262172 MZQ262172:MZV262172 NJM262172:NJR262172 NTI262172:NTN262172 ODE262172:ODJ262172 ONA262172:ONF262172 OWW262172:OXB262172 PGS262172:PGX262172 PQO262172:PQT262172 QAK262172:QAP262172 QKG262172:QKL262172 QUC262172:QUH262172 RDY262172:RED262172 RNU262172:RNZ262172 RXQ262172:RXV262172 SHM262172:SHR262172 SRI262172:SRN262172 TBE262172:TBJ262172 TLA262172:TLF262172 TUW262172:TVB262172 UES262172:UEX262172 UOO262172:UOT262172 UYK262172:UYP262172 VIG262172:VIL262172 VSC262172:VSH262172 WBY262172:WCD262172 WLU262172:WLZ262172 WVQ262172:WVV262172 I327708:N327708 JE327708:JJ327708 TA327708:TF327708 ACW327708:ADB327708 AMS327708:AMX327708 AWO327708:AWT327708 BGK327708:BGP327708 BQG327708:BQL327708 CAC327708:CAH327708 CJY327708:CKD327708 CTU327708:CTZ327708 DDQ327708:DDV327708 DNM327708:DNR327708 DXI327708:DXN327708 EHE327708:EHJ327708 ERA327708:ERF327708 FAW327708:FBB327708 FKS327708:FKX327708 FUO327708:FUT327708 GEK327708:GEP327708 GOG327708:GOL327708 GYC327708:GYH327708 HHY327708:HID327708 HRU327708:HRZ327708 IBQ327708:IBV327708 ILM327708:ILR327708 IVI327708:IVN327708 JFE327708:JFJ327708 JPA327708:JPF327708 JYW327708:JZB327708 KIS327708:KIX327708 KSO327708:KST327708 LCK327708:LCP327708 LMG327708:LML327708 LWC327708:LWH327708 MFY327708:MGD327708 MPU327708:MPZ327708 MZQ327708:MZV327708 NJM327708:NJR327708 NTI327708:NTN327708 ODE327708:ODJ327708 ONA327708:ONF327708 OWW327708:OXB327708 PGS327708:PGX327708 PQO327708:PQT327708 QAK327708:QAP327708 QKG327708:QKL327708 QUC327708:QUH327708 RDY327708:RED327708 RNU327708:RNZ327708 RXQ327708:RXV327708 SHM327708:SHR327708 SRI327708:SRN327708 TBE327708:TBJ327708 TLA327708:TLF327708 TUW327708:TVB327708 UES327708:UEX327708 UOO327708:UOT327708 UYK327708:UYP327708 VIG327708:VIL327708 VSC327708:VSH327708 WBY327708:WCD327708 WLU327708:WLZ327708 WVQ327708:WVV327708 I393244:N393244 JE393244:JJ393244 TA393244:TF393244 ACW393244:ADB393244 AMS393244:AMX393244 AWO393244:AWT393244 BGK393244:BGP393244 BQG393244:BQL393244 CAC393244:CAH393244 CJY393244:CKD393244 CTU393244:CTZ393244 DDQ393244:DDV393244 DNM393244:DNR393244 DXI393244:DXN393244 EHE393244:EHJ393244 ERA393244:ERF393244 FAW393244:FBB393244 FKS393244:FKX393244 FUO393244:FUT393244 GEK393244:GEP393244 GOG393244:GOL393244 GYC393244:GYH393244 HHY393244:HID393244 HRU393244:HRZ393244 IBQ393244:IBV393244 ILM393244:ILR393244 IVI393244:IVN393244 JFE393244:JFJ393244 JPA393244:JPF393244 JYW393244:JZB393244 KIS393244:KIX393244 KSO393244:KST393244 LCK393244:LCP393244 LMG393244:LML393244 LWC393244:LWH393244 MFY393244:MGD393244 MPU393244:MPZ393244 MZQ393244:MZV393244 NJM393244:NJR393244 NTI393244:NTN393244 ODE393244:ODJ393244 ONA393244:ONF393244 OWW393244:OXB393244 PGS393244:PGX393244 PQO393244:PQT393244 QAK393244:QAP393244 QKG393244:QKL393244 QUC393244:QUH393244 RDY393244:RED393244 RNU393244:RNZ393244 RXQ393244:RXV393244 SHM393244:SHR393244 SRI393244:SRN393244 TBE393244:TBJ393244 TLA393244:TLF393244 TUW393244:TVB393244 UES393244:UEX393244 UOO393244:UOT393244 UYK393244:UYP393244 VIG393244:VIL393244 VSC393244:VSH393244 WBY393244:WCD393244 WLU393244:WLZ393244 WVQ393244:WVV393244 I458780:N458780 JE458780:JJ458780 TA458780:TF458780 ACW458780:ADB458780 AMS458780:AMX458780 AWO458780:AWT458780 BGK458780:BGP458780 BQG458780:BQL458780 CAC458780:CAH458780 CJY458780:CKD458780 CTU458780:CTZ458780 DDQ458780:DDV458780 DNM458780:DNR458780 DXI458780:DXN458780 EHE458780:EHJ458780 ERA458780:ERF458780 FAW458780:FBB458780 FKS458780:FKX458780 FUO458780:FUT458780 GEK458780:GEP458780 GOG458780:GOL458780 GYC458780:GYH458780 HHY458780:HID458780 HRU458780:HRZ458780 IBQ458780:IBV458780 ILM458780:ILR458780 IVI458780:IVN458780 JFE458780:JFJ458780 JPA458780:JPF458780 JYW458780:JZB458780 KIS458780:KIX458780 KSO458780:KST458780 LCK458780:LCP458780 LMG458780:LML458780 LWC458780:LWH458780 MFY458780:MGD458780 MPU458780:MPZ458780 MZQ458780:MZV458780 NJM458780:NJR458780 NTI458780:NTN458780 ODE458780:ODJ458780 ONA458780:ONF458780 OWW458780:OXB458780 PGS458780:PGX458780 PQO458780:PQT458780 QAK458780:QAP458780 QKG458780:QKL458780 QUC458780:QUH458780 RDY458780:RED458780 RNU458780:RNZ458780 RXQ458780:RXV458780 SHM458780:SHR458780 SRI458780:SRN458780 TBE458780:TBJ458780 TLA458780:TLF458780 TUW458780:TVB458780 UES458780:UEX458780 UOO458780:UOT458780 UYK458780:UYP458780 VIG458780:VIL458780 VSC458780:VSH458780 WBY458780:WCD458780 WLU458780:WLZ458780 WVQ458780:WVV458780 I524316:N524316 JE524316:JJ524316 TA524316:TF524316 ACW524316:ADB524316 AMS524316:AMX524316 AWO524316:AWT524316 BGK524316:BGP524316 BQG524316:BQL524316 CAC524316:CAH524316 CJY524316:CKD524316 CTU524316:CTZ524316 DDQ524316:DDV524316 DNM524316:DNR524316 DXI524316:DXN524316 EHE524316:EHJ524316 ERA524316:ERF524316 FAW524316:FBB524316 FKS524316:FKX524316 FUO524316:FUT524316 GEK524316:GEP524316 GOG524316:GOL524316 GYC524316:GYH524316 HHY524316:HID524316 HRU524316:HRZ524316 IBQ524316:IBV524316 ILM524316:ILR524316 IVI524316:IVN524316 JFE524316:JFJ524316 JPA524316:JPF524316 JYW524316:JZB524316 KIS524316:KIX524316 KSO524316:KST524316 LCK524316:LCP524316 LMG524316:LML524316 LWC524316:LWH524316 MFY524316:MGD524316 MPU524316:MPZ524316 MZQ524316:MZV524316 NJM524316:NJR524316 NTI524316:NTN524316 ODE524316:ODJ524316 ONA524316:ONF524316 OWW524316:OXB524316 PGS524316:PGX524316 PQO524316:PQT524316 QAK524316:QAP524316 QKG524316:QKL524316 QUC524316:QUH524316 RDY524316:RED524316 RNU524316:RNZ524316 RXQ524316:RXV524316 SHM524316:SHR524316 SRI524316:SRN524316 TBE524316:TBJ524316 TLA524316:TLF524316 TUW524316:TVB524316 UES524316:UEX524316 UOO524316:UOT524316 UYK524316:UYP524316 VIG524316:VIL524316 VSC524316:VSH524316 WBY524316:WCD524316 WLU524316:WLZ524316 WVQ524316:WVV524316 I589852:N589852 JE589852:JJ589852 TA589852:TF589852 ACW589852:ADB589852 AMS589852:AMX589852 AWO589852:AWT589852 BGK589852:BGP589852 BQG589852:BQL589852 CAC589852:CAH589852 CJY589852:CKD589852 CTU589852:CTZ589852 DDQ589852:DDV589852 DNM589852:DNR589852 DXI589852:DXN589852 EHE589852:EHJ589852 ERA589852:ERF589852 FAW589852:FBB589852 FKS589852:FKX589852 FUO589852:FUT589852 GEK589852:GEP589852 GOG589852:GOL589852 GYC589852:GYH589852 HHY589852:HID589852 HRU589852:HRZ589852 IBQ589852:IBV589852 ILM589852:ILR589852 IVI589852:IVN589852 JFE589852:JFJ589852 JPA589852:JPF589852 JYW589852:JZB589852 KIS589852:KIX589852 KSO589852:KST589852 LCK589852:LCP589852 LMG589852:LML589852 LWC589852:LWH589852 MFY589852:MGD589852 MPU589852:MPZ589852 MZQ589852:MZV589852 NJM589852:NJR589852 NTI589852:NTN589852 ODE589852:ODJ589852 ONA589852:ONF589852 OWW589852:OXB589852 PGS589852:PGX589852 PQO589852:PQT589852 QAK589852:QAP589852 QKG589852:QKL589852 QUC589852:QUH589852 RDY589852:RED589852 RNU589852:RNZ589852 RXQ589852:RXV589852 SHM589852:SHR589852 SRI589852:SRN589852 TBE589852:TBJ589852 TLA589852:TLF589852 TUW589852:TVB589852 UES589852:UEX589852 UOO589852:UOT589852 UYK589852:UYP589852 VIG589852:VIL589852 VSC589852:VSH589852 WBY589852:WCD589852 WLU589852:WLZ589852 WVQ589852:WVV589852 I655388:N655388 JE655388:JJ655388 TA655388:TF655388 ACW655388:ADB655388 AMS655388:AMX655388 AWO655388:AWT655388 BGK655388:BGP655388 BQG655388:BQL655388 CAC655388:CAH655388 CJY655388:CKD655388 CTU655388:CTZ655388 DDQ655388:DDV655388 DNM655388:DNR655388 DXI655388:DXN655388 EHE655388:EHJ655388 ERA655388:ERF655388 FAW655388:FBB655388 FKS655388:FKX655388 FUO655388:FUT655388 GEK655388:GEP655388 GOG655388:GOL655388 GYC655388:GYH655388 HHY655388:HID655388 HRU655388:HRZ655388 IBQ655388:IBV655388 ILM655388:ILR655388 IVI655388:IVN655388 JFE655388:JFJ655388 JPA655388:JPF655388 JYW655388:JZB655388 KIS655388:KIX655388 KSO655388:KST655388 LCK655388:LCP655388 LMG655388:LML655388 LWC655388:LWH655388 MFY655388:MGD655388 MPU655388:MPZ655388 MZQ655388:MZV655388 NJM655388:NJR655388 NTI655388:NTN655388 ODE655388:ODJ655388 ONA655388:ONF655388 OWW655388:OXB655388 PGS655388:PGX655388 PQO655388:PQT655388 QAK655388:QAP655388 QKG655388:QKL655388 QUC655388:QUH655388 RDY655388:RED655388 RNU655388:RNZ655388 RXQ655388:RXV655388 SHM655388:SHR655388 SRI655388:SRN655388 TBE655388:TBJ655388 TLA655388:TLF655388 TUW655388:TVB655388 UES655388:UEX655388 UOO655388:UOT655388 UYK655388:UYP655388 VIG655388:VIL655388 VSC655388:VSH655388 WBY655388:WCD655388 WLU655388:WLZ655388 WVQ655388:WVV655388 I720924:N720924 JE720924:JJ720924 TA720924:TF720924 ACW720924:ADB720924 AMS720924:AMX720924 AWO720924:AWT720924 BGK720924:BGP720924 BQG720924:BQL720924 CAC720924:CAH720924 CJY720924:CKD720924 CTU720924:CTZ720924 DDQ720924:DDV720924 DNM720924:DNR720924 DXI720924:DXN720924 EHE720924:EHJ720924 ERA720924:ERF720924 FAW720924:FBB720924 FKS720924:FKX720924 FUO720924:FUT720924 GEK720924:GEP720924 GOG720924:GOL720924 GYC720924:GYH720924 HHY720924:HID720924 HRU720924:HRZ720924 IBQ720924:IBV720924 ILM720924:ILR720924 IVI720924:IVN720924 JFE720924:JFJ720924 JPA720924:JPF720924 JYW720924:JZB720924 KIS720924:KIX720924 KSO720924:KST720924 LCK720924:LCP720924 LMG720924:LML720924 LWC720924:LWH720924 MFY720924:MGD720924 MPU720924:MPZ720924 MZQ720924:MZV720924 NJM720924:NJR720924 NTI720924:NTN720924 ODE720924:ODJ720924 ONA720924:ONF720924 OWW720924:OXB720924 PGS720924:PGX720924 PQO720924:PQT720924 QAK720924:QAP720924 QKG720924:QKL720924 QUC720924:QUH720924 RDY720924:RED720924 RNU720924:RNZ720924 RXQ720924:RXV720924 SHM720924:SHR720924 SRI720924:SRN720924 TBE720924:TBJ720924 TLA720924:TLF720924 TUW720924:TVB720924 UES720924:UEX720924 UOO720924:UOT720924 UYK720924:UYP720924 VIG720924:VIL720924 VSC720924:VSH720924 WBY720924:WCD720924 WLU720924:WLZ720924 WVQ720924:WVV720924 I786460:N786460 JE786460:JJ786460 TA786460:TF786460 ACW786460:ADB786460 AMS786460:AMX786460 AWO786460:AWT786460 BGK786460:BGP786460 BQG786460:BQL786460 CAC786460:CAH786460 CJY786460:CKD786460 CTU786460:CTZ786460 DDQ786460:DDV786460 DNM786460:DNR786460 DXI786460:DXN786460 EHE786460:EHJ786460 ERA786460:ERF786460 FAW786460:FBB786460 FKS786460:FKX786460 FUO786460:FUT786460 GEK786460:GEP786460 GOG786460:GOL786460 GYC786460:GYH786460 HHY786460:HID786460 HRU786460:HRZ786460 IBQ786460:IBV786460 ILM786460:ILR786460 IVI786460:IVN786460 JFE786460:JFJ786460 JPA786460:JPF786460 JYW786460:JZB786460 KIS786460:KIX786460 KSO786460:KST786460 LCK786460:LCP786460 LMG786460:LML786460 LWC786460:LWH786460 MFY786460:MGD786460 MPU786460:MPZ786460 MZQ786460:MZV786460 NJM786460:NJR786460 NTI786460:NTN786460 ODE786460:ODJ786460 ONA786460:ONF786460 OWW786460:OXB786460 PGS786460:PGX786460 PQO786460:PQT786460 QAK786460:QAP786460 QKG786460:QKL786460 QUC786460:QUH786460 RDY786460:RED786460 RNU786460:RNZ786460 RXQ786460:RXV786460 SHM786460:SHR786460 SRI786460:SRN786460 TBE786460:TBJ786460 TLA786460:TLF786460 TUW786460:TVB786460 UES786460:UEX786460 UOO786460:UOT786460 UYK786460:UYP786460 VIG786460:VIL786460 VSC786460:VSH786460 WBY786460:WCD786460 WLU786460:WLZ786460 WVQ786460:WVV786460 I851996:N851996 JE851996:JJ851996 TA851996:TF851996 ACW851996:ADB851996 AMS851996:AMX851996 AWO851996:AWT851996 BGK851996:BGP851996 BQG851996:BQL851996 CAC851996:CAH851996 CJY851996:CKD851996 CTU851996:CTZ851996 DDQ851996:DDV851996 DNM851996:DNR851996 DXI851996:DXN851996 EHE851996:EHJ851996 ERA851996:ERF851996 FAW851996:FBB851996 FKS851996:FKX851996 FUO851996:FUT851996 GEK851996:GEP851996 GOG851996:GOL851996 GYC851996:GYH851996 HHY851996:HID851996 HRU851996:HRZ851996 IBQ851996:IBV851996 ILM851996:ILR851996 IVI851996:IVN851996 JFE851996:JFJ851996 JPA851996:JPF851996 JYW851996:JZB851996 KIS851996:KIX851996 KSO851996:KST851996 LCK851996:LCP851996 LMG851996:LML851996 LWC851996:LWH851996 MFY851996:MGD851996 MPU851996:MPZ851996 MZQ851996:MZV851996 NJM851996:NJR851996 NTI851996:NTN851996 ODE851996:ODJ851996 ONA851996:ONF851996 OWW851996:OXB851996 PGS851996:PGX851996 PQO851996:PQT851996 QAK851996:QAP851996 QKG851996:QKL851996 QUC851996:QUH851996 RDY851996:RED851996 RNU851996:RNZ851996 RXQ851996:RXV851996 SHM851996:SHR851996 SRI851996:SRN851996 TBE851996:TBJ851996 TLA851996:TLF851996 TUW851996:TVB851996 UES851996:UEX851996 UOO851996:UOT851996 UYK851996:UYP851996 VIG851996:VIL851996 VSC851996:VSH851996 WBY851996:WCD851996 WLU851996:WLZ851996 WVQ851996:WVV851996 I917532:N917532 JE917532:JJ917532 TA917532:TF917532 ACW917532:ADB917532 AMS917532:AMX917532 AWO917532:AWT917532 BGK917532:BGP917532 BQG917532:BQL917532 CAC917532:CAH917532 CJY917532:CKD917532 CTU917532:CTZ917532 DDQ917532:DDV917532 DNM917532:DNR917532 DXI917532:DXN917532 EHE917532:EHJ917532 ERA917532:ERF917532 FAW917532:FBB917532 FKS917532:FKX917532 FUO917532:FUT917532 GEK917532:GEP917532 GOG917532:GOL917532 GYC917532:GYH917532 HHY917532:HID917532 HRU917532:HRZ917532 IBQ917532:IBV917532 ILM917532:ILR917532 IVI917532:IVN917532 JFE917532:JFJ917532 JPA917532:JPF917532 JYW917532:JZB917532 KIS917532:KIX917532 KSO917532:KST917532 LCK917532:LCP917532 LMG917532:LML917532 LWC917532:LWH917532 MFY917532:MGD917532 MPU917532:MPZ917532 MZQ917532:MZV917532 NJM917532:NJR917532 NTI917532:NTN917532 ODE917532:ODJ917532 ONA917532:ONF917532 OWW917532:OXB917532 PGS917532:PGX917532 PQO917532:PQT917532 QAK917532:QAP917532 QKG917532:QKL917532 QUC917532:QUH917532 RDY917532:RED917532 RNU917532:RNZ917532 RXQ917532:RXV917532 SHM917532:SHR917532 SRI917532:SRN917532 TBE917532:TBJ917532 TLA917532:TLF917532 TUW917532:TVB917532 UES917532:UEX917532 UOO917532:UOT917532 UYK917532:UYP917532 VIG917532:VIL917532 VSC917532:VSH917532 WBY917532:WCD917532 WLU917532:WLZ917532 WVQ917532:WVV917532 I983068:N983068 JE983068:JJ983068 TA983068:TF983068 ACW983068:ADB983068 AMS983068:AMX983068 AWO983068:AWT983068 BGK983068:BGP983068 BQG983068:BQL983068 CAC983068:CAH983068 CJY983068:CKD983068 CTU983068:CTZ983068 DDQ983068:DDV983068 DNM983068:DNR983068 DXI983068:DXN983068 EHE983068:EHJ983068 ERA983068:ERF983068 FAW983068:FBB983068 FKS983068:FKX983068 FUO983068:FUT983068 GEK983068:GEP983068 GOG983068:GOL983068 GYC983068:GYH983068 HHY983068:HID983068 HRU983068:HRZ983068 IBQ983068:IBV983068 ILM983068:ILR983068 IVI983068:IVN983068 JFE983068:JFJ983068 JPA983068:JPF983068 JYW983068:JZB983068 KIS983068:KIX983068 KSO983068:KST983068 LCK983068:LCP983068 LMG983068:LML983068 LWC983068:LWH983068 MFY983068:MGD983068 MPU983068:MPZ983068 MZQ983068:MZV983068 NJM983068:NJR983068 NTI983068:NTN983068 ODE983068:ODJ983068 ONA983068:ONF983068 OWW983068:OXB983068 PGS983068:PGX983068 PQO983068:PQT983068 QAK983068:QAP983068 QKG983068:QKL983068 QUC983068:QUH983068 RDY983068:RED983068 RNU983068:RNZ983068 RXQ983068:RXV983068 SHM983068:SHR983068 SRI983068:SRN983068 TBE983068:TBJ983068 TLA983068:TLF983068 TUW983068:TVB983068 UES983068:UEX983068 UOO983068:UOT983068 UYK983068:UYP983068 VIG983068:VIL983068 VSC983068:VSH983068 WBY983068:WCD983068 WLU983068:WLZ983068 WVQ983068:WVV983068 I22:N22 JE22:JJ22 TA22:TF22 ACW22:ADB22 AMS22:AMX22 AWO22:AWT22 BGK22:BGP22 BQG22:BQL22 CAC22:CAH22 CJY22:CKD22 CTU22:CTZ22 DDQ22:DDV22 DNM22:DNR22 DXI22:DXN22 EHE22:EHJ22 ERA22:ERF22 FAW22:FBB22 FKS22:FKX22 FUO22:FUT22 GEK22:GEP22 GOG22:GOL22 GYC22:GYH22 HHY22:HID22 HRU22:HRZ22 IBQ22:IBV22 ILM22:ILR22 IVI22:IVN22 JFE22:JFJ22 JPA22:JPF22 JYW22:JZB22 KIS22:KIX22 KSO22:KST22 LCK22:LCP22 LMG22:LML22 LWC22:LWH22 MFY22:MGD22 MPU22:MPZ22 MZQ22:MZV22 NJM22:NJR22 NTI22:NTN22 ODE22:ODJ22 ONA22:ONF22 OWW22:OXB22 PGS22:PGX22 PQO22:PQT22 QAK22:QAP22 QKG22:QKL22 QUC22:QUH22 RDY22:RED22 RNU22:RNZ22 RXQ22:RXV22 SHM22:SHR22 SRI22:SRN22 TBE22:TBJ22 TLA22:TLF22 TUW22:TVB22 UES22:UEX22 UOO22:UOT22 UYK22:UYP22 VIG22:VIL22 VSC22:VSH22 WBY22:WCD22 WLU22:WLZ22 WVQ22:WVV22 I65560:N65560 JE65560:JJ65560 TA65560:TF65560 ACW65560:ADB65560 AMS65560:AMX65560 AWO65560:AWT65560 BGK65560:BGP65560 BQG65560:BQL65560 CAC65560:CAH65560 CJY65560:CKD65560 CTU65560:CTZ65560 DDQ65560:DDV65560 DNM65560:DNR65560 DXI65560:DXN65560 EHE65560:EHJ65560 ERA65560:ERF65560 FAW65560:FBB65560 FKS65560:FKX65560 FUO65560:FUT65560 GEK65560:GEP65560 GOG65560:GOL65560 GYC65560:GYH65560 HHY65560:HID65560 HRU65560:HRZ65560 IBQ65560:IBV65560 ILM65560:ILR65560 IVI65560:IVN65560 JFE65560:JFJ65560 JPA65560:JPF65560 JYW65560:JZB65560 KIS65560:KIX65560 KSO65560:KST65560 LCK65560:LCP65560 LMG65560:LML65560 LWC65560:LWH65560 MFY65560:MGD65560 MPU65560:MPZ65560 MZQ65560:MZV65560 NJM65560:NJR65560 NTI65560:NTN65560 ODE65560:ODJ65560 ONA65560:ONF65560 OWW65560:OXB65560 PGS65560:PGX65560 PQO65560:PQT65560 QAK65560:QAP65560 QKG65560:QKL65560 QUC65560:QUH65560 RDY65560:RED65560 RNU65560:RNZ65560 RXQ65560:RXV65560 SHM65560:SHR65560 SRI65560:SRN65560 TBE65560:TBJ65560 TLA65560:TLF65560 TUW65560:TVB65560 UES65560:UEX65560 UOO65560:UOT65560 UYK65560:UYP65560 VIG65560:VIL65560 VSC65560:VSH65560 WBY65560:WCD65560 WLU65560:WLZ65560 WVQ65560:WVV65560 I131096:N131096 JE131096:JJ131096 TA131096:TF131096 ACW131096:ADB131096 AMS131096:AMX131096 AWO131096:AWT131096 BGK131096:BGP131096 BQG131096:BQL131096 CAC131096:CAH131096 CJY131096:CKD131096 CTU131096:CTZ131096 DDQ131096:DDV131096 DNM131096:DNR131096 DXI131096:DXN131096 EHE131096:EHJ131096 ERA131096:ERF131096 FAW131096:FBB131096 FKS131096:FKX131096 FUO131096:FUT131096 GEK131096:GEP131096 GOG131096:GOL131096 GYC131096:GYH131096 HHY131096:HID131096 HRU131096:HRZ131096 IBQ131096:IBV131096 ILM131096:ILR131096 IVI131096:IVN131096 JFE131096:JFJ131096 JPA131096:JPF131096 JYW131096:JZB131096 KIS131096:KIX131096 KSO131096:KST131096 LCK131096:LCP131096 LMG131096:LML131096 LWC131096:LWH131096 MFY131096:MGD131096 MPU131096:MPZ131096 MZQ131096:MZV131096 NJM131096:NJR131096 NTI131096:NTN131096 ODE131096:ODJ131096 ONA131096:ONF131096 OWW131096:OXB131096 PGS131096:PGX131096 PQO131096:PQT131096 QAK131096:QAP131096 QKG131096:QKL131096 QUC131096:QUH131096 RDY131096:RED131096 RNU131096:RNZ131096 RXQ131096:RXV131096 SHM131096:SHR131096 SRI131096:SRN131096 TBE131096:TBJ131096 TLA131096:TLF131096 TUW131096:TVB131096 UES131096:UEX131096 UOO131096:UOT131096 UYK131096:UYP131096 VIG131096:VIL131096 VSC131096:VSH131096 WBY131096:WCD131096 WLU131096:WLZ131096 WVQ131096:WVV131096 I196632:N196632 JE196632:JJ196632 TA196632:TF196632 ACW196632:ADB196632 AMS196632:AMX196632 AWO196632:AWT196632 BGK196632:BGP196632 BQG196632:BQL196632 CAC196632:CAH196632 CJY196632:CKD196632 CTU196632:CTZ196632 DDQ196632:DDV196632 DNM196632:DNR196632 DXI196632:DXN196632 EHE196632:EHJ196632 ERA196632:ERF196632 FAW196632:FBB196632 FKS196632:FKX196632 FUO196632:FUT196632 GEK196632:GEP196632 GOG196632:GOL196632 GYC196632:GYH196632 HHY196632:HID196632 HRU196632:HRZ196632 IBQ196632:IBV196632 ILM196632:ILR196632 IVI196632:IVN196632 JFE196632:JFJ196632 JPA196632:JPF196632 JYW196632:JZB196632 KIS196632:KIX196632 KSO196632:KST196632 LCK196632:LCP196632 LMG196632:LML196632 LWC196632:LWH196632 MFY196632:MGD196632 MPU196632:MPZ196632 MZQ196632:MZV196632 NJM196632:NJR196632 NTI196632:NTN196632 ODE196632:ODJ196632 ONA196632:ONF196632 OWW196632:OXB196632 PGS196632:PGX196632 PQO196632:PQT196632 QAK196632:QAP196632 QKG196632:QKL196632 QUC196632:QUH196632 RDY196632:RED196632 RNU196632:RNZ196632 RXQ196632:RXV196632 SHM196632:SHR196632 SRI196632:SRN196632 TBE196632:TBJ196632 TLA196632:TLF196632 TUW196632:TVB196632 UES196632:UEX196632 UOO196632:UOT196632 UYK196632:UYP196632 VIG196632:VIL196632 VSC196632:VSH196632 WBY196632:WCD196632 WLU196632:WLZ196632 WVQ196632:WVV196632 I262168:N262168 JE262168:JJ262168 TA262168:TF262168 ACW262168:ADB262168 AMS262168:AMX262168 AWO262168:AWT262168 BGK262168:BGP262168 BQG262168:BQL262168 CAC262168:CAH262168 CJY262168:CKD262168 CTU262168:CTZ262168 DDQ262168:DDV262168 DNM262168:DNR262168 DXI262168:DXN262168 EHE262168:EHJ262168 ERA262168:ERF262168 FAW262168:FBB262168 FKS262168:FKX262168 FUO262168:FUT262168 GEK262168:GEP262168 GOG262168:GOL262168 GYC262168:GYH262168 HHY262168:HID262168 HRU262168:HRZ262168 IBQ262168:IBV262168 ILM262168:ILR262168 IVI262168:IVN262168 JFE262168:JFJ262168 JPA262168:JPF262168 JYW262168:JZB262168 KIS262168:KIX262168 KSO262168:KST262168 LCK262168:LCP262168 LMG262168:LML262168 LWC262168:LWH262168 MFY262168:MGD262168 MPU262168:MPZ262168 MZQ262168:MZV262168 NJM262168:NJR262168 NTI262168:NTN262168 ODE262168:ODJ262168 ONA262168:ONF262168 OWW262168:OXB262168 PGS262168:PGX262168 PQO262168:PQT262168 QAK262168:QAP262168 QKG262168:QKL262168 QUC262168:QUH262168 RDY262168:RED262168 RNU262168:RNZ262168 RXQ262168:RXV262168 SHM262168:SHR262168 SRI262168:SRN262168 TBE262168:TBJ262168 TLA262168:TLF262168 TUW262168:TVB262168 UES262168:UEX262168 UOO262168:UOT262168 UYK262168:UYP262168 VIG262168:VIL262168 VSC262168:VSH262168 WBY262168:WCD262168 WLU262168:WLZ262168 WVQ262168:WVV262168 I327704:N327704 JE327704:JJ327704 TA327704:TF327704 ACW327704:ADB327704 AMS327704:AMX327704 AWO327704:AWT327704 BGK327704:BGP327704 BQG327704:BQL327704 CAC327704:CAH327704 CJY327704:CKD327704 CTU327704:CTZ327704 DDQ327704:DDV327704 DNM327704:DNR327704 DXI327704:DXN327704 EHE327704:EHJ327704 ERA327704:ERF327704 FAW327704:FBB327704 FKS327704:FKX327704 FUO327704:FUT327704 GEK327704:GEP327704 GOG327704:GOL327704 GYC327704:GYH327704 HHY327704:HID327704 HRU327704:HRZ327704 IBQ327704:IBV327704 ILM327704:ILR327704 IVI327704:IVN327704 JFE327704:JFJ327704 JPA327704:JPF327704 JYW327704:JZB327704 KIS327704:KIX327704 KSO327704:KST327704 LCK327704:LCP327704 LMG327704:LML327704 LWC327704:LWH327704 MFY327704:MGD327704 MPU327704:MPZ327704 MZQ327704:MZV327704 NJM327704:NJR327704 NTI327704:NTN327704 ODE327704:ODJ327704 ONA327704:ONF327704 OWW327704:OXB327704 PGS327704:PGX327704 PQO327704:PQT327704 QAK327704:QAP327704 QKG327704:QKL327704 QUC327704:QUH327704 RDY327704:RED327704 RNU327704:RNZ327704 RXQ327704:RXV327704 SHM327704:SHR327704 SRI327704:SRN327704 TBE327704:TBJ327704 TLA327704:TLF327704 TUW327704:TVB327704 UES327704:UEX327704 UOO327704:UOT327704 UYK327704:UYP327704 VIG327704:VIL327704 VSC327704:VSH327704 WBY327704:WCD327704 WLU327704:WLZ327704 WVQ327704:WVV327704 I393240:N393240 JE393240:JJ393240 TA393240:TF393240 ACW393240:ADB393240 AMS393240:AMX393240 AWO393240:AWT393240 BGK393240:BGP393240 BQG393240:BQL393240 CAC393240:CAH393240 CJY393240:CKD393240 CTU393240:CTZ393240 DDQ393240:DDV393240 DNM393240:DNR393240 DXI393240:DXN393240 EHE393240:EHJ393240 ERA393240:ERF393240 FAW393240:FBB393240 FKS393240:FKX393240 FUO393240:FUT393240 GEK393240:GEP393240 GOG393240:GOL393240 GYC393240:GYH393240 HHY393240:HID393240 HRU393240:HRZ393240 IBQ393240:IBV393240 ILM393240:ILR393240 IVI393240:IVN393240 JFE393240:JFJ393240 JPA393240:JPF393240 JYW393240:JZB393240 KIS393240:KIX393240 KSO393240:KST393240 LCK393240:LCP393240 LMG393240:LML393240 LWC393240:LWH393240 MFY393240:MGD393240 MPU393240:MPZ393240 MZQ393240:MZV393240 NJM393240:NJR393240 NTI393240:NTN393240 ODE393240:ODJ393240 ONA393240:ONF393240 OWW393240:OXB393240 PGS393240:PGX393240 PQO393240:PQT393240 QAK393240:QAP393240 QKG393240:QKL393240 QUC393240:QUH393240 RDY393240:RED393240 RNU393240:RNZ393240 RXQ393240:RXV393240 SHM393240:SHR393240 SRI393240:SRN393240 TBE393240:TBJ393240 TLA393240:TLF393240 TUW393240:TVB393240 UES393240:UEX393240 UOO393240:UOT393240 UYK393240:UYP393240 VIG393240:VIL393240 VSC393240:VSH393240 WBY393240:WCD393240 WLU393240:WLZ393240 WVQ393240:WVV393240 I458776:N458776 JE458776:JJ458776 TA458776:TF458776 ACW458776:ADB458776 AMS458776:AMX458776 AWO458776:AWT458776 BGK458776:BGP458776 BQG458776:BQL458776 CAC458776:CAH458776 CJY458776:CKD458776 CTU458776:CTZ458776 DDQ458776:DDV458776 DNM458776:DNR458776 DXI458776:DXN458776 EHE458776:EHJ458776 ERA458776:ERF458776 FAW458776:FBB458776 FKS458776:FKX458776 FUO458776:FUT458776 GEK458776:GEP458776 GOG458776:GOL458776 GYC458776:GYH458776 HHY458776:HID458776 HRU458776:HRZ458776 IBQ458776:IBV458776 ILM458776:ILR458776 IVI458776:IVN458776 JFE458776:JFJ458776 JPA458776:JPF458776 JYW458776:JZB458776 KIS458776:KIX458776 KSO458776:KST458776 LCK458776:LCP458776 LMG458776:LML458776 LWC458776:LWH458776 MFY458776:MGD458776 MPU458776:MPZ458776 MZQ458776:MZV458776 NJM458776:NJR458776 NTI458776:NTN458776 ODE458776:ODJ458776 ONA458776:ONF458776 OWW458776:OXB458776 PGS458776:PGX458776 PQO458776:PQT458776 QAK458776:QAP458776 QKG458776:QKL458776 QUC458776:QUH458776 RDY458776:RED458776 RNU458776:RNZ458776 RXQ458776:RXV458776 SHM458776:SHR458776 SRI458776:SRN458776 TBE458776:TBJ458776 TLA458776:TLF458776 TUW458776:TVB458776 UES458776:UEX458776 UOO458776:UOT458776 UYK458776:UYP458776 VIG458776:VIL458776 VSC458776:VSH458776 WBY458776:WCD458776 WLU458776:WLZ458776 WVQ458776:WVV458776 I524312:N524312 JE524312:JJ524312 TA524312:TF524312 ACW524312:ADB524312 AMS524312:AMX524312 AWO524312:AWT524312 BGK524312:BGP524312 BQG524312:BQL524312 CAC524312:CAH524312 CJY524312:CKD524312 CTU524312:CTZ524312 DDQ524312:DDV524312 DNM524312:DNR524312 DXI524312:DXN524312 EHE524312:EHJ524312 ERA524312:ERF524312 FAW524312:FBB524312 FKS524312:FKX524312 FUO524312:FUT524312 GEK524312:GEP524312 GOG524312:GOL524312 GYC524312:GYH524312 HHY524312:HID524312 HRU524312:HRZ524312 IBQ524312:IBV524312 ILM524312:ILR524312 IVI524312:IVN524312 JFE524312:JFJ524312 JPA524312:JPF524312 JYW524312:JZB524312 KIS524312:KIX524312 KSO524312:KST524312 LCK524312:LCP524312 LMG524312:LML524312 LWC524312:LWH524312 MFY524312:MGD524312 MPU524312:MPZ524312 MZQ524312:MZV524312 NJM524312:NJR524312 NTI524312:NTN524312 ODE524312:ODJ524312 ONA524312:ONF524312 OWW524312:OXB524312 PGS524312:PGX524312 PQO524312:PQT524312 QAK524312:QAP524312 QKG524312:QKL524312 QUC524312:QUH524312 RDY524312:RED524312 RNU524312:RNZ524312 RXQ524312:RXV524312 SHM524312:SHR524312 SRI524312:SRN524312 TBE524312:TBJ524312 TLA524312:TLF524312 TUW524312:TVB524312 UES524312:UEX524312 UOO524312:UOT524312 UYK524312:UYP524312 VIG524312:VIL524312 VSC524312:VSH524312 WBY524312:WCD524312 WLU524312:WLZ524312 WVQ524312:WVV524312 I589848:N589848 JE589848:JJ589848 TA589848:TF589848 ACW589848:ADB589848 AMS589848:AMX589848 AWO589848:AWT589848 BGK589848:BGP589848 BQG589848:BQL589848 CAC589848:CAH589848 CJY589848:CKD589848 CTU589848:CTZ589848 DDQ589848:DDV589848 DNM589848:DNR589848 DXI589848:DXN589848 EHE589848:EHJ589848 ERA589848:ERF589848 FAW589848:FBB589848 FKS589848:FKX589848 FUO589848:FUT589848 GEK589848:GEP589848 GOG589848:GOL589848 GYC589848:GYH589848 HHY589848:HID589848 HRU589848:HRZ589848 IBQ589848:IBV589848 ILM589848:ILR589848 IVI589848:IVN589848 JFE589848:JFJ589848 JPA589848:JPF589848 JYW589848:JZB589848 KIS589848:KIX589848 KSO589848:KST589848 LCK589848:LCP589848 LMG589848:LML589848 LWC589848:LWH589848 MFY589848:MGD589848 MPU589848:MPZ589848 MZQ589848:MZV589848 NJM589848:NJR589848 NTI589848:NTN589848 ODE589848:ODJ589848 ONA589848:ONF589848 OWW589848:OXB589848 PGS589848:PGX589848 PQO589848:PQT589848 QAK589848:QAP589848 QKG589848:QKL589848 QUC589848:QUH589848 RDY589848:RED589848 RNU589848:RNZ589848 RXQ589848:RXV589848 SHM589848:SHR589848 SRI589848:SRN589848 TBE589848:TBJ589848 TLA589848:TLF589848 TUW589848:TVB589848 UES589848:UEX589848 UOO589848:UOT589848 UYK589848:UYP589848 VIG589848:VIL589848 VSC589848:VSH589848 WBY589848:WCD589848 WLU589848:WLZ589848 WVQ589848:WVV589848 I655384:N655384 JE655384:JJ655384 TA655384:TF655384 ACW655384:ADB655384 AMS655384:AMX655384 AWO655384:AWT655384 BGK655384:BGP655384 BQG655384:BQL655384 CAC655384:CAH655384 CJY655384:CKD655384 CTU655384:CTZ655384 DDQ655384:DDV655384 DNM655384:DNR655384 DXI655384:DXN655384 EHE655384:EHJ655384 ERA655384:ERF655384 FAW655384:FBB655384 FKS655384:FKX655384 FUO655384:FUT655384 GEK655384:GEP655384 GOG655384:GOL655384 GYC655384:GYH655384 HHY655384:HID655384 HRU655384:HRZ655384 IBQ655384:IBV655384 ILM655384:ILR655384 IVI655384:IVN655384 JFE655384:JFJ655384 JPA655384:JPF655384 JYW655384:JZB655384 KIS655384:KIX655384 KSO655384:KST655384 LCK655384:LCP655384 LMG655384:LML655384 LWC655384:LWH655384 MFY655384:MGD655384 MPU655384:MPZ655384 MZQ655384:MZV655384 NJM655384:NJR655384 NTI655384:NTN655384 ODE655384:ODJ655384 ONA655384:ONF655384 OWW655384:OXB655384 PGS655384:PGX655384 PQO655384:PQT655384 QAK655384:QAP655384 QKG655384:QKL655384 QUC655384:QUH655384 RDY655384:RED655384 RNU655384:RNZ655384 RXQ655384:RXV655384 SHM655384:SHR655384 SRI655384:SRN655384 TBE655384:TBJ655384 TLA655384:TLF655384 TUW655384:TVB655384 UES655384:UEX655384 UOO655384:UOT655384 UYK655384:UYP655384 VIG655384:VIL655384 VSC655384:VSH655384 WBY655384:WCD655384 WLU655384:WLZ655384 WVQ655384:WVV655384 I720920:N720920 JE720920:JJ720920 TA720920:TF720920 ACW720920:ADB720920 AMS720920:AMX720920 AWO720920:AWT720920 BGK720920:BGP720920 BQG720920:BQL720920 CAC720920:CAH720920 CJY720920:CKD720920 CTU720920:CTZ720920 DDQ720920:DDV720920 DNM720920:DNR720920 DXI720920:DXN720920 EHE720920:EHJ720920 ERA720920:ERF720920 FAW720920:FBB720920 FKS720920:FKX720920 FUO720920:FUT720920 GEK720920:GEP720920 GOG720920:GOL720920 GYC720920:GYH720920 HHY720920:HID720920 HRU720920:HRZ720920 IBQ720920:IBV720920 ILM720920:ILR720920 IVI720920:IVN720920 JFE720920:JFJ720920 JPA720920:JPF720920 JYW720920:JZB720920 KIS720920:KIX720920 KSO720920:KST720920 LCK720920:LCP720920 LMG720920:LML720920 LWC720920:LWH720920 MFY720920:MGD720920 MPU720920:MPZ720920 MZQ720920:MZV720920 NJM720920:NJR720920 NTI720920:NTN720920 ODE720920:ODJ720920 ONA720920:ONF720920 OWW720920:OXB720920 PGS720920:PGX720920 PQO720920:PQT720920 QAK720920:QAP720920 QKG720920:QKL720920 QUC720920:QUH720920 RDY720920:RED720920 RNU720920:RNZ720920 RXQ720920:RXV720920 SHM720920:SHR720920 SRI720920:SRN720920 TBE720920:TBJ720920 TLA720920:TLF720920 TUW720920:TVB720920 UES720920:UEX720920 UOO720920:UOT720920 UYK720920:UYP720920 VIG720920:VIL720920 VSC720920:VSH720920 WBY720920:WCD720920 WLU720920:WLZ720920 WVQ720920:WVV720920 I786456:N786456 JE786456:JJ786456 TA786456:TF786456 ACW786456:ADB786456 AMS786456:AMX786456 AWO786456:AWT786456 BGK786456:BGP786456 BQG786456:BQL786456 CAC786456:CAH786456 CJY786456:CKD786456 CTU786456:CTZ786456 DDQ786456:DDV786456 DNM786456:DNR786456 DXI786456:DXN786456 EHE786456:EHJ786456 ERA786456:ERF786456 FAW786456:FBB786456 FKS786456:FKX786456 FUO786456:FUT786456 GEK786456:GEP786456 GOG786456:GOL786456 GYC786456:GYH786456 HHY786456:HID786456 HRU786456:HRZ786456 IBQ786456:IBV786456 ILM786456:ILR786456 IVI786456:IVN786456 JFE786456:JFJ786456 JPA786456:JPF786456 JYW786456:JZB786456 KIS786456:KIX786456 KSO786456:KST786456 LCK786456:LCP786456 LMG786456:LML786456 LWC786456:LWH786456 MFY786456:MGD786456 MPU786456:MPZ786456 MZQ786456:MZV786456 NJM786456:NJR786456 NTI786456:NTN786456 ODE786456:ODJ786456 ONA786456:ONF786456 OWW786456:OXB786456 PGS786456:PGX786456 PQO786456:PQT786456 QAK786456:QAP786456 QKG786456:QKL786456 QUC786456:QUH786456 RDY786456:RED786456 RNU786456:RNZ786456 RXQ786456:RXV786456 SHM786456:SHR786456 SRI786456:SRN786456 TBE786456:TBJ786456 TLA786456:TLF786456 TUW786456:TVB786456 UES786456:UEX786456 UOO786456:UOT786456 UYK786456:UYP786456 VIG786456:VIL786456 VSC786456:VSH786456 WBY786456:WCD786456 WLU786456:WLZ786456 WVQ786456:WVV786456 I851992:N851992 JE851992:JJ851992 TA851992:TF851992 ACW851992:ADB851992 AMS851992:AMX851992 AWO851992:AWT851992 BGK851992:BGP851992 BQG851992:BQL851992 CAC851992:CAH851992 CJY851992:CKD851992 CTU851992:CTZ851992 DDQ851992:DDV851992 DNM851992:DNR851992 DXI851992:DXN851992 EHE851992:EHJ851992 ERA851992:ERF851992 FAW851992:FBB851992 FKS851992:FKX851992 FUO851992:FUT851992 GEK851992:GEP851992 GOG851992:GOL851992 GYC851992:GYH851992 HHY851992:HID851992 HRU851992:HRZ851992 IBQ851992:IBV851992 ILM851992:ILR851992 IVI851992:IVN851992 JFE851992:JFJ851992 JPA851992:JPF851992 JYW851992:JZB851992 KIS851992:KIX851992 KSO851992:KST851992 LCK851992:LCP851992 LMG851992:LML851992 LWC851992:LWH851992 MFY851992:MGD851992 MPU851992:MPZ851992 MZQ851992:MZV851992 NJM851992:NJR851992 NTI851992:NTN851992 ODE851992:ODJ851992 ONA851992:ONF851992 OWW851992:OXB851992 PGS851992:PGX851992 PQO851992:PQT851992 QAK851992:QAP851992 QKG851992:QKL851992 QUC851992:QUH851992 RDY851992:RED851992 RNU851992:RNZ851992 RXQ851992:RXV851992 SHM851992:SHR851992 SRI851992:SRN851992 TBE851992:TBJ851992 TLA851992:TLF851992 TUW851992:TVB851992 UES851992:UEX851992 UOO851992:UOT851992 UYK851992:UYP851992 VIG851992:VIL851992 VSC851992:VSH851992 WBY851992:WCD851992 WLU851992:WLZ851992 WVQ851992:WVV851992 I917528:N917528 JE917528:JJ917528 TA917528:TF917528 ACW917528:ADB917528 AMS917528:AMX917528 AWO917528:AWT917528 BGK917528:BGP917528 BQG917528:BQL917528 CAC917528:CAH917528 CJY917528:CKD917528 CTU917528:CTZ917528 DDQ917528:DDV917528 DNM917528:DNR917528 DXI917528:DXN917528 EHE917528:EHJ917528 ERA917528:ERF917528 FAW917528:FBB917528 FKS917528:FKX917528 FUO917528:FUT917528 GEK917528:GEP917528 GOG917528:GOL917528 GYC917528:GYH917528 HHY917528:HID917528 HRU917528:HRZ917528 IBQ917528:IBV917528 ILM917528:ILR917528 IVI917528:IVN917528 JFE917528:JFJ917528 JPA917528:JPF917528 JYW917528:JZB917528 KIS917528:KIX917528 KSO917528:KST917528 LCK917528:LCP917528 LMG917528:LML917528 LWC917528:LWH917528 MFY917528:MGD917528 MPU917528:MPZ917528 MZQ917528:MZV917528 NJM917528:NJR917528 NTI917528:NTN917528 ODE917528:ODJ917528 ONA917528:ONF917528 OWW917528:OXB917528 PGS917528:PGX917528 PQO917528:PQT917528 QAK917528:QAP917528 QKG917528:QKL917528 QUC917528:QUH917528 RDY917528:RED917528 RNU917528:RNZ917528 RXQ917528:RXV917528 SHM917528:SHR917528 SRI917528:SRN917528 TBE917528:TBJ917528 TLA917528:TLF917528 TUW917528:TVB917528 UES917528:UEX917528 UOO917528:UOT917528 UYK917528:UYP917528 VIG917528:VIL917528 VSC917528:VSH917528 WBY917528:WCD917528 WLU917528:WLZ917528 WVQ917528:WVV917528 I983064:N983064 JE983064:JJ983064 TA983064:TF983064 ACW983064:ADB983064 AMS983064:AMX983064 AWO983064:AWT983064 BGK983064:BGP983064 BQG983064:BQL983064 CAC983064:CAH983064 CJY983064:CKD983064 CTU983064:CTZ983064 DDQ983064:DDV983064 DNM983064:DNR983064 DXI983064:DXN983064 EHE983064:EHJ983064 ERA983064:ERF983064 FAW983064:FBB983064 FKS983064:FKX983064 FUO983064:FUT983064 GEK983064:GEP983064 GOG983064:GOL983064 GYC983064:GYH983064 HHY983064:HID983064 HRU983064:HRZ983064 IBQ983064:IBV983064 ILM983064:ILR983064 IVI983064:IVN983064 JFE983064:JFJ983064 JPA983064:JPF983064 JYW983064:JZB983064 KIS983064:KIX983064 KSO983064:KST983064 LCK983064:LCP983064 LMG983064:LML983064 LWC983064:LWH983064 MFY983064:MGD983064 MPU983064:MPZ983064 MZQ983064:MZV983064 NJM983064:NJR983064 NTI983064:NTN983064 ODE983064:ODJ983064 ONA983064:ONF983064 OWW983064:OXB983064 PGS983064:PGX983064 PQO983064:PQT983064 QAK983064:QAP983064 QKG983064:QKL983064 QUC983064:QUH983064 RDY983064:RED983064 RNU983064:RNZ983064 RXQ983064:RXV983064 SHM983064:SHR983064 SRI983064:SRN983064 TBE983064:TBJ983064 TLA983064:TLF983064 TUW983064:TVB983064 UES983064:UEX983064 UOO983064:UOT983064 UYK983064:UYP983064 VIG983064:VIL983064 VSC983064:VSH983064 WBY983064:WCD983064 WLU983064:WLZ983064 WVQ983064:WVV983064" xr:uid="{2BB2890E-6864-43A3-8EA9-6A898A193463}">
      <formula1>$A$53:$A$83</formula1>
    </dataValidation>
  </dataValidations>
  <hyperlinks>
    <hyperlink ref="Q38" r:id="rId1" display="EEM Website" xr:uid="{A02813A5-3937-44ED-8523-4134D75D377E}"/>
    <hyperlink ref="Q38:U40" r:id="rId2" display="visit EEM Web page for the latest update factors" xr:uid="{75E4EE8F-F2E4-426E-8FAF-BC66C47C16B6}"/>
  </hyperlinks>
  <printOptions horizontalCentered="1"/>
  <pageMargins left="0.74803149606299213" right="0.70866141732283472" top="0.74803149606299213" bottom="0.9055118110236221" header="0.39370078740157483" footer="0.39370078740157483"/>
  <pageSetup paperSize="9" scale="92" orientation="portrait" r:id="rId3"/>
  <headerFooter scaleWithDoc="0" alignWithMargins="0">
    <oddHeader xml:space="preserve">&amp;L&amp;"-,Regular"&amp;8&amp;F&amp;R&amp;"-,Regular"&amp;8&amp;A
________________________________________________________________________________________________
</oddHeader>
    <oddFooter>&amp;L&amp;"-,Regular"&amp;8________________________________________________________________________________________________
NZ Transport Agency’s Economic evaluation manual 
Effective from Jul 2013</oddFoot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842A-37DE-4748-8332-FA7E36302322}">
  <sheetPr codeName="Sheet6">
    <pageSetUpPr fitToPage="1"/>
  </sheetPr>
  <dimension ref="A1:AA84"/>
  <sheetViews>
    <sheetView zoomScaleNormal="100" zoomScaleSheetLayoutView="100" workbookViewId="0">
      <selection activeCell="B28" sqref="B28"/>
    </sheetView>
  </sheetViews>
  <sheetFormatPr defaultColWidth="7.75" defaultRowHeight="13.5"/>
  <cols>
    <col min="1" max="1" width="2.5" style="57" customWidth="1"/>
    <col min="2" max="2" width="6.83203125" style="57" customWidth="1"/>
    <col min="3" max="10" width="3.1640625" style="57" customWidth="1"/>
    <col min="11" max="19" width="4.75" style="57" customWidth="1"/>
    <col min="20" max="20" width="3.1640625" style="57" customWidth="1"/>
    <col min="21" max="21" width="9.25" style="57" customWidth="1"/>
    <col min="22" max="22" width="26.75" style="57" customWidth="1"/>
    <col min="23" max="26" width="11" style="57" customWidth="1"/>
    <col min="27" max="256" width="7.75" style="57"/>
    <col min="257" max="257" width="2.5" style="57" customWidth="1"/>
    <col min="258" max="258" width="6.83203125" style="57" customWidth="1"/>
    <col min="259" max="266" width="3.1640625" style="57" customWidth="1"/>
    <col min="267" max="275" width="4.75" style="57" customWidth="1"/>
    <col min="276" max="276" width="3.1640625" style="57" customWidth="1"/>
    <col min="277" max="277" width="9.25" style="57" customWidth="1"/>
    <col min="278" max="278" width="26.75" style="57" customWidth="1"/>
    <col min="279" max="282" width="11" style="57" customWidth="1"/>
    <col min="283" max="512" width="7.75" style="57"/>
    <col min="513" max="513" width="2.5" style="57" customWidth="1"/>
    <col min="514" max="514" width="6.83203125" style="57" customWidth="1"/>
    <col min="515" max="522" width="3.1640625" style="57" customWidth="1"/>
    <col min="523" max="531" width="4.75" style="57" customWidth="1"/>
    <col min="532" max="532" width="3.1640625" style="57" customWidth="1"/>
    <col min="533" max="533" width="9.25" style="57" customWidth="1"/>
    <col min="534" max="534" width="26.75" style="57" customWidth="1"/>
    <col min="535" max="538" width="11" style="57" customWidth="1"/>
    <col min="539" max="768" width="7.75" style="57"/>
    <col min="769" max="769" width="2.5" style="57" customWidth="1"/>
    <col min="770" max="770" width="6.83203125" style="57" customWidth="1"/>
    <col min="771" max="778" width="3.1640625" style="57" customWidth="1"/>
    <col min="779" max="787" width="4.75" style="57" customWidth="1"/>
    <col min="788" max="788" width="3.1640625" style="57" customWidth="1"/>
    <col min="789" max="789" width="9.25" style="57" customWidth="1"/>
    <col min="790" max="790" width="26.75" style="57" customWidth="1"/>
    <col min="791" max="794" width="11" style="57" customWidth="1"/>
    <col min="795" max="1024" width="7.75" style="57"/>
    <col min="1025" max="1025" width="2.5" style="57" customWidth="1"/>
    <col min="1026" max="1026" width="6.83203125" style="57" customWidth="1"/>
    <col min="1027" max="1034" width="3.1640625" style="57" customWidth="1"/>
    <col min="1035" max="1043" width="4.75" style="57" customWidth="1"/>
    <col min="1044" max="1044" width="3.1640625" style="57" customWidth="1"/>
    <col min="1045" max="1045" width="9.25" style="57" customWidth="1"/>
    <col min="1046" max="1046" width="26.75" style="57" customWidth="1"/>
    <col min="1047" max="1050" width="11" style="57" customWidth="1"/>
    <col min="1051" max="1280" width="7.75" style="57"/>
    <col min="1281" max="1281" width="2.5" style="57" customWidth="1"/>
    <col min="1282" max="1282" width="6.83203125" style="57" customWidth="1"/>
    <col min="1283" max="1290" width="3.1640625" style="57" customWidth="1"/>
    <col min="1291" max="1299" width="4.75" style="57" customWidth="1"/>
    <col min="1300" max="1300" width="3.1640625" style="57" customWidth="1"/>
    <col min="1301" max="1301" width="9.25" style="57" customWidth="1"/>
    <col min="1302" max="1302" width="26.75" style="57" customWidth="1"/>
    <col min="1303" max="1306" width="11" style="57" customWidth="1"/>
    <col min="1307" max="1536" width="7.75" style="57"/>
    <col min="1537" max="1537" width="2.5" style="57" customWidth="1"/>
    <col min="1538" max="1538" width="6.83203125" style="57" customWidth="1"/>
    <col min="1539" max="1546" width="3.1640625" style="57" customWidth="1"/>
    <col min="1547" max="1555" width="4.75" style="57" customWidth="1"/>
    <col min="1556" max="1556" width="3.1640625" style="57" customWidth="1"/>
    <col min="1557" max="1557" width="9.25" style="57" customWidth="1"/>
    <col min="1558" max="1558" width="26.75" style="57" customWidth="1"/>
    <col min="1559" max="1562" width="11" style="57" customWidth="1"/>
    <col min="1563" max="1792" width="7.75" style="57"/>
    <col min="1793" max="1793" width="2.5" style="57" customWidth="1"/>
    <col min="1794" max="1794" width="6.83203125" style="57" customWidth="1"/>
    <col min="1795" max="1802" width="3.1640625" style="57" customWidth="1"/>
    <col min="1803" max="1811" width="4.75" style="57" customWidth="1"/>
    <col min="1812" max="1812" width="3.1640625" style="57" customWidth="1"/>
    <col min="1813" max="1813" width="9.25" style="57" customWidth="1"/>
    <col min="1814" max="1814" width="26.75" style="57" customWidth="1"/>
    <col min="1815" max="1818" width="11" style="57" customWidth="1"/>
    <col min="1819" max="2048" width="7.75" style="57"/>
    <col min="2049" max="2049" width="2.5" style="57" customWidth="1"/>
    <col min="2050" max="2050" width="6.83203125" style="57" customWidth="1"/>
    <col min="2051" max="2058" width="3.1640625" style="57" customWidth="1"/>
    <col min="2059" max="2067" width="4.75" style="57" customWidth="1"/>
    <col min="2068" max="2068" width="3.1640625" style="57" customWidth="1"/>
    <col min="2069" max="2069" width="9.25" style="57" customWidth="1"/>
    <col min="2070" max="2070" width="26.75" style="57" customWidth="1"/>
    <col min="2071" max="2074" width="11" style="57" customWidth="1"/>
    <col min="2075" max="2304" width="7.75" style="57"/>
    <col min="2305" max="2305" width="2.5" style="57" customWidth="1"/>
    <col min="2306" max="2306" width="6.83203125" style="57" customWidth="1"/>
    <col min="2307" max="2314" width="3.1640625" style="57" customWidth="1"/>
    <col min="2315" max="2323" width="4.75" style="57" customWidth="1"/>
    <col min="2324" max="2324" width="3.1640625" style="57" customWidth="1"/>
    <col min="2325" max="2325" width="9.25" style="57" customWidth="1"/>
    <col min="2326" max="2326" width="26.75" style="57" customWidth="1"/>
    <col min="2327" max="2330" width="11" style="57" customWidth="1"/>
    <col min="2331" max="2560" width="7.75" style="57"/>
    <col min="2561" max="2561" width="2.5" style="57" customWidth="1"/>
    <col min="2562" max="2562" width="6.83203125" style="57" customWidth="1"/>
    <col min="2563" max="2570" width="3.1640625" style="57" customWidth="1"/>
    <col min="2571" max="2579" width="4.75" style="57" customWidth="1"/>
    <col min="2580" max="2580" width="3.1640625" style="57" customWidth="1"/>
    <col min="2581" max="2581" width="9.25" style="57" customWidth="1"/>
    <col min="2582" max="2582" width="26.75" style="57" customWidth="1"/>
    <col min="2583" max="2586" width="11" style="57" customWidth="1"/>
    <col min="2587" max="2816" width="7.75" style="57"/>
    <col min="2817" max="2817" width="2.5" style="57" customWidth="1"/>
    <col min="2818" max="2818" width="6.83203125" style="57" customWidth="1"/>
    <col min="2819" max="2826" width="3.1640625" style="57" customWidth="1"/>
    <col min="2827" max="2835" width="4.75" style="57" customWidth="1"/>
    <col min="2836" max="2836" width="3.1640625" style="57" customWidth="1"/>
    <col min="2837" max="2837" width="9.25" style="57" customWidth="1"/>
    <col min="2838" max="2838" width="26.75" style="57" customWidth="1"/>
    <col min="2839" max="2842" width="11" style="57" customWidth="1"/>
    <col min="2843" max="3072" width="7.75" style="57"/>
    <col min="3073" max="3073" width="2.5" style="57" customWidth="1"/>
    <col min="3074" max="3074" width="6.83203125" style="57" customWidth="1"/>
    <col min="3075" max="3082" width="3.1640625" style="57" customWidth="1"/>
    <col min="3083" max="3091" width="4.75" style="57" customWidth="1"/>
    <col min="3092" max="3092" width="3.1640625" style="57" customWidth="1"/>
    <col min="3093" max="3093" width="9.25" style="57" customWidth="1"/>
    <col min="3094" max="3094" width="26.75" style="57" customWidth="1"/>
    <col min="3095" max="3098" width="11" style="57" customWidth="1"/>
    <col min="3099" max="3328" width="7.75" style="57"/>
    <col min="3329" max="3329" width="2.5" style="57" customWidth="1"/>
    <col min="3330" max="3330" width="6.83203125" style="57" customWidth="1"/>
    <col min="3331" max="3338" width="3.1640625" style="57" customWidth="1"/>
    <col min="3339" max="3347" width="4.75" style="57" customWidth="1"/>
    <col min="3348" max="3348" width="3.1640625" style="57" customWidth="1"/>
    <col min="3349" max="3349" width="9.25" style="57" customWidth="1"/>
    <col min="3350" max="3350" width="26.75" style="57" customWidth="1"/>
    <col min="3351" max="3354" width="11" style="57" customWidth="1"/>
    <col min="3355" max="3584" width="7.75" style="57"/>
    <col min="3585" max="3585" width="2.5" style="57" customWidth="1"/>
    <col min="3586" max="3586" width="6.83203125" style="57" customWidth="1"/>
    <col min="3587" max="3594" width="3.1640625" style="57" customWidth="1"/>
    <col min="3595" max="3603" width="4.75" style="57" customWidth="1"/>
    <col min="3604" max="3604" width="3.1640625" style="57" customWidth="1"/>
    <col min="3605" max="3605" width="9.25" style="57" customWidth="1"/>
    <col min="3606" max="3606" width="26.75" style="57" customWidth="1"/>
    <col min="3607" max="3610" width="11" style="57" customWidth="1"/>
    <col min="3611" max="3840" width="7.75" style="57"/>
    <col min="3841" max="3841" width="2.5" style="57" customWidth="1"/>
    <col min="3842" max="3842" width="6.83203125" style="57" customWidth="1"/>
    <col min="3843" max="3850" width="3.1640625" style="57" customWidth="1"/>
    <col min="3851" max="3859" width="4.75" style="57" customWidth="1"/>
    <col min="3860" max="3860" width="3.1640625" style="57" customWidth="1"/>
    <col min="3861" max="3861" width="9.25" style="57" customWidth="1"/>
    <col min="3862" max="3862" width="26.75" style="57" customWidth="1"/>
    <col min="3863" max="3866" width="11" style="57" customWidth="1"/>
    <col min="3867" max="4096" width="7.75" style="57"/>
    <col min="4097" max="4097" width="2.5" style="57" customWidth="1"/>
    <col min="4098" max="4098" width="6.83203125" style="57" customWidth="1"/>
    <col min="4099" max="4106" width="3.1640625" style="57" customWidth="1"/>
    <col min="4107" max="4115" width="4.75" style="57" customWidth="1"/>
    <col min="4116" max="4116" width="3.1640625" style="57" customWidth="1"/>
    <col min="4117" max="4117" width="9.25" style="57" customWidth="1"/>
    <col min="4118" max="4118" width="26.75" style="57" customWidth="1"/>
    <col min="4119" max="4122" width="11" style="57" customWidth="1"/>
    <col min="4123" max="4352" width="7.75" style="57"/>
    <col min="4353" max="4353" width="2.5" style="57" customWidth="1"/>
    <col min="4354" max="4354" width="6.83203125" style="57" customWidth="1"/>
    <col min="4355" max="4362" width="3.1640625" style="57" customWidth="1"/>
    <col min="4363" max="4371" width="4.75" style="57" customWidth="1"/>
    <col min="4372" max="4372" width="3.1640625" style="57" customWidth="1"/>
    <col min="4373" max="4373" width="9.25" style="57" customWidth="1"/>
    <col min="4374" max="4374" width="26.75" style="57" customWidth="1"/>
    <col min="4375" max="4378" width="11" style="57" customWidth="1"/>
    <col min="4379" max="4608" width="7.75" style="57"/>
    <col min="4609" max="4609" width="2.5" style="57" customWidth="1"/>
    <col min="4610" max="4610" width="6.83203125" style="57" customWidth="1"/>
    <col min="4611" max="4618" width="3.1640625" style="57" customWidth="1"/>
    <col min="4619" max="4627" width="4.75" style="57" customWidth="1"/>
    <col min="4628" max="4628" width="3.1640625" style="57" customWidth="1"/>
    <col min="4629" max="4629" width="9.25" style="57" customWidth="1"/>
    <col min="4630" max="4630" width="26.75" style="57" customWidth="1"/>
    <col min="4631" max="4634" width="11" style="57" customWidth="1"/>
    <col min="4635" max="4864" width="7.75" style="57"/>
    <col min="4865" max="4865" width="2.5" style="57" customWidth="1"/>
    <col min="4866" max="4866" width="6.83203125" style="57" customWidth="1"/>
    <col min="4867" max="4874" width="3.1640625" style="57" customWidth="1"/>
    <col min="4875" max="4883" width="4.75" style="57" customWidth="1"/>
    <col min="4884" max="4884" width="3.1640625" style="57" customWidth="1"/>
    <col min="4885" max="4885" width="9.25" style="57" customWidth="1"/>
    <col min="4886" max="4886" width="26.75" style="57" customWidth="1"/>
    <col min="4887" max="4890" width="11" style="57" customWidth="1"/>
    <col min="4891" max="5120" width="7.75" style="57"/>
    <col min="5121" max="5121" width="2.5" style="57" customWidth="1"/>
    <col min="5122" max="5122" width="6.83203125" style="57" customWidth="1"/>
    <col min="5123" max="5130" width="3.1640625" style="57" customWidth="1"/>
    <col min="5131" max="5139" width="4.75" style="57" customWidth="1"/>
    <col min="5140" max="5140" width="3.1640625" style="57" customWidth="1"/>
    <col min="5141" max="5141" width="9.25" style="57" customWidth="1"/>
    <col min="5142" max="5142" width="26.75" style="57" customWidth="1"/>
    <col min="5143" max="5146" width="11" style="57" customWidth="1"/>
    <col min="5147" max="5376" width="7.75" style="57"/>
    <col min="5377" max="5377" width="2.5" style="57" customWidth="1"/>
    <col min="5378" max="5378" width="6.83203125" style="57" customWidth="1"/>
    <col min="5379" max="5386" width="3.1640625" style="57" customWidth="1"/>
    <col min="5387" max="5395" width="4.75" style="57" customWidth="1"/>
    <col min="5396" max="5396" width="3.1640625" style="57" customWidth="1"/>
    <col min="5397" max="5397" width="9.25" style="57" customWidth="1"/>
    <col min="5398" max="5398" width="26.75" style="57" customWidth="1"/>
    <col min="5399" max="5402" width="11" style="57" customWidth="1"/>
    <col min="5403" max="5632" width="7.75" style="57"/>
    <col min="5633" max="5633" width="2.5" style="57" customWidth="1"/>
    <col min="5634" max="5634" width="6.83203125" style="57" customWidth="1"/>
    <col min="5635" max="5642" width="3.1640625" style="57" customWidth="1"/>
    <col min="5643" max="5651" width="4.75" style="57" customWidth="1"/>
    <col min="5652" max="5652" width="3.1640625" style="57" customWidth="1"/>
    <col min="5653" max="5653" width="9.25" style="57" customWidth="1"/>
    <col min="5654" max="5654" width="26.75" style="57" customWidth="1"/>
    <col min="5655" max="5658" width="11" style="57" customWidth="1"/>
    <col min="5659" max="5888" width="7.75" style="57"/>
    <col min="5889" max="5889" width="2.5" style="57" customWidth="1"/>
    <col min="5890" max="5890" width="6.83203125" style="57" customWidth="1"/>
    <col min="5891" max="5898" width="3.1640625" style="57" customWidth="1"/>
    <col min="5899" max="5907" width="4.75" style="57" customWidth="1"/>
    <col min="5908" max="5908" width="3.1640625" style="57" customWidth="1"/>
    <col min="5909" max="5909" width="9.25" style="57" customWidth="1"/>
    <col min="5910" max="5910" width="26.75" style="57" customWidth="1"/>
    <col min="5911" max="5914" width="11" style="57" customWidth="1"/>
    <col min="5915" max="6144" width="7.75" style="57"/>
    <col min="6145" max="6145" width="2.5" style="57" customWidth="1"/>
    <col min="6146" max="6146" width="6.83203125" style="57" customWidth="1"/>
    <col min="6147" max="6154" width="3.1640625" style="57" customWidth="1"/>
    <col min="6155" max="6163" width="4.75" style="57" customWidth="1"/>
    <col min="6164" max="6164" width="3.1640625" style="57" customWidth="1"/>
    <col min="6165" max="6165" width="9.25" style="57" customWidth="1"/>
    <col min="6166" max="6166" width="26.75" style="57" customWidth="1"/>
    <col min="6167" max="6170" width="11" style="57" customWidth="1"/>
    <col min="6171" max="6400" width="7.75" style="57"/>
    <col min="6401" max="6401" width="2.5" style="57" customWidth="1"/>
    <col min="6402" max="6402" width="6.83203125" style="57" customWidth="1"/>
    <col min="6403" max="6410" width="3.1640625" style="57" customWidth="1"/>
    <col min="6411" max="6419" width="4.75" style="57" customWidth="1"/>
    <col min="6420" max="6420" width="3.1640625" style="57" customWidth="1"/>
    <col min="6421" max="6421" width="9.25" style="57" customWidth="1"/>
    <col min="6422" max="6422" width="26.75" style="57" customWidth="1"/>
    <col min="6423" max="6426" width="11" style="57" customWidth="1"/>
    <col min="6427" max="6656" width="7.75" style="57"/>
    <col min="6657" max="6657" width="2.5" style="57" customWidth="1"/>
    <col min="6658" max="6658" width="6.83203125" style="57" customWidth="1"/>
    <col min="6659" max="6666" width="3.1640625" style="57" customWidth="1"/>
    <col min="6667" max="6675" width="4.75" style="57" customWidth="1"/>
    <col min="6676" max="6676" width="3.1640625" style="57" customWidth="1"/>
    <col min="6677" max="6677" width="9.25" style="57" customWidth="1"/>
    <col min="6678" max="6678" width="26.75" style="57" customWidth="1"/>
    <col min="6679" max="6682" width="11" style="57" customWidth="1"/>
    <col min="6683" max="6912" width="7.75" style="57"/>
    <col min="6913" max="6913" width="2.5" style="57" customWidth="1"/>
    <col min="6914" max="6914" width="6.83203125" style="57" customWidth="1"/>
    <col min="6915" max="6922" width="3.1640625" style="57" customWidth="1"/>
    <col min="6923" max="6931" width="4.75" style="57" customWidth="1"/>
    <col min="6932" max="6932" width="3.1640625" style="57" customWidth="1"/>
    <col min="6933" max="6933" width="9.25" style="57" customWidth="1"/>
    <col min="6934" max="6934" width="26.75" style="57" customWidth="1"/>
    <col min="6935" max="6938" width="11" style="57" customWidth="1"/>
    <col min="6939" max="7168" width="7.75" style="57"/>
    <col min="7169" max="7169" width="2.5" style="57" customWidth="1"/>
    <col min="7170" max="7170" width="6.83203125" style="57" customWidth="1"/>
    <col min="7171" max="7178" width="3.1640625" style="57" customWidth="1"/>
    <col min="7179" max="7187" width="4.75" style="57" customWidth="1"/>
    <col min="7188" max="7188" width="3.1640625" style="57" customWidth="1"/>
    <col min="7189" max="7189" width="9.25" style="57" customWidth="1"/>
    <col min="7190" max="7190" width="26.75" style="57" customWidth="1"/>
    <col min="7191" max="7194" width="11" style="57" customWidth="1"/>
    <col min="7195" max="7424" width="7.75" style="57"/>
    <col min="7425" max="7425" width="2.5" style="57" customWidth="1"/>
    <col min="7426" max="7426" width="6.83203125" style="57" customWidth="1"/>
    <col min="7427" max="7434" width="3.1640625" style="57" customWidth="1"/>
    <col min="7435" max="7443" width="4.75" style="57" customWidth="1"/>
    <col min="7444" max="7444" width="3.1640625" style="57" customWidth="1"/>
    <col min="7445" max="7445" width="9.25" style="57" customWidth="1"/>
    <col min="7446" max="7446" width="26.75" style="57" customWidth="1"/>
    <col min="7447" max="7450" width="11" style="57" customWidth="1"/>
    <col min="7451" max="7680" width="7.75" style="57"/>
    <col min="7681" max="7681" width="2.5" style="57" customWidth="1"/>
    <col min="7682" max="7682" width="6.83203125" style="57" customWidth="1"/>
    <col min="7683" max="7690" width="3.1640625" style="57" customWidth="1"/>
    <col min="7691" max="7699" width="4.75" style="57" customWidth="1"/>
    <col min="7700" max="7700" width="3.1640625" style="57" customWidth="1"/>
    <col min="7701" max="7701" width="9.25" style="57" customWidth="1"/>
    <col min="7702" max="7702" width="26.75" style="57" customWidth="1"/>
    <col min="7703" max="7706" width="11" style="57" customWidth="1"/>
    <col min="7707" max="7936" width="7.75" style="57"/>
    <col min="7937" max="7937" width="2.5" style="57" customWidth="1"/>
    <col min="7938" max="7938" width="6.83203125" style="57" customWidth="1"/>
    <col min="7939" max="7946" width="3.1640625" style="57" customWidth="1"/>
    <col min="7947" max="7955" width="4.75" style="57" customWidth="1"/>
    <col min="7956" max="7956" width="3.1640625" style="57" customWidth="1"/>
    <col min="7957" max="7957" width="9.25" style="57" customWidth="1"/>
    <col min="7958" max="7958" width="26.75" style="57" customWidth="1"/>
    <col min="7959" max="7962" width="11" style="57" customWidth="1"/>
    <col min="7963" max="8192" width="7.75" style="57"/>
    <col min="8193" max="8193" width="2.5" style="57" customWidth="1"/>
    <col min="8194" max="8194" width="6.83203125" style="57" customWidth="1"/>
    <col min="8195" max="8202" width="3.1640625" style="57" customWidth="1"/>
    <col min="8203" max="8211" width="4.75" style="57" customWidth="1"/>
    <col min="8212" max="8212" width="3.1640625" style="57" customWidth="1"/>
    <col min="8213" max="8213" width="9.25" style="57" customWidth="1"/>
    <col min="8214" max="8214" width="26.75" style="57" customWidth="1"/>
    <col min="8215" max="8218" width="11" style="57" customWidth="1"/>
    <col min="8219" max="8448" width="7.75" style="57"/>
    <col min="8449" max="8449" width="2.5" style="57" customWidth="1"/>
    <col min="8450" max="8450" width="6.83203125" style="57" customWidth="1"/>
    <col min="8451" max="8458" width="3.1640625" style="57" customWidth="1"/>
    <col min="8459" max="8467" width="4.75" style="57" customWidth="1"/>
    <col min="8468" max="8468" width="3.1640625" style="57" customWidth="1"/>
    <col min="8469" max="8469" width="9.25" style="57" customWidth="1"/>
    <col min="8470" max="8470" width="26.75" style="57" customWidth="1"/>
    <col min="8471" max="8474" width="11" style="57" customWidth="1"/>
    <col min="8475" max="8704" width="7.75" style="57"/>
    <col min="8705" max="8705" width="2.5" style="57" customWidth="1"/>
    <col min="8706" max="8706" width="6.83203125" style="57" customWidth="1"/>
    <col min="8707" max="8714" width="3.1640625" style="57" customWidth="1"/>
    <col min="8715" max="8723" width="4.75" style="57" customWidth="1"/>
    <col min="8724" max="8724" width="3.1640625" style="57" customWidth="1"/>
    <col min="8725" max="8725" width="9.25" style="57" customWidth="1"/>
    <col min="8726" max="8726" width="26.75" style="57" customWidth="1"/>
    <col min="8727" max="8730" width="11" style="57" customWidth="1"/>
    <col min="8731" max="8960" width="7.75" style="57"/>
    <col min="8961" max="8961" width="2.5" style="57" customWidth="1"/>
    <col min="8962" max="8962" width="6.83203125" style="57" customWidth="1"/>
    <col min="8963" max="8970" width="3.1640625" style="57" customWidth="1"/>
    <col min="8971" max="8979" width="4.75" style="57" customWidth="1"/>
    <col min="8980" max="8980" width="3.1640625" style="57" customWidth="1"/>
    <col min="8981" max="8981" width="9.25" style="57" customWidth="1"/>
    <col min="8982" max="8982" width="26.75" style="57" customWidth="1"/>
    <col min="8983" max="8986" width="11" style="57" customWidth="1"/>
    <col min="8987" max="9216" width="7.75" style="57"/>
    <col min="9217" max="9217" width="2.5" style="57" customWidth="1"/>
    <col min="9218" max="9218" width="6.83203125" style="57" customWidth="1"/>
    <col min="9219" max="9226" width="3.1640625" style="57" customWidth="1"/>
    <col min="9227" max="9235" width="4.75" style="57" customWidth="1"/>
    <col min="9236" max="9236" width="3.1640625" style="57" customWidth="1"/>
    <col min="9237" max="9237" width="9.25" style="57" customWidth="1"/>
    <col min="9238" max="9238" width="26.75" style="57" customWidth="1"/>
    <col min="9239" max="9242" width="11" style="57" customWidth="1"/>
    <col min="9243" max="9472" width="7.75" style="57"/>
    <col min="9473" max="9473" width="2.5" style="57" customWidth="1"/>
    <col min="9474" max="9474" width="6.83203125" style="57" customWidth="1"/>
    <col min="9475" max="9482" width="3.1640625" style="57" customWidth="1"/>
    <col min="9483" max="9491" width="4.75" style="57" customWidth="1"/>
    <col min="9492" max="9492" width="3.1640625" style="57" customWidth="1"/>
    <col min="9493" max="9493" width="9.25" style="57" customWidth="1"/>
    <col min="9494" max="9494" width="26.75" style="57" customWidth="1"/>
    <col min="9495" max="9498" width="11" style="57" customWidth="1"/>
    <col min="9499" max="9728" width="7.75" style="57"/>
    <col min="9729" max="9729" width="2.5" style="57" customWidth="1"/>
    <col min="9730" max="9730" width="6.83203125" style="57" customWidth="1"/>
    <col min="9731" max="9738" width="3.1640625" style="57" customWidth="1"/>
    <col min="9739" max="9747" width="4.75" style="57" customWidth="1"/>
    <col min="9748" max="9748" width="3.1640625" style="57" customWidth="1"/>
    <col min="9749" max="9749" width="9.25" style="57" customWidth="1"/>
    <col min="9750" max="9750" width="26.75" style="57" customWidth="1"/>
    <col min="9751" max="9754" width="11" style="57" customWidth="1"/>
    <col min="9755" max="9984" width="7.75" style="57"/>
    <col min="9985" max="9985" width="2.5" style="57" customWidth="1"/>
    <col min="9986" max="9986" width="6.83203125" style="57" customWidth="1"/>
    <col min="9987" max="9994" width="3.1640625" style="57" customWidth="1"/>
    <col min="9995" max="10003" width="4.75" style="57" customWidth="1"/>
    <col min="10004" max="10004" width="3.1640625" style="57" customWidth="1"/>
    <col min="10005" max="10005" width="9.25" style="57" customWidth="1"/>
    <col min="10006" max="10006" width="26.75" style="57" customWidth="1"/>
    <col min="10007" max="10010" width="11" style="57" customWidth="1"/>
    <col min="10011" max="10240" width="7.75" style="57"/>
    <col min="10241" max="10241" width="2.5" style="57" customWidth="1"/>
    <col min="10242" max="10242" width="6.83203125" style="57" customWidth="1"/>
    <col min="10243" max="10250" width="3.1640625" style="57" customWidth="1"/>
    <col min="10251" max="10259" width="4.75" style="57" customWidth="1"/>
    <col min="10260" max="10260" width="3.1640625" style="57" customWidth="1"/>
    <col min="10261" max="10261" width="9.25" style="57" customWidth="1"/>
    <col min="10262" max="10262" width="26.75" style="57" customWidth="1"/>
    <col min="10263" max="10266" width="11" style="57" customWidth="1"/>
    <col min="10267" max="10496" width="7.75" style="57"/>
    <col min="10497" max="10497" width="2.5" style="57" customWidth="1"/>
    <col min="10498" max="10498" width="6.83203125" style="57" customWidth="1"/>
    <col min="10499" max="10506" width="3.1640625" style="57" customWidth="1"/>
    <col min="10507" max="10515" width="4.75" style="57" customWidth="1"/>
    <col min="10516" max="10516" width="3.1640625" style="57" customWidth="1"/>
    <col min="10517" max="10517" width="9.25" style="57" customWidth="1"/>
    <col min="10518" max="10518" width="26.75" style="57" customWidth="1"/>
    <col min="10519" max="10522" width="11" style="57" customWidth="1"/>
    <col min="10523" max="10752" width="7.75" style="57"/>
    <col min="10753" max="10753" width="2.5" style="57" customWidth="1"/>
    <col min="10754" max="10754" width="6.83203125" style="57" customWidth="1"/>
    <col min="10755" max="10762" width="3.1640625" style="57" customWidth="1"/>
    <col min="10763" max="10771" width="4.75" style="57" customWidth="1"/>
    <col min="10772" max="10772" width="3.1640625" style="57" customWidth="1"/>
    <col min="10773" max="10773" width="9.25" style="57" customWidth="1"/>
    <col min="10774" max="10774" width="26.75" style="57" customWidth="1"/>
    <col min="10775" max="10778" width="11" style="57" customWidth="1"/>
    <col min="10779" max="11008" width="7.75" style="57"/>
    <col min="11009" max="11009" width="2.5" style="57" customWidth="1"/>
    <col min="11010" max="11010" width="6.83203125" style="57" customWidth="1"/>
    <col min="11011" max="11018" width="3.1640625" style="57" customWidth="1"/>
    <col min="11019" max="11027" width="4.75" style="57" customWidth="1"/>
    <col min="11028" max="11028" width="3.1640625" style="57" customWidth="1"/>
    <col min="11029" max="11029" width="9.25" style="57" customWidth="1"/>
    <col min="11030" max="11030" width="26.75" style="57" customWidth="1"/>
    <col min="11031" max="11034" width="11" style="57" customWidth="1"/>
    <col min="11035" max="11264" width="7.75" style="57"/>
    <col min="11265" max="11265" width="2.5" style="57" customWidth="1"/>
    <col min="11266" max="11266" width="6.83203125" style="57" customWidth="1"/>
    <col min="11267" max="11274" width="3.1640625" style="57" customWidth="1"/>
    <col min="11275" max="11283" width="4.75" style="57" customWidth="1"/>
    <col min="11284" max="11284" width="3.1640625" style="57" customWidth="1"/>
    <col min="11285" max="11285" width="9.25" style="57" customWidth="1"/>
    <col min="11286" max="11286" width="26.75" style="57" customWidth="1"/>
    <col min="11287" max="11290" width="11" style="57" customWidth="1"/>
    <col min="11291" max="11520" width="7.75" style="57"/>
    <col min="11521" max="11521" width="2.5" style="57" customWidth="1"/>
    <col min="11522" max="11522" width="6.83203125" style="57" customWidth="1"/>
    <col min="11523" max="11530" width="3.1640625" style="57" customWidth="1"/>
    <col min="11531" max="11539" width="4.75" style="57" customWidth="1"/>
    <col min="11540" max="11540" width="3.1640625" style="57" customWidth="1"/>
    <col min="11541" max="11541" width="9.25" style="57" customWidth="1"/>
    <col min="11542" max="11542" width="26.75" style="57" customWidth="1"/>
    <col min="11543" max="11546" width="11" style="57" customWidth="1"/>
    <col min="11547" max="11776" width="7.75" style="57"/>
    <col min="11777" max="11777" width="2.5" style="57" customWidth="1"/>
    <col min="11778" max="11778" width="6.83203125" style="57" customWidth="1"/>
    <col min="11779" max="11786" width="3.1640625" style="57" customWidth="1"/>
    <col min="11787" max="11795" width="4.75" style="57" customWidth="1"/>
    <col min="11796" max="11796" width="3.1640625" style="57" customWidth="1"/>
    <col min="11797" max="11797" width="9.25" style="57" customWidth="1"/>
    <col min="11798" max="11798" width="26.75" style="57" customWidth="1"/>
    <col min="11799" max="11802" width="11" style="57" customWidth="1"/>
    <col min="11803" max="12032" width="7.75" style="57"/>
    <col min="12033" max="12033" width="2.5" style="57" customWidth="1"/>
    <col min="12034" max="12034" width="6.83203125" style="57" customWidth="1"/>
    <col min="12035" max="12042" width="3.1640625" style="57" customWidth="1"/>
    <col min="12043" max="12051" width="4.75" style="57" customWidth="1"/>
    <col min="12052" max="12052" width="3.1640625" style="57" customWidth="1"/>
    <col min="12053" max="12053" width="9.25" style="57" customWidth="1"/>
    <col min="12054" max="12054" width="26.75" style="57" customWidth="1"/>
    <col min="12055" max="12058" width="11" style="57" customWidth="1"/>
    <col min="12059" max="12288" width="7.75" style="57"/>
    <col min="12289" max="12289" width="2.5" style="57" customWidth="1"/>
    <col min="12290" max="12290" width="6.83203125" style="57" customWidth="1"/>
    <col min="12291" max="12298" width="3.1640625" style="57" customWidth="1"/>
    <col min="12299" max="12307" width="4.75" style="57" customWidth="1"/>
    <col min="12308" max="12308" width="3.1640625" style="57" customWidth="1"/>
    <col min="12309" max="12309" width="9.25" style="57" customWidth="1"/>
    <col min="12310" max="12310" width="26.75" style="57" customWidth="1"/>
    <col min="12311" max="12314" width="11" style="57" customWidth="1"/>
    <col min="12315" max="12544" width="7.75" style="57"/>
    <col min="12545" max="12545" width="2.5" style="57" customWidth="1"/>
    <col min="12546" max="12546" width="6.83203125" style="57" customWidth="1"/>
    <col min="12547" max="12554" width="3.1640625" style="57" customWidth="1"/>
    <col min="12555" max="12563" width="4.75" style="57" customWidth="1"/>
    <col min="12564" max="12564" width="3.1640625" style="57" customWidth="1"/>
    <col min="12565" max="12565" width="9.25" style="57" customWidth="1"/>
    <col min="12566" max="12566" width="26.75" style="57" customWidth="1"/>
    <col min="12567" max="12570" width="11" style="57" customWidth="1"/>
    <col min="12571" max="12800" width="7.75" style="57"/>
    <col min="12801" max="12801" width="2.5" style="57" customWidth="1"/>
    <col min="12802" max="12802" width="6.83203125" style="57" customWidth="1"/>
    <col min="12803" max="12810" width="3.1640625" style="57" customWidth="1"/>
    <col min="12811" max="12819" width="4.75" style="57" customWidth="1"/>
    <col min="12820" max="12820" width="3.1640625" style="57" customWidth="1"/>
    <col min="12821" max="12821" width="9.25" style="57" customWidth="1"/>
    <col min="12822" max="12822" width="26.75" style="57" customWidth="1"/>
    <col min="12823" max="12826" width="11" style="57" customWidth="1"/>
    <col min="12827" max="13056" width="7.75" style="57"/>
    <col min="13057" max="13057" width="2.5" style="57" customWidth="1"/>
    <col min="13058" max="13058" width="6.83203125" style="57" customWidth="1"/>
    <col min="13059" max="13066" width="3.1640625" style="57" customWidth="1"/>
    <col min="13067" max="13075" width="4.75" style="57" customWidth="1"/>
    <col min="13076" max="13076" width="3.1640625" style="57" customWidth="1"/>
    <col min="13077" max="13077" width="9.25" style="57" customWidth="1"/>
    <col min="13078" max="13078" width="26.75" style="57" customWidth="1"/>
    <col min="13079" max="13082" width="11" style="57" customWidth="1"/>
    <col min="13083" max="13312" width="7.75" style="57"/>
    <col min="13313" max="13313" width="2.5" style="57" customWidth="1"/>
    <col min="13314" max="13314" width="6.83203125" style="57" customWidth="1"/>
    <col min="13315" max="13322" width="3.1640625" style="57" customWidth="1"/>
    <col min="13323" max="13331" width="4.75" style="57" customWidth="1"/>
    <col min="13332" max="13332" width="3.1640625" style="57" customWidth="1"/>
    <col min="13333" max="13333" width="9.25" style="57" customWidth="1"/>
    <col min="13334" max="13334" width="26.75" style="57" customWidth="1"/>
    <col min="13335" max="13338" width="11" style="57" customWidth="1"/>
    <col min="13339" max="13568" width="7.75" style="57"/>
    <col min="13569" max="13569" width="2.5" style="57" customWidth="1"/>
    <col min="13570" max="13570" width="6.83203125" style="57" customWidth="1"/>
    <col min="13571" max="13578" width="3.1640625" style="57" customWidth="1"/>
    <col min="13579" max="13587" width="4.75" style="57" customWidth="1"/>
    <col min="13588" max="13588" width="3.1640625" style="57" customWidth="1"/>
    <col min="13589" max="13589" width="9.25" style="57" customWidth="1"/>
    <col min="13590" max="13590" width="26.75" style="57" customWidth="1"/>
    <col min="13591" max="13594" width="11" style="57" customWidth="1"/>
    <col min="13595" max="13824" width="7.75" style="57"/>
    <col min="13825" max="13825" width="2.5" style="57" customWidth="1"/>
    <col min="13826" max="13826" width="6.83203125" style="57" customWidth="1"/>
    <col min="13827" max="13834" width="3.1640625" style="57" customWidth="1"/>
    <col min="13835" max="13843" width="4.75" style="57" customWidth="1"/>
    <col min="13844" max="13844" width="3.1640625" style="57" customWidth="1"/>
    <col min="13845" max="13845" width="9.25" style="57" customWidth="1"/>
    <col min="13846" max="13846" width="26.75" style="57" customWidth="1"/>
    <col min="13847" max="13850" width="11" style="57" customWidth="1"/>
    <col min="13851" max="14080" width="7.75" style="57"/>
    <col min="14081" max="14081" width="2.5" style="57" customWidth="1"/>
    <col min="14082" max="14082" width="6.83203125" style="57" customWidth="1"/>
    <col min="14083" max="14090" width="3.1640625" style="57" customWidth="1"/>
    <col min="14091" max="14099" width="4.75" style="57" customWidth="1"/>
    <col min="14100" max="14100" width="3.1640625" style="57" customWidth="1"/>
    <col min="14101" max="14101" width="9.25" style="57" customWidth="1"/>
    <col min="14102" max="14102" width="26.75" style="57" customWidth="1"/>
    <col min="14103" max="14106" width="11" style="57" customWidth="1"/>
    <col min="14107" max="14336" width="7.75" style="57"/>
    <col min="14337" max="14337" width="2.5" style="57" customWidth="1"/>
    <col min="14338" max="14338" width="6.83203125" style="57" customWidth="1"/>
    <col min="14339" max="14346" width="3.1640625" style="57" customWidth="1"/>
    <col min="14347" max="14355" width="4.75" style="57" customWidth="1"/>
    <col min="14356" max="14356" width="3.1640625" style="57" customWidth="1"/>
    <col min="14357" max="14357" width="9.25" style="57" customWidth="1"/>
    <col min="14358" max="14358" width="26.75" style="57" customWidth="1"/>
    <col min="14359" max="14362" width="11" style="57" customWidth="1"/>
    <col min="14363" max="14592" width="7.75" style="57"/>
    <col min="14593" max="14593" width="2.5" style="57" customWidth="1"/>
    <col min="14594" max="14594" width="6.83203125" style="57" customWidth="1"/>
    <col min="14595" max="14602" width="3.1640625" style="57" customWidth="1"/>
    <col min="14603" max="14611" width="4.75" style="57" customWidth="1"/>
    <col min="14612" max="14612" width="3.1640625" style="57" customWidth="1"/>
    <col min="14613" max="14613" width="9.25" style="57" customWidth="1"/>
    <col min="14614" max="14614" width="26.75" style="57" customWidth="1"/>
    <col min="14615" max="14618" width="11" style="57" customWidth="1"/>
    <col min="14619" max="14848" width="7.75" style="57"/>
    <col min="14849" max="14849" width="2.5" style="57" customWidth="1"/>
    <col min="14850" max="14850" width="6.83203125" style="57" customWidth="1"/>
    <col min="14851" max="14858" width="3.1640625" style="57" customWidth="1"/>
    <col min="14859" max="14867" width="4.75" style="57" customWidth="1"/>
    <col min="14868" max="14868" width="3.1640625" style="57" customWidth="1"/>
    <col min="14869" max="14869" width="9.25" style="57" customWidth="1"/>
    <col min="14870" max="14870" width="26.75" style="57" customWidth="1"/>
    <col min="14871" max="14874" width="11" style="57" customWidth="1"/>
    <col min="14875" max="15104" width="7.75" style="57"/>
    <col min="15105" max="15105" width="2.5" style="57" customWidth="1"/>
    <col min="15106" max="15106" width="6.83203125" style="57" customWidth="1"/>
    <col min="15107" max="15114" width="3.1640625" style="57" customWidth="1"/>
    <col min="15115" max="15123" width="4.75" style="57" customWidth="1"/>
    <col min="15124" max="15124" width="3.1640625" style="57" customWidth="1"/>
    <col min="15125" max="15125" width="9.25" style="57" customWidth="1"/>
    <col min="15126" max="15126" width="26.75" style="57" customWidth="1"/>
    <col min="15127" max="15130" width="11" style="57" customWidth="1"/>
    <col min="15131" max="15360" width="7.75" style="57"/>
    <col min="15361" max="15361" width="2.5" style="57" customWidth="1"/>
    <col min="15362" max="15362" width="6.83203125" style="57" customWidth="1"/>
    <col min="15363" max="15370" width="3.1640625" style="57" customWidth="1"/>
    <col min="15371" max="15379" width="4.75" style="57" customWidth="1"/>
    <col min="15380" max="15380" width="3.1640625" style="57" customWidth="1"/>
    <col min="15381" max="15381" width="9.25" style="57" customWidth="1"/>
    <col min="15382" max="15382" width="26.75" style="57" customWidth="1"/>
    <col min="15383" max="15386" width="11" style="57" customWidth="1"/>
    <col min="15387" max="15616" width="7.75" style="57"/>
    <col min="15617" max="15617" width="2.5" style="57" customWidth="1"/>
    <col min="15618" max="15618" width="6.83203125" style="57" customWidth="1"/>
    <col min="15619" max="15626" width="3.1640625" style="57" customWidth="1"/>
    <col min="15627" max="15635" width="4.75" style="57" customWidth="1"/>
    <col min="15636" max="15636" width="3.1640625" style="57" customWidth="1"/>
    <col min="15637" max="15637" width="9.25" style="57" customWidth="1"/>
    <col min="15638" max="15638" width="26.75" style="57" customWidth="1"/>
    <col min="15639" max="15642" width="11" style="57" customWidth="1"/>
    <col min="15643" max="15872" width="7.75" style="57"/>
    <col min="15873" max="15873" width="2.5" style="57" customWidth="1"/>
    <col min="15874" max="15874" width="6.83203125" style="57" customWidth="1"/>
    <col min="15875" max="15882" width="3.1640625" style="57" customWidth="1"/>
    <col min="15883" max="15891" width="4.75" style="57" customWidth="1"/>
    <col min="15892" max="15892" width="3.1640625" style="57" customWidth="1"/>
    <col min="15893" max="15893" width="9.25" style="57" customWidth="1"/>
    <col min="15894" max="15894" width="26.75" style="57" customWidth="1"/>
    <col min="15895" max="15898" width="11" style="57" customWidth="1"/>
    <col min="15899" max="16128" width="7.75" style="57"/>
    <col min="16129" max="16129" width="2.5" style="57" customWidth="1"/>
    <col min="16130" max="16130" width="6.83203125" style="57" customWidth="1"/>
    <col min="16131" max="16138" width="3.1640625" style="57" customWidth="1"/>
    <col min="16139" max="16147" width="4.75" style="57" customWidth="1"/>
    <col min="16148" max="16148" width="3.1640625" style="57" customWidth="1"/>
    <col min="16149" max="16149" width="9.25" style="57" customWidth="1"/>
    <col min="16150" max="16150" width="26.75" style="57" customWidth="1"/>
    <col min="16151" max="16154" width="11" style="57" customWidth="1"/>
    <col min="16155" max="16384" width="7.75" style="57"/>
  </cols>
  <sheetData>
    <row r="1" spans="1:27" ht="15" customHeight="1">
      <c r="B1" s="59"/>
      <c r="C1" s="59"/>
      <c r="D1" s="59"/>
      <c r="E1" s="59"/>
      <c r="F1" s="59"/>
      <c r="G1" s="59"/>
      <c r="H1" s="59"/>
      <c r="I1" s="59"/>
      <c r="J1" s="59"/>
      <c r="K1" s="59"/>
      <c r="L1" s="59"/>
      <c r="M1" s="59"/>
      <c r="N1" s="59"/>
      <c r="O1" s="59"/>
      <c r="P1" s="59"/>
      <c r="Q1" s="59"/>
      <c r="R1" s="59"/>
      <c r="S1" s="59"/>
      <c r="T1" s="59"/>
      <c r="V1" s="66" t="s">
        <v>372</v>
      </c>
      <c r="W1" s="59"/>
      <c r="X1" s="59"/>
      <c r="Y1" s="59"/>
    </row>
    <row r="2" spans="1:27" s="69" customFormat="1" ht="15" customHeight="1">
      <c r="A2" s="70" t="s">
        <v>718</v>
      </c>
      <c r="B2" s="68"/>
      <c r="C2" s="68"/>
      <c r="D2" s="61"/>
      <c r="E2" s="61"/>
      <c r="F2" s="61"/>
      <c r="G2" s="61"/>
      <c r="H2" s="61"/>
      <c r="I2" s="61"/>
      <c r="J2" s="61"/>
      <c r="K2" s="61"/>
      <c r="L2" s="61"/>
      <c r="M2" s="61"/>
      <c r="N2" s="61"/>
      <c r="O2" s="61"/>
      <c r="P2" s="61"/>
      <c r="Q2" s="206" t="str">
        <f>'SP3-1'!L2</f>
        <v>Spreadsheet release date 14-Apr-2023</v>
      </c>
      <c r="R2" s="61"/>
      <c r="S2" s="61"/>
      <c r="T2" s="138"/>
      <c r="V2" s="207" t="s">
        <v>373</v>
      </c>
      <c r="W2" s="61"/>
      <c r="X2" s="61"/>
      <c r="Y2" s="61"/>
      <c r="Z2" s="61"/>
      <c r="AA2" s="61"/>
    </row>
    <row r="3" spans="1:27" s="62" customFormat="1" ht="15" customHeight="1">
      <c r="A3" s="68" t="s">
        <v>409</v>
      </c>
      <c r="B3" s="68"/>
      <c r="C3" s="61"/>
      <c r="D3" s="61"/>
      <c r="E3" s="61"/>
      <c r="F3" s="61"/>
      <c r="G3" s="61"/>
      <c r="H3" s="61"/>
      <c r="I3" s="61"/>
      <c r="J3" s="61"/>
      <c r="K3" s="61"/>
      <c r="L3" s="61"/>
      <c r="M3" s="61"/>
      <c r="N3" s="61"/>
      <c r="O3" s="61"/>
      <c r="P3" s="61"/>
      <c r="Q3" s="61"/>
      <c r="R3" s="61"/>
      <c r="S3" s="61"/>
      <c r="T3" s="61"/>
      <c r="U3" s="61"/>
      <c r="V3" s="61"/>
      <c r="W3" s="61"/>
      <c r="X3" s="61"/>
      <c r="Y3" s="61"/>
      <c r="Z3" s="61"/>
      <c r="AA3" s="61"/>
    </row>
    <row r="4" spans="1:27" s="55" customFormat="1" ht="15" customHeight="1">
      <c r="A4" s="67"/>
      <c r="B4" s="479" t="s">
        <v>755</v>
      </c>
      <c r="C4" s="480"/>
      <c r="D4" s="480"/>
      <c r="E4" s="480"/>
      <c r="F4" s="480"/>
      <c r="G4" s="480"/>
      <c r="H4" s="480"/>
      <c r="I4" s="480"/>
      <c r="J4" s="480"/>
      <c r="K4" s="480"/>
      <c r="L4" s="480"/>
      <c r="M4" s="480"/>
      <c r="N4" s="480"/>
      <c r="O4" s="480"/>
      <c r="P4" s="480"/>
      <c r="Q4" s="480"/>
      <c r="R4" s="480"/>
      <c r="S4" s="481"/>
      <c r="T4" s="234"/>
      <c r="U4" s="66"/>
      <c r="V4" s="66"/>
      <c r="W4" s="66"/>
      <c r="X4" s="61"/>
      <c r="Y4" s="61"/>
      <c r="Z4" s="61"/>
      <c r="AA4" s="61"/>
    </row>
    <row r="5" spans="1:27" s="55" customFormat="1" ht="9" customHeight="1">
      <c r="A5" s="67"/>
      <c r="B5" s="485"/>
      <c r="C5" s="486"/>
      <c r="D5" s="486"/>
      <c r="E5" s="486"/>
      <c r="F5" s="486"/>
      <c r="G5" s="486"/>
      <c r="H5" s="486"/>
      <c r="I5" s="486"/>
      <c r="J5" s="486"/>
      <c r="K5" s="486"/>
      <c r="L5" s="486"/>
      <c r="M5" s="486"/>
      <c r="N5" s="486"/>
      <c r="O5" s="486"/>
      <c r="P5" s="486"/>
      <c r="Q5" s="486"/>
      <c r="R5" s="486"/>
      <c r="S5" s="487"/>
      <c r="T5" s="234"/>
      <c r="U5" s="66"/>
      <c r="V5" s="66"/>
      <c r="W5" s="66"/>
      <c r="X5" s="61"/>
      <c r="Y5" s="61"/>
      <c r="Z5" s="61"/>
      <c r="AA5" s="61"/>
    </row>
    <row r="6" spans="1:27" s="62" customFormat="1" ht="11.25" customHeight="1" thickBot="1">
      <c r="A6" s="138"/>
      <c r="B6" s="138"/>
      <c r="C6" s="61"/>
      <c r="D6" s="61"/>
      <c r="E6" s="61"/>
      <c r="F6" s="61"/>
      <c r="G6" s="61"/>
      <c r="H6" s="61"/>
      <c r="I6" s="61"/>
      <c r="J6" s="61"/>
      <c r="K6" s="61"/>
      <c r="L6" s="61"/>
      <c r="M6" s="61"/>
      <c r="N6" s="61"/>
      <c r="O6" s="61"/>
      <c r="P6" s="61"/>
      <c r="Q6" s="61"/>
      <c r="R6" s="61"/>
      <c r="S6" s="61"/>
      <c r="T6" s="61"/>
      <c r="U6" s="61"/>
      <c r="V6" s="61"/>
      <c r="W6" s="61"/>
      <c r="X6" s="61"/>
      <c r="Y6" s="61"/>
      <c r="Z6" s="61"/>
      <c r="AA6" s="61"/>
    </row>
    <row r="7" spans="1:27" s="62" customFormat="1" ht="19.5" customHeight="1" thickTop="1" thickBot="1">
      <c r="A7" s="211">
        <v>1</v>
      </c>
      <c r="B7" s="436" t="s">
        <v>410</v>
      </c>
      <c r="C7" s="436"/>
      <c r="D7" s="436"/>
      <c r="E7" s="436"/>
      <c r="F7" s="436"/>
      <c r="G7" s="436"/>
      <c r="H7" s="436"/>
      <c r="I7" s="436"/>
      <c r="J7" s="436"/>
      <c r="K7" s="436"/>
      <c r="L7" s="436"/>
      <c r="M7" s="436"/>
      <c r="N7" s="436"/>
      <c r="O7" s="210"/>
      <c r="P7" s="210"/>
      <c r="Q7" s="210"/>
      <c r="R7" s="210"/>
      <c r="S7" s="210"/>
      <c r="T7" s="210"/>
      <c r="U7" s="61"/>
      <c r="V7" s="61"/>
      <c r="W7" s="61"/>
      <c r="X7" s="61"/>
      <c r="Y7" s="61"/>
      <c r="Z7" s="61"/>
      <c r="AA7" s="61"/>
    </row>
    <row r="8" spans="1:27" s="62" customFormat="1" ht="19.5" customHeight="1" thickTop="1" thickBot="1">
      <c r="A8" s="209"/>
      <c r="B8" s="210" t="s">
        <v>411</v>
      </c>
      <c r="C8" s="210"/>
      <c r="D8" s="210"/>
      <c r="E8" s="210"/>
      <c r="F8" s="210"/>
      <c r="G8" s="210"/>
      <c r="H8" s="210"/>
      <c r="I8" s="210"/>
      <c r="J8" s="210"/>
      <c r="K8" s="235"/>
      <c r="L8" s="235"/>
      <c r="M8" s="235"/>
      <c r="N8" s="210"/>
      <c r="O8" s="210"/>
      <c r="P8" s="210"/>
      <c r="Q8" s="210"/>
      <c r="R8" s="210"/>
      <c r="S8" s="210"/>
      <c r="T8" s="210"/>
      <c r="U8" s="61"/>
      <c r="V8" s="61"/>
      <c r="W8" s="61"/>
      <c r="X8" s="61"/>
      <c r="Y8" s="61"/>
    </row>
    <row r="9" spans="1:27" s="62" customFormat="1" ht="19.5" customHeight="1" thickTop="1" thickBot="1">
      <c r="A9" s="211"/>
      <c r="B9" s="210" t="s">
        <v>412</v>
      </c>
      <c r="C9" s="212"/>
      <c r="D9" s="212"/>
      <c r="E9" s="488">
        <f>'SP3-1'!I22-3</f>
        <v>-3</v>
      </c>
      <c r="F9" s="489"/>
      <c r="G9" s="490"/>
      <c r="H9" s="212"/>
      <c r="I9" s="212"/>
      <c r="J9" s="236"/>
      <c r="K9" s="443"/>
      <c r="L9" s="443"/>
      <c r="M9" s="443"/>
      <c r="N9" s="221"/>
      <c r="O9" s="210"/>
      <c r="P9" s="222" t="s">
        <v>267</v>
      </c>
      <c r="Q9" s="443"/>
      <c r="R9" s="443"/>
      <c r="S9" s="443"/>
      <c r="T9" s="210"/>
      <c r="U9" s="61"/>
      <c r="V9" s="479" t="s">
        <v>756</v>
      </c>
      <c r="W9" s="480"/>
      <c r="X9" s="480"/>
      <c r="Y9" s="480"/>
      <c r="Z9" s="481"/>
    </row>
    <row r="10" spans="1:27" s="62" customFormat="1" ht="19.5" customHeight="1" thickTop="1" thickBot="1">
      <c r="A10" s="209"/>
      <c r="B10" s="210" t="s">
        <v>413</v>
      </c>
      <c r="C10" s="210"/>
      <c r="D10" s="210"/>
      <c r="E10" s="488">
        <f>'SP3-1'!I22-2</f>
        <v>-2</v>
      </c>
      <c r="F10" s="489"/>
      <c r="G10" s="490"/>
      <c r="H10" s="210"/>
      <c r="I10" s="210"/>
      <c r="J10" s="210"/>
      <c r="K10" s="443"/>
      <c r="L10" s="443"/>
      <c r="M10" s="443"/>
      <c r="N10" s="210"/>
      <c r="O10" s="210"/>
      <c r="P10" s="222" t="s">
        <v>267</v>
      </c>
      <c r="Q10" s="443"/>
      <c r="R10" s="443"/>
      <c r="S10" s="443"/>
      <c r="T10" s="210"/>
      <c r="U10" s="61"/>
      <c r="V10" s="482"/>
      <c r="W10" s="483"/>
      <c r="X10" s="483"/>
      <c r="Y10" s="483"/>
      <c r="Z10" s="484"/>
    </row>
    <row r="11" spans="1:27" s="62" customFormat="1" ht="19.5" customHeight="1" thickTop="1" thickBot="1">
      <c r="A11" s="209"/>
      <c r="B11" s="210" t="s">
        <v>414</v>
      </c>
      <c r="C11" s="210"/>
      <c r="D11" s="210"/>
      <c r="E11" s="488">
        <f>'SP3-1'!I22-1</f>
        <v>-1</v>
      </c>
      <c r="F11" s="489"/>
      <c r="G11" s="490"/>
      <c r="H11" s="210"/>
      <c r="I11" s="210"/>
      <c r="J11" s="210"/>
      <c r="K11" s="443"/>
      <c r="L11" s="443"/>
      <c r="M11" s="443"/>
      <c r="N11" s="210"/>
      <c r="O11" s="210"/>
      <c r="P11" s="222" t="s">
        <v>267</v>
      </c>
      <c r="Q11" s="443"/>
      <c r="R11" s="443"/>
      <c r="S11" s="443"/>
      <c r="T11" s="210"/>
      <c r="U11" s="61"/>
      <c r="V11" s="485"/>
      <c r="W11" s="486"/>
      <c r="X11" s="486"/>
      <c r="Y11" s="486"/>
      <c r="Z11" s="487"/>
    </row>
    <row r="12" spans="1:27" s="62" customFormat="1" ht="19.5" customHeight="1" thickTop="1" thickBot="1">
      <c r="A12" s="209"/>
      <c r="B12" s="210" t="s">
        <v>415</v>
      </c>
      <c r="C12" s="210"/>
      <c r="D12" s="210"/>
      <c r="E12" s="210"/>
      <c r="F12" s="210"/>
      <c r="G12" s="210"/>
      <c r="H12" s="210"/>
      <c r="I12" s="210"/>
      <c r="J12" s="210"/>
      <c r="K12" s="488">
        <f>'SP3-1'!I22</f>
        <v>0</v>
      </c>
      <c r="L12" s="493"/>
      <c r="M12" s="443"/>
      <c r="N12" s="443"/>
      <c r="O12" s="443"/>
      <c r="P12" s="222" t="s">
        <v>267</v>
      </c>
      <c r="Q12" s="443"/>
      <c r="R12" s="443"/>
      <c r="S12" s="443"/>
      <c r="T12" s="210"/>
      <c r="U12" s="61"/>
      <c r="V12" s="61"/>
      <c r="W12" s="61"/>
      <c r="X12" s="61"/>
      <c r="Y12" s="61"/>
    </row>
    <row r="13" spans="1:27" s="62" customFormat="1" ht="19.5" customHeight="1" thickTop="1" thickBot="1">
      <c r="A13" s="209"/>
      <c r="B13" s="210" t="s">
        <v>416</v>
      </c>
      <c r="C13" s="210"/>
      <c r="D13" s="210"/>
      <c r="E13" s="210"/>
      <c r="F13" s="210"/>
      <c r="G13" s="210"/>
      <c r="H13" s="210"/>
      <c r="I13" s="210"/>
      <c r="J13" s="210"/>
      <c r="K13" s="210"/>
      <c r="L13" s="210"/>
      <c r="M13" s="443"/>
      <c r="N13" s="443"/>
      <c r="O13" s="443"/>
      <c r="P13" s="222" t="s">
        <v>267</v>
      </c>
      <c r="Q13" s="443"/>
      <c r="R13" s="443"/>
      <c r="S13" s="443"/>
      <c r="T13" s="210"/>
      <c r="U13" s="61"/>
      <c r="V13" s="435" t="s">
        <v>920</v>
      </c>
      <c r="W13" s="435"/>
      <c r="X13" s="435"/>
      <c r="Y13" s="435"/>
      <c r="Z13" s="435"/>
    </row>
    <row r="14" spans="1:27" s="62" customFormat="1" ht="19.5" customHeight="1" thickTop="1" thickBot="1">
      <c r="A14" s="211">
        <v>2</v>
      </c>
      <c r="B14" s="436" t="s">
        <v>757</v>
      </c>
      <c r="C14" s="436"/>
      <c r="D14" s="436"/>
      <c r="E14" s="436"/>
      <c r="F14" s="436"/>
      <c r="G14" s="436"/>
      <c r="H14" s="436"/>
      <c r="I14" s="210"/>
      <c r="J14" s="210"/>
      <c r="K14" s="210"/>
      <c r="L14" s="210"/>
      <c r="M14" s="210"/>
      <c r="N14" s="210"/>
      <c r="O14" s="210"/>
      <c r="P14" s="210"/>
      <c r="Q14" s="210"/>
      <c r="R14" s="210"/>
      <c r="S14" s="210"/>
      <c r="T14" s="210"/>
      <c r="U14" s="61"/>
      <c r="V14" s="61"/>
      <c r="W14" s="61"/>
      <c r="X14" s="61"/>
      <c r="Y14" s="61"/>
    </row>
    <row r="15" spans="1:27" s="62" customFormat="1" ht="19.5" customHeight="1" thickTop="1" thickBot="1">
      <c r="A15" s="209"/>
      <c r="B15" s="210"/>
      <c r="C15" s="210"/>
      <c r="D15" s="210"/>
      <c r="E15" s="210"/>
      <c r="F15" s="210"/>
      <c r="G15" s="210"/>
      <c r="H15" s="210"/>
      <c r="I15" s="210"/>
      <c r="J15" s="222" t="s">
        <v>758</v>
      </c>
      <c r="K15" s="494">
        <f>Q13</f>
        <v>0</v>
      </c>
      <c r="L15" s="494"/>
      <c r="M15" s="494"/>
      <c r="N15" s="210" t="s">
        <v>418</v>
      </c>
      <c r="O15" s="237">
        <f>Tables!K320</f>
        <v>0</v>
      </c>
      <c r="P15" s="222" t="s">
        <v>436</v>
      </c>
      <c r="Q15" s="453">
        <f>K15*O15</f>
        <v>0</v>
      </c>
      <c r="R15" s="453"/>
      <c r="S15" s="453"/>
      <c r="T15" s="211" t="s">
        <v>419</v>
      </c>
      <c r="U15" s="61"/>
      <c r="V15" s="61"/>
      <c r="W15" s="61"/>
      <c r="X15" s="61"/>
      <c r="Y15" s="61"/>
    </row>
    <row r="16" spans="1:27" s="62" customFormat="1" ht="19.5" customHeight="1" thickTop="1" thickBot="1">
      <c r="A16" s="211">
        <v>3</v>
      </c>
      <c r="B16" s="436" t="s">
        <v>440</v>
      </c>
      <c r="C16" s="436"/>
      <c r="D16" s="436"/>
      <c r="E16" s="436"/>
      <c r="F16" s="436"/>
      <c r="G16" s="436"/>
      <c r="H16" s="436"/>
      <c r="I16" s="210"/>
      <c r="J16" s="210"/>
      <c r="K16" s="210"/>
      <c r="L16" s="210"/>
      <c r="M16" s="210"/>
      <c r="N16" s="210"/>
      <c r="O16" s="210"/>
      <c r="P16" s="210"/>
      <c r="Q16" s="210"/>
      <c r="R16" s="210"/>
      <c r="S16" s="210"/>
      <c r="T16" s="210"/>
      <c r="U16" s="61"/>
      <c r="V16" s="61"/>
      <c r="W16" s="61"/>
      <c r="X16" s="61"/>
      <c r="Y16" s="61"/>
    </row>
    <row r="17" spans="1:26" s="62" customFormat="1" ht="19.5" customHeight="1" thickTop="1">
      <c r="A17" s="238"/>
      <c r="B17" s="235" t="s">
        <v>420</v>
      </c>
      <c r="C17" s="235"/>
      <c r="D17" s="235"/>
      <c r="E17" s="235"/>
      <c r="F17" s="235"/>
      <c r="G17" s="235"/>
      <c r="H17" s="235"/>
      <c r="I17" s="235"/>
      <c r="J17" s="235"/>
      <c r="K17" s="235"/>
      <c r="L17" s="235"/>
      <c r="M17" s="235"/>
      <c r="N17" s="235"/>
      <c r="O17" s="235"/>
      <c r="P17" s="239" t="s">
        <v>421</v>
      </c>
      <c r="Q17" s="491">
        <f>'SP3-1'!I22</f>
        <v>0</v>
      </c>
      <c r="R17" s="492"/>
      <c r="S17" s="492"/>
      <c r="T17" s="235"/>
      <c r="U17" s="61"/>
      <c r="V17" s="61"/>
      <c r="W17" s="61"/>
      <c r="X17" s="61"/>
      <c r="Y17" s="61"/>
    </row>
    <row r="18" spans="1:26" s="62" customFormat="1" ht="19.5" customHeight="1" thickBot="1">
      <c r="A18" s="225"/>
      <c r="B18" s="63" t="s">
        <v>422</v>
      </c>
      <c r="C18" s="63"/>
      <c r="D18" s="63"/>
      <c r="E18" s="63"/>
      <c r="F18" s="63"/>
      <c r="G18" s="63"/>
      <c r="H18" s="63"/>
      <c r="I18" s="63"/>
      <c r="J18" s="63"/>
      <c r="K18" s="63"/>
      <c r="L18" s="63"/>
      <c r="M18" s="63"/>
      <c r="N18" s="63"/>
      <c r="O18" s="63"/>
      <c r="P18" s="63"/>
      <c r="Q18" s="63"/>
      <c r="R18" s="63"/>
      <c r="S18" s="63"/>
      <c r="T18" s="63"/>
      <c r="U18" s="61"/>
      <c r="V18" s="61"/>
      <c r="W18" s="61"/>
      <c r="X18" s="61"/>
      <c r="Y18" s="61"/>
    </row>
    <row r="19" spans="1:26" s="62" customFormat="1" ht="19.5" customHeight="1" thickBot="1">
      <c r="A19" s="225"/>
      <c r="B19" s="240" t="s">
        <v>423</v>
      </c>
      <c r="C19" s="495" t="s">
        <v>424</v>
      </c>
      <c r="D19" s="495"/>
      <c r="E19" s="495"/>
      <c r="F19" s="495"/>
      <c r="G19" s="495"/>
      <c r="H19" s="495"/>
      <c r="I19" s="495"/>
      <c r="J19" s="495"/>
      <c r="K19" s="495" t="s">
        <v>425</v>
      </c>
      <c r="L19" s="495"/>
      <c r="M19" s="495"/>
      <c r="N19" s="495" t="s">
        <v>426</v>
      </c>
      <c r="O19" s="495"/>
      <c r="P19" s="495"/>
      <c r="Q19" s="495" t="s">
        <v>427</v>
      </c>
      <c r="R19" s="495"/>
      <c r="S19" s="495"/>
      <c r="T19" s="63"/>
      <c r="U19" s="61"/>
      <c r="V19" s="61"/>
      <c r="W19" s="61"/>
      <c r="X19" s="61"/>
      <c r="Y19" s="61"/>
    </row>
    <row r="20" spans="1:26" s="62" customFormat="1" ht="19.5" customHeight="1" thickTop="1" thickBot="1">
      <c r="A20" s="225"/>
      <c r="B20" s="241"/>
      <c r="C20" s="496"/>
      <c r="D20" s="497"/>
      <c r="E20" s="497"/>
      <c r="F20" s="497"/>
      <c r="G20" s="497"/>
      <c r="H20" s="497"/>
      <c r="I20" s="497"/>
      <c r="J20" s="497"/>
      <c r="K20" s="498"/>
      <c r="L20" s="498"/>
      <c r="M20" s="498"/>
      <c r="N20" s="499" t="str">
        <f>Tables!H323</f>
        <v/>
      </c>
      <c r="O20" s="499"/>
      <c r="P20" s="499"/>
      <c r="Q20" s="500" t="str">
        <f>IF(N20="","",K20*N20)</f>
        <v/>
      </c>
      <c r="R20" s="500"/>
      <c r="S20" s="500"/>
      <c r="T20" s="63"/>
      <c r="U20" s="61"/>
      <c r="V20" s="435" t="s">
        <v>919</v>
      </c>
      <c r="W20" s="435"/>
      <c r="X20" s="435"/>
      <c r="Y20" s="435"/>
      <c r="Z20" s="435"/>
    </row>
    <row r="21" spans="1:26" s="62" customFormat="1" ht="19.5" customHeight="1" thickTop="1" thickBot="1">
      <c r="A21" s="225"/>
      <c r="B21" s="241"/>
      <c r="C21" s="497"/>
      <c r="D21" s="497"/>
      <c r="E21" s="497"/>
      <c r="F21" s="497"/>
      <c r="G21" s="497"/>
      <c r="H21" s="497"/>
      <c r="I21" s="497"/>
      <c r="J21" s="497"/>
      <c r="K21" s="498"/>
      <c r="L21" s="498"/>
      <c r="M21" s="498"/>
      <c r="N21" s="499" t="str">
        <f>Tables!H324</f>
        <v/>
      </c>
      <c r="O21" s="499"/>
      <c r="P21" s="499"/>
      <c r="Q21" s="500" t="str">
        <f t="shared" ref="Q21:Q28" si="0">IF(N21="","",K21*N21)</f>
        <v/>
      </c>
      <c r="R21" s="500"/>
      <c r="S21" s="500"/>
      <c r="T21" s="63"/>
      <c r="U21" s="61"/>
      <c r="V21" s="435"/>
      <c r="W21" s="435"/>
      <c r="X21" s="435"/>
      <c r="Y21" s="435"/>
      <c r="Z21" s="435"/>
    </row>
    <row r="22" spans="1:26" s="62" customFormat="1" ht="19.5" customHeight="1" thickTop="1" thickBot="1">
      <c r="A22" s="225"/>
      <c r="B22" s="241"/>
      <c r="C22" s="497"/>
      <c r="D22" s="497"/>
      <c r="E22" s="497"/>
      <c r="F22" s="497"/>
      <c r="G22" s="497"/>
      <c r="H22" s="497"/>
      <c r="I22" s="497"/>
      <c r="J22" s="497"/>
      <c r="K22" s="498"/>
      <c r="L22" s="498"/>
      <c r="M22" s="498"/>
      <c r="N22" s="499" t="str">
        <f>Tables!H325</f>
        <v/>
      </c>
      <c r="O22" s="499"/>
      <c r="P22" s="499"/>
      <c r="Q22" s="500" t="str">
        <f t="shared" si="0"/>
        <v/>
      </c>
      <c r="R22" s="500"/>
      <c r="S22" s="500"/>
      <c r="T22" s="63"/>
      <c r="U22" s="61"/>
      <c r="V22" s="435"/>
      <c r="W22" s="435"/>
      <c r="X22" s="435"/>
      <c r="Y22" s="435"/>
      <c r="Z22" s="435"/>
    </row>
    <row r="23" spans="1:26" s="62" customFormat="1" ht="19.5" customHeight="1" thickTop="1" thickBot="1">
      <c r="A23" s="225"/>
      <c r="B23" s="241"/>
      <c r="C23" s="497"/>
      <c r="D23" s="497"/>
      <c r="E23" s="497"/>
      <c r="F23" s="497"/>
      <c r="G23" s="497"/>
      <c r="H23" s="497"/>
      <c r="I23" s="497"/>
      <c r="J23" s="497"/>
      <c r="K23" s="498"/>
      <c r="L23" s="498"/>
      <c r="M23" s="498"/>
      <c r="N23" s="499" t="str">
        <f>Tables!H326</f>
        <v/>
      </c>
      <c r="O23" s="499"/>
      <c r="P23" s="499"/>
      <c r="Q23" s="500" t="str">
        <f t="shared" si="0"/>
        <v/>
      </c>
      <c r="R23" s="500"/>
      <c r="S23" s="500"/>
      <c r="T23" s="63"/>
      <c r="U23" s="61"/>
      <c r="V23" s="435"/>
      <c r="W23" s="435"/>
      <c r="X23" s="435"/>
      <c r="Y23" s="435"/>
      <c r="Z23" s="435"/>
    </row>
    <row r="24" spans="1:26" s="62" customFormat="1" ht="19.5" customHeight="1" thickTop="1" thickBot="1">
      <c r="A24" s="225"/>
      <c r="B24" s="241"/>
      <c r="C24" s="497"/>
      <c r="D24" s="497"/>
      <c r="E24" s="497"/>
      <c r="F24" s="497"/>
      <c r="G24" s="497"/>
      <c r="H24" s="497"/>
      <c r="I24" s="497"/>
      <c r="J24" s="497"/>
      <c r="K24" s="498"/>
      <c r="L24" s="498"/>
      <c r="M24" s="498"/>
      <c r="N24" s="499" t="str">
        <f>Tables!H327</f>
        <v/>
      </c>
      <c r="O24" s="499"/>
      <c r="P24" s="499"/>
      <c r="Q24" s="500" t="str">
        <f t="shared" si="0"/>
        <v/>
      </c>
      <c r="R24" s="500"/>
      <c r="S24" s="500"/>
      <c r="T24" s="63"/>
      <c r="U24" s="61"/>
      <c r="V24" s="435"/>
      <c r="W24" s="435"/>
      <c r="X24" s="435"/>
      <c r="Y24" s="435"/>
      <c r="Z24" s="435"/>
    </row>
    <row r="25" spans="1:26" s="62" customFormat="1" ht="19.5" customHeight="1" thickTop="1" thickBot="1">
      <c r="A25" s="225"/>
      <c r="B25" s="241"/>
      <c r="C25" s="497"/>
      <c r="D25" s="497"/>
      <c r="E25" s="497"/>
      <c r="F25" s="497"/>
      <c r="G25" s="497"/>
      <c r="H25" s="497"/>
      <c r="I25" s="497"/>
      <c r="J25" s="497"/>
      <c r="K25" s="498"/>
      <c r="L25" s="498"/>
      <c r="M25" s="498"/>
      <c r="N25" s="499" t="str">
        <f>Tables!H328</f>
        <v/>
      </c>
      <c r="O25" s="499"/>
      <c r="P25" s="499"/>
      <c r="Q25" s="500" t="str">
        <f t="shared" si="0"/>
        <v/>
      </c>
      <c r="R25" s="500"/>
      <c r="S25" s="500"/>
      <c r="T25" s="63"/>
      <c r="U25" s="61"/>
      <c r="V25" s="435"/>
      <c r="W25" s="435"/>
      <c r="X25" s="435"/>
      <c r="Y25" s="435"/>
      <c r="Z25" s="435"/>
    </row>
    <row r="26" spans="1:26" s="62" customFormat="1" ht="19.5" customHeight="1" thickTop="1" thickBot="1">
      <c r="A26" s="225"/>
      <c r="B26" s="241"/>
      <c r="C26" s="497"/>
      <c r="D26" s="497"/>
      <c r="E26" s="497"/>
      <c r="F26" s="497"/>
      <c r="G26" s="497"/>
      <c r="H26" s="497"/>
      <c r="I26" s="497"/>
      <c r="J26" s="497"/>
      <c r="K26" s="498"/>
      <c r="L26" s="498"/>
      <c r="M26" s="498"/>
      <c r="N26" s="499" t="str">
        <f>Tables!H329</f>
        <v/>
      </c>
      <c r="O26" s="499"/>
      <c r="P26" s="499"/>
      <c r="Q26" s="500" t="str">
        <f t="shared" si="0"/>
        <v/>
      </c>
      <c r="R26" s="500"/>
      <c r="S26" s="500"/>
      <c r="T26" s="63"/>
      <c r="U26" s="61"/>
      <c r="V26" s="435"/>
      <c r="W26" s="435"/>
      <c r="X26" s="435"/>
      <c r="Y26" s="435"/>
      <c r="Z26" s="435"/>
    </row>
    <row r="27" spans="1:26" s="62" customFormat="1" ht="19.5" customHeight="1" thickTop="1" thickBot="1">
      <c r="A27" s="225"/>
      <c r="B27" s="241"/>
      <c r="C27" s="497"/>
      <c r="D27" s="497"/>
      <c r="E27" s="497"/>
      <c r="F27" s="497"/>
      <c r="G27" s="497"/>
      <c r="H27" s="497"/>
      <c r="I27" s="497"/>
      <c r="J27" s="497"/>
      <c r="K27" s="498"/>
      <c r="L27" s="498"/>
      <c r="M27" s="498"/>
      <c r="N27" s="499" t="str">
        <f>Tables!H330</f>
        <v/>
      </c>
      <c r="O27" s="499"/>
      <c r="P27" s="499"/>
      <c r="Q27" s="500" t="str">
        <f t="shared" si="0"/>
        <v/>
      </c>
      <c r="R27" s="500"/>
      <c r="S27" s="500"/>
      <c r="T27" s="63"/>
      <c r="U27" s="61"/>
      <c r="V27" s="435"/>
      <c r="W27" s="435"/>
      <c r="X27" s="435"/>
      <c r="Y27" s="435"/>
      <c r="Z27" s="435"/>
    </row>
    <row r="28" spans="1:26" s="62" customFormat="1" ht="19.5" customHeight="1" thickTop="1" thickBot="1">
      <c r="A28" s="225"/>
      <c r="B28" s="241"/>
      <c r="C28" s="497"/>
      <c r="D28" s="497"/>
      <c r="E28" s="497"/>
      <c r="F28" s="497"/>
      <c r="G28" s="497"/>
      <c r="H28" s="497"/>
      <c r="I28" s="497"/>
      <c r="J28" s="497"/>
      <c r="K28" s="498"/>
      <c r="L28" s="498"/>
      <c r="M28" s="498"/>
      <c r="N28" s="499" t="str">
        <f>Tables!H331</f>
        <v/>
      </c>
      <c r="O28" s="499"/>
      <c r="P28" s="499"/>
      <c r="Q28" s="500" t="str">
        <f t="shared" si="0"/>
        <v/>
      </c>
      <c r="R28" s="500"/>
      <c r="S28" s="500"/>
      <c r="T28" s="63"/>
      <c r="U28" s="61"/>
      <c r="V28" s="435"/>
      <c r="W28" s="435"/>
      <c r="X28" s="435"/>
      <c r="Y28" s="435"/>
      <c r="Z28" s="435"/>
    </row>
    <row r="29" spans="1:26" s="62" customFormat="1" ht="19.5" customHeight="1" thickTop="1" thickBot="1">
      <c r="A29" s="225"/>
      <c r="B29" s="63"/>
      <c r="C29" s="63"/>
      <c r="D29" s="63"/>
      <c r="E29" s="63"/>
      <c r="F29" s="63"/>
      <c r="G29" s="63"/>
      <c r="H29" s="63"/>
      <c r="I29" s="63"/>
      <c r="J29" s="63"/>
      <c r="K29" s="63"/>
      <c r="L29" s="63"/>
      <c r="M29" s="63"/>
      <c r="N29" s="63"/>
      <c r="O29" s="63"/>
      <c r="P29" s="227" t="s">
        <v>428</v>
      </c>
      <c r="Q29" s="501">
        <f>SUM(Q20:S28)</f>
        <v>0</v>
      </c>
      <c r="R29" s="502"/>
      <c r="S29" s="503"/>
      <c r="T29" s="242" t="s">
        <v>429</v>
      </c>
      <c r="U29" s="61"/>
      <c r="V29" s="61"/>
      <c r="W29" s="61"/>
      <c r="X29" s="61"/>
      <c r="Y29" s="61"/>
    </row>
    <row r="30" spans="1:26" s="62" customFormat="1" ht="19.5" customHeight="1" thickTop="1" thickBot="1">
      <c r="A30" s="243">
        <v>4</v>
      </c>
      <c r="B30" s="504" t="s">
        <v>759</v>
      </c>
      <c r="C30" s="504"/>
      <c r="D30" s="504"/>
      <c r="E30" s="504"/>
      <c r="F30" s="504"/>
      <c r="G30" s="244"/>
      <c r="H30" s="244"/>
      <c r="I30" s="244"/>
      <c r="J30" s="244"/>
      <c r="K30" s="244"/>
      <c r="L30" s="244"/>
      <c r="M30" s="244"/>
      <c r="N30" s="244"/>
      <c r="O30" s="244"/>
      <c r="P30" s="244"/>
      <c r="Q30" s="244"/>
      <c r="R30" s="244"/>
      <c r="S30" s="244"/>
      <c r="T30" s="245"/>
      <c r="U30" s="61"/>
    </row>
    <row r="31" spans="1:26" s="62" customFormat="1" ht="19.5" customHeight="1" thickTop="1" thickBot="1">
      <c r="A31" s="209"/>
      <c r="B31" s="210"/>
      <c r="C31" s="210"/>
      <c r="D31" s="210"/>
      <c r="E31" s="210"/>
      <c r="F31" s="210"/>
      <c r="G31" s="210"/>
      <c r="H31" s="210"/>
      <c r="I31" s="210"/>
      <c r="J31" s="210"/>
      <c r="K31" s="210"/>
      <c r="L31" s="210"/>
      <c r="M31" s="210"/>
      <c r="N31" s="210"/>
      <c r="O31" s="210"/>
      <c r="P31" s="223" t="s">
        <v>760</v>
      </c>
      <c r="Q31" s="453">
        <f>Q15+Q29</f>
        <v>0</v>
      </c>
      <c r="R31" s="453"/>
      <c r="S31" s="453"/>
      <c r="T31" s="211" t="s">
        <v>393</v>
      </c>
      <c r="U31" s="61"/>
      <c r="V31" s="435" t="s">
        <v>431</v>
      </c>
      <c r="W31" s="435"/>
      <c r="X31" s="435"/>
      <c r="Y31" s="435"/>
      <c r="Z31" s="435"/>
    </row>
    <row r="32" spans="1:26" s="62" customFormat="1" ht="19.5" customHeight="1" thickTop="1">
      <c r="A32" s="138"/>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1:25" s="62" customFormat="1" ht="13.5" customHeight="1">
      <c r="A33" s="138"/>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1:25" s="62" customFormat="1" ht="13.5" customHeight="1">
      <c r="A34" s="138"/>
      <c r="B34" s="61"/>
      <c r="C34" s="61"/>
      <c r="D34" s="61"/>
      <c r="E34" s="61"/>
      <c r="F34" s="61"/>
      <c r="G34" s="61"/>
      <c r="H34" s="61"/>
      <c r="I34" s="61"/>
      <c r="J34" s="61"/>
      <c r="K34" s="61"/>
      <c r="L34" s="61"/>
      <c r="M34" s="61"/>
      <c r="N34" s="61"/>
      <c r="O34" s="61"/>
      <c r="P34" s="71"/>
      <c r="Q34" s="61"/>
      <c r="R34" s="61"/>
      <c r="S34" s="61"/>
      <c r="T34" s="138"/>
      <c r="U34" s="61"/>
      <c r="V34" s="61"/>
      <c r="W34" s="61"/>
      <c r="X34" s="61"/>
      <c r="Y34" s="61"/>
    </row>
    <row r="35" spans="1:25" s="62" customFormat="1" ht="13.5" customHeight="1">
      <c r="A35" s="138"/>
      <c r="B35" s="61"/>
      <c r="C35" s="61"/>
      <c r="D35" s="61"/>
      <c r="E35" s="61"/>
      <c r="F35" s="61"/>
      <c r="G35" s="61"/>
      <c r="H35" s="61"/>
      <c r="I35" s="61"/>
      <c r="J35" s="61"/>
      <c r="K35" s="61"/>
      <c r="L35" s="61"/>
      <c r="M35" s="61"/>
      <c r="N35" s="61"/>
      <c r="O35" s="61"/>
      <c r="P35" s="71"/>
      <c r="Q35" s="61"/>
      <c r="R35" s="61"/>
      <c r="S35" s="61"/>
      <c r="T35" s="138"/>
      <c r="U35" s="61"/>
      <c r="V35" s="61"/>
      <c r="W35" s="61"/>
      <c r="X35" s="61"/>
      <c r="Y35" s="61"/>
    </row>
    <row r="36" spans="1:25" s="62" customFormat="1" ht="13.5" customHeight="1">
      <c r="A36" s="138"/>
      <c r="B36" s="61"/>
      <c r="C36" s="61"/>
      <c r="D36" s="61"/>
      <c r="E36" s="61"/>
      <c r="F36" s="61"/>
      <c r="G36" s="61"/>
      <c r="H36" s="61"/>
      <c r="I36" s="61"/>
      <c r="J36" s="61"/>
      <c r="K36" s="61"/>
      <c r="L36" s="61"/>
      <c r="M36" s="61"/>
      <c r="N36" s="61"/>
      <c r="O36" s="61"/>
      <c r="P36" s="61"/>
      <c r="Q36" s="61"/>
      <c r="R36" s="61"/>
      <c r="S36" s="61"/>
      <c r="T36" s="138"/>
      <c r="U36" s="61"/>
      <c r="V36" s="61"/>
      <c r="W36" s="61"/>
      <c r="X36" s="61"/>
      <c r="Y36" s="61"/>
    </row>
    <row r="37" spans="1:25" s="62" customFormat="1" ht="13.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row>
    <row r="38" spans="1:25" s="69" customFormat="1">
      <c r="A38" s="61"/>
      <c r="B38" s="61"/>
      <c r="C38" s="61"/>
      <c r="D38" s="61"/>
      <c r="E38" s="61"/>
      <c r="F38" s="61"/>
      <c r="G38" s="61"/>
      <c r="H38" s="61"/>
      <c r="I38" s="61"/>
      <c r="J38" s="61"/>
      <c r="K38" s="61"/>
      <c r="L38" s="61"/>
      <c r="M38" s="61"/>
      <c r="N38" s="61"/>
      <c r="O38" s="61"/>
      <c r="P38" s="61"/>
      <c r="Q38" s="61"/>
      <c r="R38" s="61"/>
      <c r="S38" s="61"/>
      <c r="T38" s="61"/>
      <c r="U38" s="61"/>
      <c r="V38" s="61"/>
      <c r="W38" s="61"/>
      <c r="X38" s="61"/>
      <c r="Y38" s="61"/>
    </row>
    <row r="39" spans="1:25">
      <c r="A39" s="59"/>
      <c r="B39" s="59"/>
      <c r="C39" s="59"/>
      <c r="D39" s="59"/>
      <c r="E39" s="59"/>
      <c r="F39" s="59"/>
      <c r="G39" s="59"/>
      <c r="H39" s="59"/>
      <c r="I39" s="59"/>
      <c r="J39" s="59"/>
      <c r="K39" s="59"/>
      <c r="L39" s="59"/>
      <c r="M39" s="59"/>
      <c r="N39" s="59"/>
      <c r="O39" s="59"/>
      <c r="P39" s="59"/>
      <c r="Q39" s="59"/>
      <c r="R39" s="59"/>
      <c r="S39" s="59"/>
      <c r="T39" s="59"/>
      <c r="U39" s="59"/>
      <c r="V39" s="59"/>
      <c r="W39" s="59"/>
      <c r="X39" s="59"/>
      <c r="Y39" s="59"/>
    </row>
    <row r="40" spans="1:25">
      <c r="A40" s="59"/>
      <c r="B40" s="59"/>
      <c r="C40" s="59"/>
      <c r="D40" s="59"/>
      <c r="E40" s="59"/>
      <c r="F40" s="59"/>
      <c r="G40" s="59"/>
      <c r="H40" s="59"/>
      <c r="I40" s="59"/>
      <c r="J40" s="59"/>
      <c r="K40" s="59"/>
      <c r="L40" s="59"/>
      <c r="M40" s="59"/>
      <c r="N40" s="59"/>
      <c r="O40" s="59"/>
      <c r="P40" s="59"/>
      <c r="Q40" s="59"/>
      <c r="R40" s="59"/>
      <c r="S40" s="59"/>
      <c r="T40" s="59"/>
      <c r="U40" s="59"/>
      <c r="V40" s="59"/>
      <c r="W40" s="59"/>
      <c r="X40" s="59"/>
      <c r="Y40" s="59"/>
    </row>
    <row r="41" spans="1:25">
      <c r="A41" s="59"/>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25">
      <c r="A42" s="59"/>
      <c r="B42" s="59"/>
      <c r="C42" s="59"/>
      <c r="D42" s="59"/>
      <c r="E42" s="59"/>
      <c r="F42" s="59"/>
      <c r="G42" s="59"/>
      <c r="H42" s="59"/>
      <c r="I42" s="59"/>
      <c r="J42" s="59"/>
      <c r="K42" s="59"/>
      <c r="L42" s="59"/>
      <c r="M42" s="59"/>
      <c r="N42" s="59"/>
      <c r="O42" s="59"/>
      <c r="P42" s="59"/>
      <c r="Q42" s="59"/>
      <c r="R42" s="59"/>
      <c r="S42" s="59"/>
      <c r="T42" s="59"/>
      <c r="U42" s="59"/>
      <c r="V42" s="59"/>
      <c r="W42" s="59"/>
      <c r="X42" s="59"/>
      <c r="Y42" s="59"/>
    </row>
    <row r="43" spans="1:25" ht="12.65" hidden="1"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row>
    <row r="44" spans="1:25" hidden="1">
      <c r="A44" s="61">
        <v>0</v>
      </c>
      <c r="B44" s="59"/>
      <c r="C44" s="59"/>
      <c r="D44" s="59"/>
      <c r="E44" s="59"/>
      <c r="F44" s="59"/>
      <c r="G44" s="59"/>
      <c r="H44" s="59"/>
      <c r="I44" s="59"/>
      <c r="J44" s="59"/>
      <c r="K44" s="59"/>
      <c r="L44" s="59"/>
      <c r="M44" s="59"/>
      <c r="N44" s="59"/>
      <c r="O44" s="59"/>
      <c r="P44" s="59"/>
      <c r="Q44" s="59"/>
      <c r="R44" s="59"/>
      <c r="S44" s="59"/>
      <c r="T44" s="59"/>
      <c r="U44" s="59"/>
      <c r="V44" s="59"/>
      <c r="W44" s="59"/>
      <c r="X44" s="59"/>
      <c r="Y44" s="59"/>
    </row>
    <row r="45" spans="1:25" hidden="1">
      <c r="A45" s="61">
        <v>1</v>
      </c>
      <c r="B45" s="59"/>
      <c r="C45" s="59"/>
      <c r="D45" s="59"/>
      <c r="E45" s="59"/>
      <c r="F45" s="59"/>
      <c r="G45" s="59" t="s">
        <v>432</v>
      </c>
      <c r="H45" s="59"/>
      <c r="I45" s="59"/>
      <c r="J45" s="59"/>
      <c r="K45" s="59"/>
      <c r="L45" s="59"/>
      <c r="M45" s="59"/>
      <c r="N45" s="59"/>
      <c r="O45" s="59"/>
      <c r="P45" s="59"/>
      <c r="Q45" s="59"/>
      <c r="R45" s="59"/>
      <c r="S45" s="59"/>
      <c r="T45" s="59"/>
      <c r="U45" s="59"/>
      <c r="V45" s="59"/>
      <c r="W45" s="59"/>
      <c r="X45" s="59"/>
      <c r="Y45" s="59"/>
    </row>
    <row r="46" spans="1:25" hidden="1">
      <c r="A46" s="61">
        <v>2</v>
      </c>
      <c r="B46" s="59"/>
      <c r="C46" s="59"/>
      <c r="D46" s="59"/>
      <c r="E46" s="59"/>
      <c r="F46" s="59"/>
      <c r="G46" s="59" t="s">
        <v>433</v>
      </c>
      <c r="H46" s="59"/>
      <c r="I46" s="59"/>
      <c r="J46" s="59"/>
      <c r="K46" s="59"/>
      <c r="L46" s="59"/>
      <c r="M46" s="59"/>
      <c r="N46" s="59"/>
      <c r="O46" s="59"/>
      <c r="P46" s="59"/>
      <c r="Q46" s="59"/>
      <c r="R46" s="59"/>
      <c r="S46" s="59"/>
      <c r="T46" s="59"/>
      <c r="U46" s="59"/>
      <c r="V46" s="59"/>
      <c r="W46" s="59"/>
      <c r="X46" s="59"/>
      <c r="Y46" s="59"/>
    </row>
    <row r="47" spans="1:25" hidden="1">
      <c r="A47" s="61">
        <v>3</v>
      </c>
      <c r="B47" s="59"/>
      <c r="C47" s="59"/>
      <c r="D47" s="59"/>
      <c r="E47" s="59"/>
      <c r="F47" s="59"/>
      <c r="G47" s="59"/>
      <c r="H47" s="59"/>
      <c r="I47" s="59"/>
      <c r="J47" s="59"/>
      <c r="K47" s="59"/>
      <c r="L47" s="59"/>
      <c r="M47" s="59"/>
      <c r="N47" s="59"/>
      <c r="O47" s="59"/>
      <c r="P47" s="59"/>
      <c r="Q47" s="59"/>
      <c r="R47" s="59"/>
      <c r="S47" s="59"/>
      <c r="T47" s="59"/>
      <c r="U47" s="59"/>
      <c r="V47" s="59"/>
      <c r="W47" s="59"/>
      <c r="X47" s="59"/>
      <c r="Y47" s="59"/>
    </row>
    <row r="48" spans="1:25" hidden="1">
      <c r="A48" s="61">
        <v>4</v>
      </c>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hidden="1">
      <c r="A49" s="61">
        <v>5</v>
      </c>
      <c r="B49" s="59"/>
      <c r="C49" s="59"/>
      <c r="D49" s="59"/>
      <c r="E49" s="59"/>
      <c r="F49" s="59"/>
      <c r="G49" s="59"/>
      <c r="H49" s="59"/>
      <c r="I49" s="59"/>
      <c r="J49" s="59"/>
      <c r="K49" s="59"/>
      <c r="L49" s="59"/>
      <c r="M49" s="59"/>
      <c r="N49" s="59"/>
      <c r="O49" s="59"/>
      <c r="P49" s="59"/>
      <c r="Q49" s="59"/>
      <c r="R49" s="59"/>
      <c r="S49" s="59"/>
      <c r="T49" s="59"/>
      <c r="U49" s="59"/>
      <c r="V49" s="59"/>
      <c r="W49" s="59"/>
      <c r="X49" s="59"/>
      <c r="Y49" s="59"/>
    </row>
    <row r="50" spans="1:25" hidden="1">
      <c r="A50" s="61">
        <v>6</v>
      </c>
      <c r="B50" s="59"/>
      <c r="C50" s="59"/>
      <c r="D50" s="59"/>
      <c r="E50" s="59"/>
      <c r="F50" s="59"/>
      <c r="G50" s="59"/>
      <c r="H50" s="59"/>
      <c r="I50" s="59"/>
      <c r="J50" s="59"/>
      <c r="K50" s="59"/>
      <c r="L50" s="59"/>
      <c r="M50" s="59"/>
      <c r="N50" s="59"/>
      <c r="O50" s="59"/>
      <c r="P50" s="59"/>
      <c r="Q50" s="59"/>
      <c r="R50" s="59"/>
      <c r="S50" s="59"/>
      <c r="T50" s="59"/>
      <c r="U50" s="59"/>
      <c r="V50" s="59"/>
      <c r="W50" s="59"/>
      <c r="X50" s="59"/>
      <c r="Y50" s="59"/>
    </row>
    <row r="51" spans="1:25" hidden="1">
      <c r="A51" s="61">
        <v>7</v>
      </c>
      <c r="B51" s="59"/>
      <c r="C51" s="59"/>
      <c r="D51" s="59"/>
      <c r="E51" s="59"/>
      <c r="F51" s="59"/>
      <c r="G51" s="59"/>
      <c r="H51" s="59"/>
      <c r="I51" s="59"/>
      <c r="J51" s="59"/>
      <c r="K51" s="59"/>
      <c r="L51" s="59"/>
      <c r="M51" s="59"/>
      <c r="N51" s="59"/>
      <c r="O51" s="59"/>
      <c r="P51" s="59"/>
      <c r="Q51" s="59"/>
      <c r="R51" s="59"/>
      <c r="S51" s="59"/>
      <c r="T51" s="59"/>
      <c r="U51" s="59"/>
      <c r="V51" s="59"/>
      <c r="W51" s="59"/>
      <c r="X51" s="59"/>
      <c r="Y51" s="59"/>
    </row>
    <row r="52" spans="1:25" hidden="1">
      <c r="A52" s="61">
        <v>8</v>
      </c>
      <c r="B52" s="59"/>
      <c r="C52" s="59"/>
      <c r="D52" s="59"/>
      <c r="E52" s="59"/>
      <c r="F52" s="59"/>
      <c r="G52" s="59"/>
      <c r="H52" s="59"/>
      <c r="I52" s="59"/>
      <c r="J52" s="59"/>
      <c r="K52" s="59"/>
      <c r="L52" s="59"/>
      <c r="M52" s="59"/>
      <c r="N52" s="59"/>
      <c r="O52" s="59"/>
      <c r="P52" s="59"/>
      <c r="Q52" s="59"/>
      <c r="R52" s="59"/>
      <c r="S52" s="59"/>
      <c r="T52" s="59"/>
      <c r="U52" s="59"/>
      <c r="V52" s="59"/>
      <c r="W52" s="59"/>
      <c r="X52" s="59"/>
      <c r="Y52" s="59"/>
    </row>
    <row r="53" spans="1:25" hidden="1">
      <c r="A53" s="61">
        <v>9</v>
      </c>
      <c r="B53" s="59"/>
      <c r="C53" s="59"/>
      <c r="D53" s="59"/>
      <c r="E53" s="59"/>
      <c r="F53" s="59"/>
      <c r="G53" s="59"/>
      <c r="H53" s="59"/>
      <c r="I53" s="59"/>
      <c r="J53" s="59"/>
      <c r="K53" s="59"/>
      <c r="L53" s="59"/>
      <c r="M53" s="59"/>
      <c r="N53" s="59"/>
      <c r="O53" s="59"/>
      <c r="P53" s="59"/>
      <c r="Q53" s="59"/>
      <c r="R53" s="59"/>
      <c r="S53" s="59"/>
      <c r="T53" s="59"/>
      <c r="U53" s="59"/>
      <c r="V53" s="59"/>
      <c r="W53" s="59"/>
      <c r="X53" s="59"/>
      <c r="Y53" s="59"/>
    </row>
    <row r="54" spans="1:25" hidden="1">
      <c r="A54" s="61">
        <v>10</v>
      </c>
      <c r="B54" s="59"/>
      <c r="C54" s="59"/>
      <c r="D54" s="59"/>
      <c r="E54" s="59"/>
      <c r="F54" s="59"/>
      <c r="G54" s="59"/>
      <c r="H54" s="59"/>
      <c r="I54" s="59"/>
      <c r="J54" s="59"/>
      <c r="K54" s="59"/>
      <c r="L54" s="59"/>
      <c r="M54" s="59"/>
      <c r="N54" s="59"/>
      <c r="O54" s="59"/>
      <c r="P54" s="59"/>
      <c r="Q54" s="59"/>
      <c r="R54" s="59"/>
      <c r="S54" s="59"/>
      <c r="T54" s="59"/>
      <c r="U54" s="59"/>
      <c r="V54" s="59"/>
      <c r="W54" s="59"/>
      <c r="X54" s="59"/>
      <c r="Y54" s="59"/>
    </row>
    <row r="55" spans="1:25" hidden="1">
      <c r="A55" s="61">
        <v>11</v>
      </c>
      <c r="B55" s="59"/>
      <c r="C55" s="59"/>
      <c r="D55" s="59"/>
      <c r="E55" s="59"/>
      <c r="F55" s="59"/>
      <c r="G55" s="59"/>
      <c r="H55" s="59"/>
      <c r="I55" s="59"/>
      <c r="J55" s="59"/>
      <c r="K55" s="59"/>
      <c r="L55" s="59"/>
      <c r="M55" s="59"/>
      <c r="N55" s="59"/>
      <c r="O55" s="59"/>
      <c r="P55" s="59"/>
      <c r="Q55" s="59"/>
      <c r="R55" s="59"/>
      <c r="S55" s="59"/>
      <c r="T55" s="59"/>
      <c r="U55" s="59"/>
      <c r="V55" s="59"/>
      <c r="W55" s="59"/>
      <c r="X55" s="59"/>
      <c r="Y55" s="59"/>
    </row>
    <row r="56" spans="1:25" hidden="1">
      <c r="A56" s="61">
        <v>12</v>
      </c>
      <c r="B56" s="59"/>
      <c r="C56" s="59"/>
      <c r="D56" s="59"/>
      <c r="E56" s="59"/>
      <c r="F56" s="59"/>
      <c r="G56" s="59"/>
      <c r="H56" s="59"/>
      <c r="I56" s="59"/>
      <c r="J56" s="59"/>
      <c r="K56" s="59"/>
      <c r="L56" s="59"/>
      <c r="M56" s="59"/>
      <c r="N56" s="59"/>
      <c r="O56" s="59"/>
      <c r="P56" s="59"/>
      <c r="Q56" s="59"/>
      <c r="R56" s="59"/>
      <c r="S56" s="59"/>
      <c r="T56" s="59"/>
      <c r="U56" s="59"/>
      <c r="V56" s="59"/>
      <c r="W56" s="59"/>
      <c r="X56" s="59"/>
      <c r="Y56" s="59"/>
    </row>
    <row r="57" spans="1:25" hidden="1">
      <c r="A57" s="61">
        <v>13</v>
      </c>
      <c r="B57" s="59"/>
      <c r="C57" s="59"/>
      <c r="D57" s="59"/>
      <c r="E57" s="59"/>
      <c r="F57" s="59"/>
      <c r="G57" s="59"/>
      <c r="H57" s="59"/>
      <c r="I57" s="59"/>
      <c r="J57" s="59"/>
      <c r="K57" s="59"/>
      <c r="L57" s="59"/>
      <c r="M57" s="59"/>
      <c r="N57" s="59"/>
      <c r="O57" s="59"/>
      <c r="P57" s="59"/>
      <c r="Q57" s="59"/>
      <c r="R57" s="59"/>
      <c r="S57" s="59"/>
      <c r="T57" s="59"/>
      <c r="U57" s="59"/>
      <c r="V57" s="59"/>
      <c r="W57" s="59"/>
      <c r="X57" s="59"/>
      <c r="Y57" s="59"/>
    </row>
    <row r="58" spans="1:25" hidden="1">
      <c r="A58" s="61">
        <v>14</v>
      </c>
      <c r="B58" s="59"/>
      <c r="C58" s="59"/>
      <c r="D58" s="59"/>
      <c r="E58" s="59"/>
      <c r="F58" s="59"/>
      <c r="G58" s="59"/>
      <c r="H58" s="59"/>
      <c r="I58" s="59"/>
      <c r="J58" s="59"/>
      <c r="K58" s="59"/>
      <c r="L58" s="59"/>
      <c r="M58" s="59"/>
      <c r="N58" s="59"/>
      <c r="O58" s="59"/>
      <c r="P58" s="59"/>
      <c r="Q58" s="59"/>
      <c r="R58" s="59"/>
      <c r="S58" s="59"/>
      <c r="T58" s="59"/>
      <c r="U58" s="59"/>
      <c r="V58" s="59"/>
      <c r="W58" s="59"/>
      <c r="X58" s="59"/>
      <c r="Y58" s="59"/>
    </row>
    <row r="59" spans="1:25" hidden="1">
      <c r="A59" s="61">
        <v>15</v>
      </c>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hidden="1">
      <c r="A60" s="61">
        <v>16</v>
      </c>
      <c r="B60" s="59"/>
      <c r="C60" s="59"/>
      <c r="D60" s="59"/>
      <c r="E60" s="59"/>
      <c r="F60" s="59"/>
      <c r="G60" s="59"/>
      <c r="H60" s="59"/>
      <c r="I60" s="59"/>
      <c r="J60" s="59"/>
      <c r="K60" s="59"/>
      <c r="L60" s="59"/>
      <c r="M60" s="59"/>
      <c r="N60" s="59"/>
      <c r="O60" s="59"/>
      <c r="P60" s="59"/>
      <c r="Q60" s="59"/>
      <c r="R60" s="59"/>
      <c r="S60" s="59"/>
      <c r="T60" s="59"/>
      <c r="U60" s="59"/>
      <c r="V60" s="59"/>
      <c r="W60" s="59"/>
      <c r="X60" s="59"/>
      <c r="Y60" s="59"/>
    </row>
    <row r="61" spans="1:25" hidden="1">
      <c r="A61" s="61">
        <v>17</v>
      </c>
      <c r="B61" s="59"/>
      <c r="C61" s="59"/>
      <c r="D61" s="59"/>
      <c r="E61" s="59"/>
      <c r="F61" s="59"/>
      <c r="G61" s="59"/>
      <c r="H61" s="59"/>
      <c r="I61" s="59"/>
      <c r="J61" s="59"/>
      <c r="K61" s="59"/>
      <c r="L61" s="59"/>
      <c r="M61" s="59"/>
      <c r="N61" s="59"/>
      <c r="O61" s="59"/>
      <c r="P61" s="59"/>
      <c r="Q61" s="59"/>
      <c r="R61" s="59"/>
      <c r="S61" s="59"/>
      <c r="T61" s="59"/>
      <c r="U61" s="59"/>
      <c r="V61" s="59"/>
      <c r="W61" s="59"/>
      <c r="X61" s="59"/>
      <c r="Y61" s="59"/>
    </row>
    <row r="62" spans="1:25" hidden="1">
      <c r="A62" s="61">
        <v>18</v>
      </c>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idden="1">
      <c r="A63" s="61">
        <v>19</v>
      </c>
      <c r="B63" s="59"/>
      <c r="C63" s="59"/>
      <c r="D63" s="59"/>
      <c r="E63" s="59"/>
      <c r="F63" s="59"/>
      <c r="G63" s="59"/>
      <c r="H63" s="59"/>
      <c r="I63" s="59"/>
      <c r="J63" s="59"/>
      <c r="K63" s="59"/>
      <c r="L63" s="59"/>
      <c r="M63" s="59"/>
      <c r="N63" s="59"/>
      <c r="O63" s="59"/>
      <c r="P63" s="59"/>
      <c r="Q63" s="59"/>
      <c r="R63" s="59"/>
      <c r="S63" s="59"/>
      <c r="T63" s="59"/>
      <c r="U63" s="59"/>
      <c r="V63" s="59"/>
      <c r="W63" s="59"/>
      <c r="X63" s="59"/>
      <c r="Y63" s="59"/>
    </row>
    <row r="64" spans="1:25" hidden="1">
      <c r="A64" s="61">
        <v>20</v>
      </c>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hidden="1">
      <c r="A65" s="61">
        <v>21</v>
      </c>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hidden="1">
      <c r="A66" s="61">
        <v>22</v>
      </c>
      <c r="B66" s="59"/>
      <c r="C66" s="59"/>
      <c r="D66" s="59"/>
      <c r="E66" s="59"/>
      <c r="F66" s="59"/>
      <c r="G66" s="59"/>
      <c r="H66" s="59"/>
      <c r="I66" s="59"/>
      <c r="J66" s="59"/>
      <c r="K66" s="59"/>
      <c r="L66" s="59"/>
      <c r="M66" s="59"/>
      <c r="N66" s="59"/>
      <c r="O66" s="59"/>
      <c r="P66" s="59"/>
      <c r="Q66" s="59"/>
      <c r="R66" s="59"/>
      <c r="S66" s="59"/>
      <c r="T66" s="59"/>
      <c r="U66" s="59"/>
      <c r="V66" s="59"/>
      <c r="W66" s="59"/>
      <c r="X66" s="59"/>
      <c r="Y66" s="59"/>
    </row>
    <row r="67" spans="1:25" hidden="1">
      <c r="A67" s="61">
        <v>23</v>
      </c>
      <c r="B67" s="59"/>
      <c r="C67" s="59"/>
      <c r="D67" s="59"/>
      <c r="E67" s="59"/>
      <c r="F67" s="59"/>
      <c r="G67" s="59"/>
      <c r="H67" s="59"/>
      <c r="I67" s="59"/>
      <c r="J67" s="59"/>
      <c r="K67" s="59"/>
      <c r="L67" s="59"/>
      <c r="M67" s="59"/>
      <c r="N67" s="59"/>
      <c r="O67" s="59"/>
      <c r="P67" s="59"/>
      <c r="Q67" s="59"/>
      <c r="R67" s="59"/>
      <c r="S67" s="59"/>
      <c r="T67" s="59"/>
      <c r="U67" s="59"/>
      <c r="V67" s="59"/>
      <c r="W67" s="59"/>
      <c r="X67" s="59"/>
      <c r="Y67" s="59"/>
    </row>
    <row r="68" spans="1:25" hidden="1">
      <c r="A68" s="61">
        <v>24</v>
      </c>
      <c r="B68" s="59"/>
      <c r="C68" s="59"/>
      <c r="D68" s="59"/>
      <c r="E68" s="59"/>
      <c r="F68" s="59"/>
      <c r="G68" s="59"/>
      <c r="H68" s="59"/>
      <c r="I68" s="59"/>
      <c r="J68" s="59"/>
      <c r="K68" s="59"/>
      <c r="L68" s="59"/>
      <c r="M68" s="59"/>
      <c r="N68" s="59"/>
      <c r="O68" s="59"/>
      <c r="P68" s="59"/>
      <c r="Q68" s="59"/>
      <c r="R68" s="59"/>
      <c r="S68" s="59"/>
      <c r="T68" s="59"/>
      <c r="U68" s="59"/>
      <c r="V68" s="59"/>
      <c r="W68" s="59"/>
      <c r="X68" s="59"/>
      <c r="Y68" s="59"/>
    </row>
    <row r="69" spans="1:25" hidden="1">
      <c r="A69" s="61">
        <v>25</v>
      </c>
      <c r="B69" s="59"/>
      <c r="C69" s="59"/>
      <c r="D69" s="59"/>
      <c r="E69" s="59"/>
      <c r="F69" s="59"/>
      <c r="G69" s="59"/>
      <c r="H69" s="59"/>
      <c r="I69" s="59"/>
      <c r="J69" s="59"/>
      <c r="K69" s="59"/>
      <c r="L69" s="59"/>
      <c r="M69" s="59"/>
      <c r="N69" s="59"/>
      <c r="O69" s="59"/>
      <c r="P69" s="59"/>
      <c r="Q69" s="59"/>
      <c r="R69" s="59"/>
      <c r="S69" s="59"/>
      <c r="T69" s="59"/>
      <c r="U69" s="59"/>
      <c r="V69" s="59"/>
      <c r="W69" s="59"/>
      <c r="X69" s="59"/>
      <c r="Y69" s="59"/>
    </row>
    <row r="70" spans="1:25" hidden="1">
      <c r="A70" s="61">
        <v>26</v>
      </c>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hidden="1">
      <c r="A71" s="61">
        <v>27</v>
      </c>
      <c r="B71" s="59"/>
      <c r="C71" s="59"/>
      <c r="D71" s="59"/>
      <c r="E71" s="59"/>
      <c r="F71" s="59"/>
      <c r="G71" s="59"/>
      <c r="H71" s="59"/>
      <c r="I71" s="59"/>
      <c r="J71" s="59"/>
      <c r="K71" s="59"/>
      <c r="L71" s="59"/>
      <c r="M71" s="59"/>
      <c r="N71" s="59"/>
      <c r="O71" s="59"/>
      <c r="P71" s="59"/>
      <c r="Q71" s="59"/>
      <c r="R71" s="59"/>
      <c r="S71" s="59"/>
      <c r="T71" s="59"/>
      <c r="U71" s="59"/>
      <c r="V71" s="59"/>
      <c r="W71" s="59"/>
      <c r="X71" s="59"/>
      <c r="Y71" s="59"/>
    </row>
    <row r="72" spans="1:25" hidden="1">
      <c r="A72" s="61">
        <v>28</v>
      </c>
      <c r="B72" s="59"/>
      <c r="C72" s="59"/>
      <c r="D72" s="59"/>
      <c r="E72" s="59"/>
      <c r="F72" s="59"/>
      <c r="G72" s="59"/>
      <c r="H72" s="59"/>
      <c r="I72" s="59"/>
      <c r="J72" s="59"/>
      <c r="K72" s="59"/>
      <c r="L72" s="59"/>
      <c r="M72" s="59"/>
      <c r="N72" s="59"/>
      <c r="O72" s="59"/>
      <c r="P72" s="59"/>
      <c r="Q72" s="59"/>
      <c r="R72" s="59"/>
      <c r="S72" s="59"/>
      <c r="T72" s="59"/>
      <c r="U72" s="59"/>
      <c r="V72" s="59"/>
      <c r="W72" s="59"/>
      <c r="X72" s="59"/>
      <c r="Y72" s="59"/>
    </row>
    <row r="73" spans="1:25" hidden="1">
      <c r="A73" s="61">
        <v>29</v>
      </c>
      <c r="B73" s="59"/>
      <c r="C73" s="59"/>
      <c r="D73" s="59"/>
      <c r="E73" s="59"/>
      <c r="F73" s="59"/>
      <c r="G73" s="59"/>
      <c r="H73" s="59"/>
      <c r="I73" s="59"/>
      <c r="J73" s="59"/>
      <c r="K73" s="59"/>
      <c r="L73" s="59"/>
      <c r="M73" s="59"/>
      <c r="N73" s="59"/>
      <c r="O73" s="59"/>
      <c r="P73" s="59"/>
      <c r="Q73" s="59"/>
      <c r="R73" s="59"/>
      <c r="S73" s="59"/>
      <c r="T73" s="59"/>
      <c r="U73" s="59"/>
      <c r="V73" s="59"/>
      <c r="W73" s="59"/>
      <c r="X73" s="59"/>
      <c r="Y73" s="59"/>
    </row>
    <row r="74" spans="1:25" hidden="1">
      <c r="A74" s="61">
        <v>30</v>
      </c>
      <c r="B74" s="59"/>
      <c r="C74" s="59"/>
      <c r="D74" s="59"/>
      <c r="E74" s="59"/>
      <c r="F74" s="59"/>
      <c r="G74" s="59"/>
      <c r="H74" s="59"/>
      <c r="I74" s="59"/>
      <c r="J74" s="59"/>
      <c r="K74" s="59"/>
      <c r="L74" s="59"/>
      <c r="M74" s="59"/>
      <c r="N74" s="59"/>
      <c r="O74" s="59"/>
      <c r="P74" s="59"/>
      <c r="Q74" s="59"/>
      <c r="R74" s="59"/>
      <c r="S74" s="59"/>
      <c r="T74" s="59"/>
      <c r="U74" s="59"/>
      <c r="V74" s="59"/>
      <c r="W74" s="59"/>
      <c r="X74" s="59"/>
      <c r="Y74" s="59"/>
    </row>
    <row r="75" spans="1:25" hidden="1">
      <c r="A75" s="61">
        <v>31</v>
      </c>
      <c r="B75" s="59"/>
      <c r="C75" s="59"/>
      <c r="D75" s="59"/>
      <c r="E75" s="59"/>
      <c r="F75" s="59"/>
      <c r="G75" s="59"/>
      <c r="H75" s="59"/>
      <c r="I75" s="59"/>
      <c r="J75" s="59"/>
      <c r="K75" s="59"/>
      <c r="L75" s="59"/>
      <c r="M75" s="59"/>
      <c r="N75" s="59"/>
      <c r="O75" s="59"/>
      <c r="P75" s="59"/>
      <c r="Q75" s="59"/>
      <c r="R75" s="59"/>
      <c r="S75" s="59"/>
      <c r="T75" s="59"/>
      <c r="U75" s="59"/>
      <c r="V75" s="59"/>
      <c r="W75" s="59"/>
      <c r="X75" s="59"/>
      <c r="Y75" s="59"/>
    </row>
    <row r="76" spans="1:25" hidden="1">
      <c r="A76" s="61">
        <v>32</v>
      </c>
      <c r="B76" s="59"/>
      <c r="C76" s="59"/>
      <c r="D76" s="59"/>
      <c r="E76" s="59"/>
      <c r="F76" s="59"/>
      <c r="G76" s="59"/>
      <c r="H76" s="59"/>
      <c r="I76" s="59"/>
      <c r="J76" s="59"/>
      <c r="K76" s="59"/>
      <c r="L76" s="59"/>
      <c r="M76" s="59"/>
      <c r="N76" s="59"/>
      <c r="O76" s="59"/>
      <c r="P76" s="59"/>
      <c r="Q76" s="59"/>
      <c r="R76" s="59"/>
      <c r="S76" s="59"/>
      <c r="T76" s="59"/>
      <c r="U76" s="59"/>
      <c r="V76" s="59"/>
      <c r="W76" s="59"/>
      <c r="X76" s="59"/>
      <c r="Y76" s="59"/>
    </row>
    <row r="77" spans="1:25" hidden="1">
      <c r="A77" s="61">
        <v>33</v>
      </c>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idden="1">
      <c r="A78" s="61">
        <v>34</v>
      </c>
      <c r="B78" s="59"/>
      <c r="C78" s="59"/>
      <c r="D78" s="59"/>
      <c r="E78" s="59"/>
      <c r="F78" s="59"/>
      <c r="G78" s="59"/>
      <c r="H78" s="59"/>
      <c r="I78" s="59"/>
      <c r="J78" s="59"/>
      <c r="K78" s="59"/>
      <c r="L78" s="59"/>
      <c r="M78" s="59"/>
      <c r="N78" s="59"/>
      <c r="O78" s="59"/>
      <c r="P78" s="59"/>
      <c r="Q78" s="59"/>
      <c r="R78" s="59"/>
      <c r="S78" s="59"/>
      <c r="T78" s="59"/>
      <c r="U78" s="59"/>
      <c r="V78" s="59"/>
      <c r="W78" s="59"/>
      <c r="X78" s="59"/>
      <c r="Y78" s="59"/>
    </row>
    <row r="79" spans="1:25" hidden="1">
      <c r="A79" s="61">
        <v>35</v>
      </c>
    </row>
    <row r="80" spans="1:25" hidden="1">
      <c r="A80" s="61">
        <v>36</v>
      </c>
    </row>
    <row r="81" spans="1:1" hidden="1">
      <c r="A81" s="61">
        <v>37</v>
      </c>
    </row>
    <row r="82" spans="1:1" hidden="1">
      <c r="A82" s="61">
        <v>38</v>
      </c>
    </row>
    <row r="83" spans="1:1" hidden="1">
      <c r="A83" s="61">
        <v>39</v>
      </c>
    </row>
    <row r="84" spans="1:1" hidden="1">
      <c r="A84" s="61">
        <v>40</v>
      </c>
    </row>
  </sheetData>
  <sheetProtection algorithmName="SHA-512" hashValue="Zj64XOS4Qs+Rq52OHx7YIUfqe1pMWdWnZcIA18rHBHQEkdAgNuejLJjg43VtynqLgJYm7QogOoL3HiXadfkpDw==" saltValue="gWZBs6AMO0RsUTPf2lNqiA==" spinCount="100000" sheet="1" selectLockedCells="1"/>
  <protectedRanges>
    <protectedRange sqref="Q34:S35" name="Range13"/>
    <protectedRange sqref="F17:O17 C7:T7 F8:O8 Q17:S17 T8" name="Range1"/>
    <protectedRange sqref="T15 T10:T12 P12:P13 H14:T14 H10:J12 H13:L13 N10:N13" name="Range2"/>
    <protectedRange sqref="T16:T17 H16:S16" name="Range3"/>
    <protectedRange sqref="T19:T21 P29:S29 H19:S28" name="Range5"/>
    <protectedRange sqref="K29" name="Range9"/>
    <protectedRange sqref="G30:I33" name="Range10"/>
    <protectedRange sqref="R30:S31" name="Range11"/>
    <protectedRange sqref="Q34:S35" name="Range12"/>
  </protectedRanges>
  <mergeCells count="68">
    <mergeCell ref="Q29:S29"/>
    <mergeCell ref="B30:F30"/>
    <mergeCell ref="Q31:S31"/>
    <mergeCell ref="V31:Z31"/>
    <mergeCell ref="C27:J27"/>
    <mergeCell ref="K27:M27"/>
    <mergeCell ref="N27:P27"/>
    <mergeCell ref="Q27:S27"/>
    <mergeCell ref="C28:J28"/>
    <mergeCell ref="K28:M28"/>
    <mergeCell ref="N28:P28"/>
    <mergeCell ref="Q28:S28"/>
    <mergeCell ref="V20:Z28"/>
    <mergeCell ref="C21:J21"/>
    <mergeCell ref="K21:M21"/>
    <mergeCell ref="N21:P21"/>
    <mergeCell ref="C25:J25"/>
    <mergeCell ref="K25:M25"/>
    <mergeCell ref="N25:P25"/>
    <mergeCell ref="Q25:S25"/>
    <mergeCell ref="C26:J26"/>
    <mergeCell ref="K26:M26"/>
    <mergeCell ref="N26:P26"/>
    <mergeCell ref="Q26:S26"/>
    <mergeCell ref="K23:M23"/>
    <mergeCell ref="N23:P23"/>
    <mergeCell ref="Q23:S23"/>
    <mergeCell ref="C24:J24"/>
    <mergeCell ref="K24:M24"/>
    <mergeCell ref="N24:P24"/>
    <mergeCell ref="Q24:S24"/>
    <mergeCell ref="C23:J23"/>
    <mergeCell ref="Q21:S21"/>
    <mergeCell ref="C22:J22"/>
    <mergeCell ref="K22:M22"/>
    <mergeCell ref="N22:P22"/>
    <mergeCell ref="Q22:S22"/>
    <mergeCell ref="C19:J19"/>
    <mergeCell ref="K19:M19"/>
    <mergeCell ref="N19:P19"/>
    <mergeCell ref="Q19:S19"/>
    <mergeCell ref="C20:J20"/>
    <mergeCell ref="K20:M20"/>
    <mergeCell ref="N20:P20"/>
    <mergeCell ref="Q20:S20"/>
    <mergeCell ref="V13:Z13"/>
    <mergeCell ref="B14:H14"/>
    <mergeCell ref="K15:M15"/>
    <mergeCell ref="Q15:S15"/>
    <mergeCell ref="B16:H16"/>
    <mergeCell ref="Q17:S17"/>
    <mergeCell ref="K11:M11"/>
    <mergeCell ref="Q11:S11"/>
    <mergeCell ref="K12:L12"/>
    <mergeCell ref="M12:O12"/>
    <mergeCell ref="Q12:S12"/>
    <mergeCell ref="M13:O13"/>
    <mergeCell ref="Q13:S13"/>
    <mergeCell ref="B4:S5"/>
    <mergeCell ref="B7:N7"/>
    <mergeCell ref="E9:G9"/>
    <mergeCell ref="K9:M9"/>
    <mergeCell ref="Q9:S9"/>
    <mergeCell ref="V9:Z11"/>
    <mergeCell ref="E10:G10"/>
    <mergeCell ref="K10:M10"/>
    <mergeCell ref="Q10:S10"/>
    <mergeCell ref="E11:G11"/>
  </mergeCells>
  <dataValidations count="2">
    <dataValidation type="list" allowBlank="1" showInputMessage="1" showErrorMessage="1" sqref="M12:O13 JI12:JK13 TE12:TG13 ADA12:ADC13 AMW12:AMY13 AWS12:AWU13 BGO12:BGQ13 BQK12:BQM13 CAG12:CAI13 CKC12:CKE13 CTY12:CUA13 DDU12:DDW13 DNQ12:DNS13 DXM12:DXO13 EHI12:EHK13 ERE12:ERG13 FBA12:FBC13 FKW12:FKY13 FUS12:FUU13 GEO12:GEQ13 GOK12:GOM13 GYG12:GYI13 HIC12:HIE13 HRY12:HSA13 IBU12:IBW13 ILQ12:ILS13 IVM12:IVO13 JFI12:JFK13 JPE12:JPG13 JZA12:JZC13 KIW12:KIY13 KSS12:KSU13 LCO12:LCQ13 LMK12:LMM13 LWG12:LWI13 MGC12:MGE13 MPY12:MQA13 MZU12:MZW13 NJQ12:NJS13 NTM12:NTO13 ODI12:ODK13 ONE12:ONG13 OXA12:OXC13 PGW12:PGY13 PQS12:PQU13 QAO12:QAQ13 QKK12:QKM13 QUG12:QUI13 REC12:REE13 RNY12:ROA13 RXU12:RXW13 SHQ12:SHS13 SRM12:SRO13 TBI12:TBK13 TLE12:TLG13 TVA12:TVC13 UEW12:UEY13 UOS12:UOU13 UYO12:UYQ13 VIK12:VIM13 VSG12:VSI13 WCC12:WCE13 WLY12:WMA13 WVU12:WVW13 M65548:O65549 JI65548:JK65549 TE65548:TG65549 ADA65548:ADC65549 AMW65548:AMY65549 AWS65548:AWU65549 BGO65548:BGQ65549 BQK65548:BQM65549 CAG65548:CAI65549 CKC65548:CKE65549 CTY65548:CUA65549 DDU65548:DDW65549 DNQ65548:DNS65549 DXM65548:DXO65549 EHI65548:EHK65549 ERE65548:ERG65549 FBA65548:FBC65549 FKW65548:FKY65549 FUS65548:FUU65549 GEO65548:GEQ65549 GOK65548:GOM65549 GYG65548:GYI65549 HIC65548:HIE65549 HRY65548:HSA65549 IBU65548:IBW65549 ILQ65548:ILS65549 IVM65548:IVO65549 JFI65548:JFK65549 JPE65548:JPG65549 JZA65548:JZC65549 KIW65548:KIY65549 KSS65548:KSU65549 LCO65548:LCQ65549 LMK65548:LMM65549 LWG65548:LWI65549 MGC65548:MGE65549 MPY65548:MQA65549 MZU65548:MZW65549 NJQ65548:NJS65549 NTM65548:NTO65549 ODI65548:ODK65549 ONE65548:ONG65549 OXA65548:OXC65549 PGW65548:PGY65549 PQS65548:PQU65549 QAO65548:QAQ65549 QKK65548:QKM65549 QUG65548:QUI65549 REC65548:REE65549 RNY65548:ROA65549 RXU65548:RXW65549 SHQ65548:SHS65549 SRM65548:SRO65549 TBI65548:TBK65549 TLE65548:TLG65549 TVA65548:TVC65549 UEW65548:UEY65549 UOS65548:UOU65549 UYO65548:UYQ65549 VIK65548:VIM65549 VSG65548:VSI65549 WCC65548:WCE65549 WLY65548:WMA65549 WVU65548:WVW65549 M131084:O131085 JI131084:JK131085 TE131084:TG131085 ADA131084:ADC131085 AMW131084:AMY131085 AWS131084:AWU131085 BGO131084:BGQ131085 BQK131084:BQM131085 CAG131084:CAI131085 CKC131084:CKE131085 CTY131084:CUA131085 DDU131084:DDW131085 DNQ131084:DNS131085 DXM131084:DXO131085 EHI131084:EHK131085 ERE131084:ERG131085 FBA131084:FBC131085 FKW131084:FKY131085 FUS131084:FUU131085 GEO131084:GEQ131085 GOK131084:GOM131085 GYG131084:GYI131085 HIC131084:HIE131085 HRY131084:HSA131085 IBU131084:IBW131085 ILQ131084:ILS131085 IVM131084:IVO131085 JFI131084:JFK131085 JPE131084:JPG131085 JZA131084:JZC131085 KIW131084:KIY131085 KSS131084:KSU131085 LCO131084:LCQ131085 LMK131084:LMM131085 LWG131084:LWI131085 MGC131084:MGE131085 MPY131084:MQA131085 MZU131084:MZW131085 NJQ131084:NJS131085 NTM131084:NTO131085 ODI131084:ODK131085 ONE131084:ONG131085 OXA131084:OXC131085 PGW131084:PGY131085 PQS131084:PQU131085 QAO131084:QAQ131085 QKK131084:QKM131085 QUG131084:QUI131085 REC131084:REE131085 RNY131084:ROA131085 RXU131084:RXW131085 SHQ131084:SHS131085 SRM131084:SRO131085 TBI131084:TBK131085 TLE131084:TLG131085 TVA131084:TVC131085 UEW131084:UEY131085 UOS131084:UOU131085 UYO131084:UYQ131085 VIK131084:VIM131085 VSG131084:VSI131085 WCC131084:WCE131085 WLY131084:WMA131085 WVU131084:WVW131085 M196620:O196621 JI196620:JK196621 TE196620:TG196621 ADA196620:ADC196621 AMW196620:AMY196621 AWS196620:AWU196621 BGO196620:BGQ196621 BQK196620:BQM196621 CAG196620:CAI196621 CKC196620:CKE196621 CTY196620:CUA196621 DDU196620:DDW196621 DNQ196620:DNS196621 DXM196620:DXO196621 EHI196620:EHK196621 ERE196620:ERG196621 FBA196620:FBC196621 FKW196620:FKY196621 FUS196620:FUU196621 GEO196620:GEQ196621 GOK196620:GOM196621 GYG196620:GYI196621 HIC196620:HIE196621 HRY196620:HSA196621 IBU196620:IBW196621 ILQ196620:ILS196621 IVM196620:IVO196621 JFI196620:JFK196621 JPE196620:JPG196621 JZA196620:JZC196621 KIW196620:KIY196621 KSS196620:KSU196621 LCO196620:LCQ196621 LMK196620:LMM196621 LWG196620:LWI196621 MGC196620:MGE196621 MPY196620:MQA196621 MZU196620:MZW196621 NJQ196620:NJS196621 NTM196620:NTO196621 ODI196620:ODK196621 ONE196620:ONG196621 OXA196620:OXC196621 PGW196620:PGY196621 PQS196620:PQU196621 QAO196620:QAQ196621 QKK196620:QKM196621 QUG196620:QUI196621 REC196620:REE196621 RNY196620:ROA196621 RXU196620:RXW196621 SHQ196620:SHS196621 SRM196620:SRO196621 TBI196620:TBK196621 TLE196620:TLG196621 TVA196620:TVC196621 UEW196620:UEY196621 UOS196620:UOU196621 UYO196620:UYQ196621 VIK196620:VIM196621 VSG196620:VSI196621 WCC196620:WCE196621 WLY196620:WMA196621 WVU196620:WVW196621 M262156:O262157 JI262156:JK262157 TE262156:TG262157 ADA262156:ADC262157 AMW262156:AMY262157 AWS262156:AWU262157 BGO262156:BGQ262157 BQK262156:BQM262157 CAG262156:CAI262157 CKC262156:CKE262157 CTY262156:CUA262157 DDU262156:DDW262157 DNQ262156:DNS262157 DXM262156:DXO262157 EHI262156:EHK262157 ERE262156:ERG262157 FBA262156:FBC262157 FKW262156:FKY262157 FUS262156:FUU262157 GEO262156:GEQ262157 GOK262156:GOM262157 GYG262156:GYI262157 HIC262156:HIE262157 HRY262156:HSA262157 IBU262156:IBW262157 ILQ262156:ILS262157 IVM262156:IVO262157 JFI262156:JFK262157 JPE262156:JPG262157 JZA262156:JZC262157 KIW262156:KIY262157 KSS262156:KSU262157 LCO262156:LCQ262157 LMK262156:LMM262157 LWG262156:LWI262157 MGC262156:MGE262157 MPY262156:MQA262157 MZU262156:MZW262157 NJQ262156:NJS262157 NTM262156:NTO262157 ODI262156:ODK262157 ONE262156:ONG262157 OXA262156:OXC262157 PGW262156:PGY262157 PQS262156:PQU262157 QAO262156:QAQ262157 QKK262156:QKM262157 QUG262156:QUI262157 REC262156:REE262157 RNY262156:ROA262157 RXU262156:RXW262157 SHQ262156:SHS262157 SRM262156:SRO262157 TBI262156:TBK262157 TLE262156:TLG262157 TVA262156:TVC262157 UEW262156:UEY262157 UOS262156:UOU262157 UYO262156:UYQ262157 VIK262156:VIM262157 VSG262156:VSI262157 WCC262156:WCE262157 WLY262156:WMA262157 WVU262156:WVW262157 M327692:O327693 JI327692:JK327693 TE327692:TG327693 ADA327692:ADC327693 AMW327692:AMY327693 AWS327692:AWU327693 BGO327692:BGQ327693 BQK327692:BQM327693 CAG327692:CAI327693 CKC327692:CKE327693 CTY327692:CUA327693 DDU327692:DDW327693 DNQ327692:DNS327693 DXM327692:DXO327693 EHI327692:EHK327693 ERE327692:ERG327693 FBA327692:FBC327693 FKW327692:FKY327693 FUS327692:FUU327693 GEO327692:GEQ327693 GOK327692:GOM327693 GYG327692:GYI327693 HIC327692:HIE327693 HRY327692:HSA327693 IBU327692:IBW327693 ILQ327692:ILS327693 IVM327692:IVO327693 JFI327692:JFK327693 JPE327692:JPG327693 JZA327692:JZC327693 KIW327692:KIY327693 KSS327692:KSU327693 LCO327692:LCQ327693 LMK327692:LMM327693 LWG327692:LWI327693 MGC327692:MGE327693 MPY327692:MQA327693 MZU327692:MZW327693 NJQ327692:NJS327693 NTM327692:NTO327693 ODI327692:ODK327693 ONE327692:ONG327693 OXA327692:OXC327693 PGW327692:PGY327693 PQS327692:PQU327693 QAO327692:QAQ327693 QKK327692:QKM327693 QUG327692:QUI327693 REC327692:REE327693 RNY327692:ROA327693 RXU327692:RXW327693 SHQ327692:SHS327693 SRM327692:SRO327693 TBI327692:TBK327693 TLE327692:TLG327693 TVA327692:TVC327693 UEW327692:UEY327693 UOS327692:UOU327693 UYO327692:UYQ327693 VIK327692:VIM327693 VSG327692:VSI327693 WCC327692:WCE327693 WLY327692:WMA327693 WVU327692:WVW327693 M393228:O393229 JI393228:JK393229 TE393228:TG393229 ADA393228:ADC393229 AMW393228:AMY393229 AWS393228:AWU393229 BGO393228:BGQ393229 BQK393228:BQM393229 CAG393228:CAI393229 CKC393228:CKE393229 CTY393228:CUA393229 DDU393228:DDW393229 DNQ393228:DNS393229 DXM393228:DXO393229 EHI393228:EHK393229 ERE393228:ERG393229 FBA393228:FBC393229 FKW393228:FKY393229 FUS393228:FUU393229 GEO393228:GEQ393229 GOK393228:GOM393229 GYG393228:GYI393229 HIC393228:HIE393229 HRY393228:HSA393229 IBU393228:IBW393229 ILQ393228:ILS393229 IVM393228:IVO393229 JFI393228:JFK393229 JPE393228:JPG393229 JZA393228:JZC393229 KIW393228:KIY393229 KSS393228:KSU393229 LCO393228:LCQ393229 LMK393228:LMM393229 LWG393228:LWI393229 MGC393228:MGE393229 MPY393228:MQA393229 MZU393228:MZW393229 NJQ393228:NJS393229 NTM393228:NTO393229 ODI393228:ODK393229 ONE393228:ONG393229 OXA393228:OXC393229 PGW393228:PGY393229 PQS393228:PQU393229 QAO393228:QAQ393229 QKK393228:QKM393229 QUG393228:QUI393229 REC393228:REE393229 RNY393228:ROA393229 RXU393228:RXW393229 SHQ393228:SHS393229 SRM393228:SRO393229 TBI393228:TBK393229 TLE393228:TLG393229 TVA393228:TVC393229 UEW393228:UEY393229 UOS393228:UOU393229 UYO393228:UYQ393229 VIK393228:VIM393229 VSG393228:VSI393229 WCC393228:WCE393229 WLY393228:WMA393229 WVU393228:WVW393229 M458764:O458765 JI458764:JK458765 TE458764:TG458765 ADA458764:ADC458765 AMW458764:AMY458765 AWS458764:AWU458765 BGO458764:BGQ458765 BQK458764:BQM458765 CAG458764:CAI458765 CKC458764:CKE458765 CTY458764:CUA458765 DDU458764:DDW458765 DNQ458764:DNS458765 DXM458764:DXO458765 EHI458764:EHK458765 ERE458764:ERG458765 FBA458764:FBC458765 FKW458764:FKY458765 FUS458764:FUU458765 GEO458764:GEQ458765 GOK458764:GOM458765 GYG458764:GYI458765 HIC458764:HIE458765 HRY458764:HSA458765 IBU458764:IBW458765 ILQ458764:ILS458765 IVM458764:IVO458765 JFI458764:JFK458765 JPE458764:JPG458765 JZA458764:JZC458765 KIW458764:KIY458765 KSS458764:KSU458765 LCO458764:LCQ458765 LMK458764:LMM458765 LWG458764:LWI458765 MGC458764:MGE458765 MPY458764:MQA458765 MZU458764:MZW458765 NJQ458764:NJS458765 NTM458764:NTO458765 ODI458764:ODK458765 ONE458764:ONG458765 OXA458764:OXC458765 PGW458764:PGY458765 PQS458764:PQU458765 QAO458764:QAQ458765 QKK458764:QKM458765 QUG458764:QUI458765 REC458764:REE458765 RNY458764:ROA458765 RXU458764:RXW458765 SHQ458764:SHS458765 SRM458764:SRO458765 TBI458764:TBK458765 TLE458764:TLG458765 TVA458764:TVC458765 UEW458764:UEY458765 UOS458764:UOU458765 UYO458764:UYQ458765 VIK458764:VIM458765 VSG458764:VSI458765 WCC458764:WCE458765 WLY458764:WMA458765 WVU458764:WVW458765 M524300:O524301 JI524300:JK524301 TE524300:TG524301 ADA524300:ADC524301 AMW524300:AMY524301 AWS524300:AWU524301 BGO524300:BGQ524301 BQK524300:BQM524301 CAG524300:CAI524301 CKC524300:CKE524301 CTY524300:CUA524301 DDU524300:DDW524301 DNQ524300:DNS524301 DXM524300:DXO524301 EHI524300:EHK524301 ERE524300:ERG524301 FBA524300:FBC524301 FKW524300:FKY524301 FUS524300:FUU524301 GEO524300:GEQ524301 GOK524300:GOM524301 GYG524300:GYI524301 HIC524300:HIE524301 HRY524300:HSA524301 IBU524300:IBW524301 ILQ524300:ILS524301 IVM524300:IVO524301 JFI524300:JFK524301 JPE524300:JPG524301 JZA524300:JZC524301 KIW524300:KIY524301 KSS524300:KSU524301 LCO524300:LCQ524301 LMK524300:LMM524301 LWG524300:LWI524301 MGC524300:MGE524301 MPY524300:MQA524301 MZU524300:MZW524301 NJQ524300:NJS524301 NTM524300:NTO524301 ODI524300:ODK524301 ONE524300:ONG524301 OXA524300:OXC524301 PGW524300:PGY524301 PQS524300:PQU524301 QAO524300:QAQ524301 QKK524300:QKM524301 QUG524300:QUI524301 REC524300:REE524301 RNY524300:ROA524301 RXU524300:RXW524301 SHQ524300:SHS524301 SRM524300:SRO524301 TBI524300:TBK524301 TLE524300:TLG524301 TVA524300:TVC524301 UEW524300:UEY524301 UOS524300:UOU524301 UYO524300:UYQ524301 VIK524300:VIM524301 VSG524300:VSI524301 WCC524300:WCE524301 WLY524300:WMA524301 WVU524300:WVW524301 M589836:O589837 JI589836:JK589837 TE589836:TG589837 ADA589836:ADC589837 AMW589836:AMY589837 AWS589836:AWU589837 BGO589836:BGQ589837 BQK589836:BQM589837 CAG589836:CAI589837 CKC589836:CKE589837 CTY589836:CUA589837 DDU589836:DDW589837 DNQ589836:DNS589837 DXM589836:DXO589837 EHI589836:EHK589837 ERE589836:ERG589837 FBA589836:FBC589837 FKW589836:FKY589837 FUS589836:FUU589837 GEO589836:GEQ589837 GOK589836:GOM589837 GYG589836:GYI589837 HIC589836:HIE589837 HRY589836:HSA589837 IBU589836:IBW589837 ILQ589836:ILS589837 IVM589836:IVO589837 JFI589836:JFK589837 JPE589836:JPG589837 JZA589836:JZC589837 KIW589836:KIY589837 KSS589836:KSU589837 LCO589836:LCQ589837 LMK589836:LMM589837 LWG589836:LWI589837 MGC589836:MGE589837 MPY589836:MQA589837 MZU589836:MZW589837 NJQ589836:NJS589837 NTM589836:NTO589837 ODI589836:ODK589837 ONE589836:ONG589837 OXA589836:OXC589837 PGW589836:PGY589837 PQS589836:PQU589837 QAO589836:QAQ589837 QKK589836:QKM589837 QUG589836:QUI589837 REC589836:REE589837 RNY589836:ROA589837 RXU589836:RXW589837 SHQ589836:SHS589837 SRM589836:SRO589837 TBI589836:TBK589837 TLE589836:TLG589837 TVA589836:TVC589837 UEW589836:UEY589837 UOS589836:UOU589837 UYO589836:UYQ589837 VIK589836:VIM589837 VSG589836:VSI589837 WCC589836:WCE589837 WLY589836:WMA589837 WVU589836:WVW589837 M655372:O655373 JI655372:JK655373 TE655372:TG655373 ADA655372:ADC655373 AMW655372:AMY655373 AWS655372:AWU655373 BGO655372:BGQ655373 BQK655372:BQM655373 CAG655372:CAI655373 CKC655372:CKE655373 CTY655372:CUA655373 DDU655372:DDW655373 DNQ655372:DNS655373 DXM655372:DXO655373 EHI655372:EHK655373 ERE655372:ERG655373 FBA655372:FBC655373 FKW655372:FKY655373 FUS655372:FUU655373 GEO655372:GEQ655373 GOK655372:GOM655373 GYG655372:GYI655373 HIC655372:HIE655373 HRY655372:HSA655373 IBU655372:IBW655373 ILQ655372:ILS655373 IVM655372:IVO655373 JFI655372:JFK655373 JPE655372:JPG655373 JZA655372:JZC655373 KIW655372:KIY655373 KSS655372:KSU655373 LCO655372:LCQ655373 LMK655372:LMM655373 LWG655372:LWI655373 MGC655372:MGE655373 MPY655372:MQA655373 MZU655372:MZW655373 NJQ655372:NJS655373 NTM655372:NTO655373 ODI655372:ODK655373 ONE655372:ONG655373 OXA655372:OXC655373 PGW655372:PGY655373 PQS655372:PQU655373 QAO655372:QAQ655373 QKK655372:QKM655373 QUG655372:QUI655373 REC655372:REE655373 RNY655372:ROA655373 RXU655372:RXW655373 SHQ655372:SHS655373 SRM655372:SRO655373 TBI655372:TBK655373 TLE655372:TLG655373 TVA655372:TVC655373 UEW655372:UEY655373 UOS655372:UOU655373 UYO655372:UYQ655373 VIK655372:VIM655373 VSG655372:VSI655373 WCC655372:WCE655373 WLY655372:WMA655373 WVU655372:WVW655373 M720908:O720909 JI720908:JK720909 TE720908:TG720909 ADA720908:ADC720909 AMW720908:AMY720909 AWS720908:AWU720909 BGO720908:BGQ720909 BQK720908:BQM720909 CAG720908:CAI720909 CKC720908:CKE720909 CTY720908:CUA720909 DDU720908:DDW720909 DNQ720908:DNS720909 DXM720908:DXO720909 EHI720908:EHK720909 ERE720908:ERG720909 FBA720908:FBC720909 FKW720908:FKY720909 FUS720908:FUU720909 GEO720908:GEQ720909 GOK720908:GOM720909 GYG720908:GYI720909 HIC720908:HIE720909 HRY720908:HSA720909 IBU720908:IBW720909 ILQ720908:ILS720909 IVM720908:IVO720909 JFI720908:JFK720909 JPE720908:JPG720909 JZA720908:JZC720909 KIW720908:KIY720909 KSS720908:KSU720909 LCO720908:LCQ720909 LMK720908:LMM720909 LWG720908:LWI720909 MGC720908:MGE720909 MPY720908:MQA720909 MZU720908:MZW720909 NJQ720908:NJS720909 NTM720908:NTO720909 ODI720908:ODK720909 ONE720908:ONG720909 OXA720908:OXC720909 PGW720908:PGY720909 PQS720908:PQU720909 QAO720908:QAQ720909 QKK720908:QKM720909 QUG720908:QUI720909 REC720908:REE720909 RNY720908:ROA720909 RXU720908:RXW720909 SHQ720908:SHS720909 SRM720908:SRO720909 TBI720908:TBK720909 TLE720908:TLG720909 TVA720908:TVC720909 UEW720908:UEY720909 UOS720908:UOU720909 UYO720908:UYQ720909 VIK720908:VIM720909 VSG720908:VSI720909 WCC720908:WCE720909 WLY720908:WMA720909 WVU720908:WVW720909 M786444:O786445 JI786444:JK786445 TE786444:TG786445 ADA786444:ADC786445 AMW786444:AMY786445 AWS786444:AWU786445 BGO786444:BGQ786445 BQK786444:BQM786445 CAG786444:CAI786445 CKC786444:CKE786445 CTY786444:CUA786445 DDU786444:DDW786445 DNQ786444:DNS786445 DXM786444:DXO786445 EHI786444:EHK786445 ERE786444:ERG786445 FBA786444:FBC786445 FKW786444:FKY786445 FUS786444:FUU786445 GEO786444:GEQ786445 GOK786444:GOM786445 GYG786444:GYI786445 HIC786444:HIE786445 HRY786444:HSA786445 IBU786444:IBW786445 ILQ786444:ILS786445 IVM786444:IVO786445 JFI786444:JFK786445 JPE786444:JPG786445 JZA786444:JZC786445 KIW786444:KIY786445 KSS786444:KSU786445 LCO786444:LCQ786445 LMK786444:LMM786445 LWG786444:LWI786445 MGC786444:MGE786445 MPY786444:MQA786445 MZU786444:MZW786445 NJQ786444:NJS786445 NTM786444:NTO786445 ODI786444:ODK786445 ONE786444:ONG786445 OXA786444:OXC786445 PGW786444:PGY786445 PQS786444:PQU786445 QAO786444:QAQ786445 QKK786444:QKM786445 QUG786444:QUI786445 REC786444:REE786445 RNY786444:ROA786445 RXU786444:RXW786445 SHQ786444:SHS786445 SRM786444:SRO786445 TBI786444:TBK786445 TLE786444:TLG786445 TVA786444:TVC786445 UEW786444:UEY786445 UOS786444:UOU786445 UYO786444:UYQ786445 VIK786444:VIM786445 VSG786444:VSI786445 WCC786444:WCE786445 WLY786444:WMA786445 WVU786444:WVW786445 M851980:O851981 JI851980:JK851981 TE851980:TG851981 ADA851980:ADC851981 AMW851980:AMY851981 AWS851980:AWU851981 BGO851980:BGQ851981 BQK851980:BQM851981 CAG851980:CAI851981 CKC851980:CKE851981 CTY851980:CUA851981 DDU851980:DDW851981 DNQ851980:DNS851981 DXM851980:DXO851981 EHI851980:EHK851981 ERE851980:ERG851981 FBA851980:FBC851981 FKW851980:FKY851981 FUS851980:FUU851981 GEO851980:GEQ851981 GOK851980:GOM851981 GYG851980:GYI851981 HIC851980:HIE851981 HRY851980:HSA851981 IBU851980:IBW851981 ILQ851980:ILS851981 IVM851980:IVO851981 JFI851980:JFK851981 JPE851980:JPG851981 JZA851980:JZC851981 KIW851980:KIY851981 KSS851980:KSU851981 LCO851980:LCQ851981 LMK851980:LMM851981 LWG851980:LWI851981 MGC851980:MGE851981 MPY851980:MQA851981 MZU851980:MZW851981 NJQ851980:NJS851981 NTM851980:NTO851981 ODI851980:ODK851981 ONE851980:ONG851981 OXA851980:OXC851981 PGW851980:PGY851981 PQS851980:PQU851981 QAO851980:QAQ851981 QKK851980:QKM851981 QUG851980:QUI851981 REC851980:REE851981 RNY851980:ROA851981 RXU851980:RXW851981 SHQ851980:SHS851981 SRM851980:SRO851981 TBI851980:TBK851981 TLE851980:TLG851981 TVA851980:TVC851981 UEW851980:UEY851981 UOS851980:UOU851981 UYO851980:UYQ851981 VIK851980:VIM851981 VSG851980:VSI851981 WCC851980:WCE851981 WLY851980:WMA851981 WVU851980:WVW851981 M917516:O917517 JI917516:JK917517 TE917516:TG917517 ADA917516:ADC917517 AMW917516:AMY917517 AWS917516:AWU917517 BGO917516:BGQ917517 BQK917516:BQM917517 CAG917516:CAI917517 CKC917516:CKE917517 CTY917516:CUA917517 DDU917516:DDW917517 DNQ917516:DNS917517 DXM917516:DXO917517 EHI917516:EHK917517 ERE917516:ERG917517 FBA917516:FBC917517 FKW917516:FKY917517 FUS917516:FUU917517 GEO917516:GEQ917517 GOK917516:GOM917517 GYG917516:GYI917517 HIC917516:HIE917517 HRY917516:HSA917517 IBU917516:IBW917517 ILQ917516:ILS917517 IVM917516:IVO917517 JFI917516:JFK917517 JPE917516:JPG917517 JZA917516:JZC917517 KIW917516:KIY917517 KSS917516:KSU917517 LCO917516:LCQ917517 LMK917516:LMM917517 LWG917516:LWI917517 MGC917516:MGE917517 MPY917516:MQA917517 MZU917516:MZW917517 NJQ917516:NJS917517 NTM917516:NTO917517 ODI917516:ODK917517 ONE917516:ONG917517 OXA917516:OXC917517 PGW917516:PGY917517 PQS917516:PQU917517 QAO917516:QAQ917517 QKK917516:QKM917517 QUG917516:QUI917517 REC917516:REE917517 RNY917516:ROA917517 RXU917516:RXW917517 SHQ917516:SHS917517 SRM917516:SRO917517 TBI917516:TBK917517 TLE917516:TLG917517 TVA917516:TVC917517 UEW917516:UEY917517 UOS917516:UOU917517 UYO917516:UYQ917517 VIK917516:VIM917517 VSG917516:VSI917517 WCC917516:WCE917517 WLY917516:WMA917517 WVU917516:WVW917517 M983052:O983053 JI983052:JK983053 TE983052:TG983053 ADA983052:ADC983053 AMW983052:AMY983053 AWS983052:AWU983053 BGO983052:BGQ983053 BQK983052:BQM983053 CAG983052:CAI983053 CKC983052:CKE983053 CTY983052:CUA983053 DDU983052:DDW983053 DNQ983052:DNS983053 DXM983052:DXO983053 EHI983052:EHK983053 ERE983052:ERG983053 FBA983052:FBC983053 FKW983052:FKY983053 FUS983052:FUU983053 GEO983052:GEQ983053 GOK983052:GOM983053 GYG983052:GYI983053 HIC983052:HIE983053 HRY983052:HSA983053 IBU983052:IBW983053 ILQ983052:ILS983053 IVM983052:IVO983053 JFI983052:JFK983053 JPE983052:JPG983053 JZA983052:JZC983053 KIW983052:KIY983053 KSS983052:KSU983053 LCO983052:LCQ983053 LMK983052:LMM983053 LWG983052:LWI983053 MGC983052:MGE983053 MPY983052:MQA983053 MZU983052:MZW983053 NJQ983052:NJS983053 NTM983052:NTO983053 ODI983052:ODK983053 ONE983052:ONG983053 OXA983052:OXC983053 PGW983052:PGY983053 PQS983052:PQU983053 QAO983052:QAQ983053 QKK983052:QKM983053 QUG983052:QUI983053 REC983052:REE983053 RNY983052:ROA983053 RXU983052:RXW983053 SHQ983052:SHS983053 SRM983052:SRO983053 TBI983052:TBK983053 TLE983052:TLG983053 TVA983052:TVC983053 UEW983052:UEY983053 UOS983052:UOU983053 UYO983052:UYQ983053 VIK983052:VIM983053 VSG983052:VSI983053 WCC983052:WCE983053 WLY983052:WMA983053 WVU983052:WVW983053 WVS983049:WVU983051 JG9:JI11 TC9:TE11 ACY9:ADA11 AMU9:AMW11 AWQ9:AWS11 BGM9:BGO11 BQI9:BQK11 CAE9:CAG11 CKA9:CKC11 CTW9:CTY11 DDS9:DDU11 DNO9:DNQ11 DXK9:DXM11 EHG9:EHI11 ERC9:ERE11 FAY9:FBA11 FKU9:FKW11 FUQ9:FUS11 GEM9:GEO11 GOI9:GOK11 GYE9:GYG11 HIA9:HIC11 HRW9:HRY11 IBS9:IBU11 ILO9:ILQ11 IVK9:IVM11 JFG9:JFI11 JPC9:JPE11 JYY9:JZA11 KIU9:KIW11 KSQ9:KSS11 LCM9:LCO11 LMI9:LMK11 LWE9:LWG11 MGA9:MGC11 MPW9:MPY11 MZS9:MZU11 NJO9:NJQ11 NTK9:NTM11 ODG9:ODI11 ONC9:ONE11 OWY9:OXA11 PGU9:PGW11 PQQ9:PQS11 QAM9:QAO11 QKI9:QKK11 QUE9:QUG11 REA9:REC11 RNW9:RNY11 RXS9:RXU11 SHO9:SHQ11 SRK9:SRM11 TBG9:TBI11 TLC9:TLE11 TUY9:TVA11 UEU9:UEW11 UOQ9:UOS11 UYM9:UYO11 VII9:VIK11 VSE9:VSG11 WCA9:WCC11 WLW9:WLY11 WVS9:WVU11 K65545:M65547 JG65545:JI65547 TC65545:TE65547 ACY65545:ADA65547 AMU65545:AMW65547 AWQ65545:AWS65547 BGM65545:BGO65547 BQI65545:BQK65547 CAE65545:CAG65547 CKA65545:CKC65547 CTW65545:CTY65547 DDS65545:DDU65547 DNO65545:DNQ65547 DXK65545:DXM65547 EHG65545:EHI65547 ERC65545:ERE65547 FAY65545:FBA65547 FKU65545:FKW65547 FUQ65545:FUS65547 GEM65545:GEO65547 GOI65545:GOK65547 GYE65545:GYG65547 HIA65545:HIC65547 HRW65545:HRY65547 IBS65545:IBU65547 ILO65545:ILQ65547 IVK65545:IVM65547 JFG65545:JFI65547 JPC65545:JPE65547 JYY65545:JZA65547 KIU65545:KIW65547 KSQ65545:KSS65547 LCM65545:LCO65547 LMI65545:LMK65547 LWE65545:LWG65547 MGA65545:MGC65547 MPW65545:MPY65547 MZS65545:MZU65547 NJO65545:NJQ65547 NTK65545:NTM65547 ODG65545:ODI65547 ONC65545:ONE65547 OWY65545:OXA65547 PGU65545:PGW65547 PQQ65545:PQS65547 QAM65545:QAO65547 QKI65545:QKK65547 QUE65545:QUG65547 REA65545:REC65547 RNW65545:RNY65547 RXS65545:RXU65547 SHO65545:SHQ65547 SRK65545:SRM65547 TBG65545:TBI65547 TLC65545:TLE65547 TUY65545:TVA65547 UEU65545:UEW65547 UOQ65545:UOS65547 UYM65545:UYO65547 VII65545:VIK65547 VSE65545:VSG65547 WCA65545:WCC65547 WLW65545:WLY65547 WVS65545:WVU65547 K131081:M131083 JG131081:JI131083 TC131081:TE131083 ACY131081:ADA131083 AMU131081:AMW131083 AWQ131081:AWS131083 BGM131081:BGO131083 BQI131081:BQK131083 CAE131081:CAG131083 CKA131081:CKC131083 CTW131081:CTY131083 DDS131081:DDU131083 DNO131081:DNQ131083 DXK131081:DXM131083 EHG131081:EHI131083 ERC131081:ERE131083 FAY131081:FBA131083 FKU131081:FKW131083 FUQ131081:FUS131083 GEM131081:GEO131083 GOI131081:GOK131083 GYE131081:GYG131083 HIA131081:HIC131083 HRW131081:HRY131083 IBS131081:IBU131083 ILO131081:ILQ131083 IVK131081:IVM131083 JFG131081:JFI131083 JPC131081:JPE131083 JYY131081:JZA131083 KIU131081:KIW131083 KSQ131081:KSS131083 LCM131081:LCO131083 LMI131081:LMK131083 LWE131081:LWG131083 MGA131081:MGC131083 MPW131081:MPY131083 MZS131081:MZU131083 NJO131081:NJQ131083 NTK131081:NTM131083 ODG131081:ODI131083 ONC131081:ONE131083 OWY131081:OXA131083 PGU131081:PGW131083 PQQ131081:PQS131083 QAM131081:QAO131083 QKI131081:QKK131083 QUE131081:QUG131083 REA131081:REC131083 RNW131081:RNY131083 RXS131081:RXU131083 SHO131081:SHQ131083 SRK131081:SRM131083 TBG131081:TBI131083 TLC131081:TLE131083 TUY131081:TVA131083 UEU131081:UEW131083 UOQ131081:UOS131083 UYM131081:UYO131083 VII131081:VIK131083 VSE131081:VSG131083 WCA131081:WCC131083 WLW131081:WLY131083 WVS131081:WVU131083 K196617:M196619 JG196617:JI196619 TC196617:TE196619 ACY196617:ADA196619 AMU196617:AMW196619 AWQ196617:AWS196619 BGM196617:BGO196619 BQI196617:BQK196619 CAE196617:CAG196619 CKA196617:CKC196619 CTW196617:CTY196619 DDS196617:DDU196619 DNO196617:DNQ196619 DXK196617:DXM196619 EHG196617:EHI196619 ERC196617:ERE196619 FAY196617:FBA196619 FKU196617:FKW196619 FUQ196617:FUS196619 GEM196617:GEO196619 GOI196617:GOK196619 GYE196617:GYG196619 HIA196617:HIC196619 HRW196617:HRY196619 IBS196617:IBU196619 ILO196617:ILQ196619 IVK196617:IVM196619 JFG196617:JFI196619 JPC196617:JPE196619 JYY196617:JZA196619 KIU196617:KIW196619 KSQ196617:KSS196619 LCM196617:LCO196619 LMI196617:LMK196619 LWE196617:LWG196619 MGA196617:MGC196619 MPW196617:MPY196619 MZS196617:MZU196619 NJO196617:NJQ196619 NTK196617:NTM196619 ODG196617:ODI196619 ONC196617:ONE196619 OWY196617:OXA196619 PGU196617:PGW196619 PQQ196617:PQS196619 QAM196617:QAO196619 QKI196617:QKK196619 QUE196617:QUG196619 REA196617:REC196619 RNW196617:RNY196619 RXS196617:RXU196619 SHO196617:SHQ196619 SRK196617:SRM196619 TBG196617:TBI196619 TLC196617:TLE196619 TUY196617:TVA196619 UEU196617:UEW196619 UOQ196617:UOS196619 UYM196617:UYO196619 VII196617:VIK196619 VSE196617:VSG196619 WCA196617:WCC196619 WLW196617:WLY196619 WVS196617:WVU196619 K262153:M262155 JG262153:JI262155 TC262153:TE262155 ACY262153:ADA262155 AMU262153:AMW262155 AWQ262153:AWS262155 BGM262153:BGO262155 BQI262153:BQK262155 CAE262153:CAG262155 CKA262153:CKC262155 CTW262153:CTY262155 DDS262153:DDU262155 DNO262153:DNQ262155 DXK262153:DXM262155 EHG262153:EHI262155 ERC262153:ERE262155 FAY262153:FBA262155 FKU262153:FKW262155 FUQ262153:FUS262155 GEM262153:GEO262155 GOI262153:GOK262155 GYE262153:GYG262155 HIA262153:HIC262155 HRW262153:HRY262155 IBS262153:IBU262155 ILO262153:ILQ262155 IVK262153:IVM262155 JFG262153:JFI262155 JPC262153:JPE262155 JYY262153:JZA262155 KIU262153:KIW262155 KSQ262153:KSS262155 LCM262153:LCO262155 LMI262153:LMK262155 LWE262153:LWG262155 MGA262153:MGC262155 MPW262153:MPY262155 MZS262153:MZU262155 NJO262153:NJQ262155 NTK262153:NTM262155 ODG262153:ODI262155 ONC262153:ONE262155 OWY262153:OXA262155 PGU262153:PGW262155 PQQ262153:PQS262155 QAM262153:QAO262155 QKI262153:QKK262155 QUE262153:QUG262155 REA262153:REC262155 RNW262153:RNY262155 RXS262153:RXU262155 SHO262153:SHQ262155 SRK262153:SRM262155 TBG262153:TBI262155 TLC262153:TLE262155 TUY262153:TVA262155 UEU262153:UEW262155 UOQ262153:UOS262155 UYM262153:UYO262155 VII262153:VIK262155 VSE262153:VSG262155 WCA262153:WCC262155 WLW262153:WLY262155 WVS262153:WVU262155 K327689:M327691 JG327689:JI327691 TC327689:TE327691 ACY327689:ADA327691 AMU327689:AMW327691 AWQ327689:AWS327691 BGM327689:BGO327691 BQI327689:BQK327691 CAE327689:CAG327691 CKA327689:CKC327691 CTW327689:CTY327691 DDS327689:DDU327691 DNO327689:DNQ327691 DXK327689:DXM327691 EHG327689:EHI327691 ERC327689:ERE327691 FAY327689:FBA327691 FKU327689:FKW327691 FUQ327689:FUS327691 GEM327689:GEO327691 GOI327689:GOK327691 GYE327689:GYG327691 HIA327689:HIC327691 HRW327689:HRY327691 IBS327689:IBU327691 ILO327689:ILQ327691 IVK327689:IVM327691 JFG327689:JFI327691 JPC327689:JPE327691 JYY327689:JZA327691 KIU327689:KIW327691 KSQ327689:KSS327691 LCM327689:LCO327691 LMI327689:LMK327691 LWE327689:LWG327691 MGA327689:MGC327691 MPW327689:MPY327691 MZS327689:MZU327691 NJO327689:NJQ327691 NTK327689:NTM327691 ODG327689:ODI327691 ONC327689:ONE327691 OWY327689:OXA327691 PGU327689:PGW327691 PQQ327689:PQS327691 QAM327689:QAO327691 QKI327689:QKK327691 QUE327689:QUG327691 REA327689:REC327691 RNW327689:RNY327691 RXS327689:RXU327691 SHO327689:SHQ327691 SRK327689:SRM327691 TBG327689:TBI327691 TLC327689:TLE327691 TUY327689:TVA327691 UEU327689:UEW327691 UOQ327689:UOS327691 UYM327689:UYO327691 VII327689:VIK327691 VSE327689:VSG327691 WCA327689:WCC327691 WLW327689:WLY327691 WVS327689:WVU327691 K393225:M393227 JG393225:JI393227 TC393225:TE393227 ACY393225:ADA393227 AMU393225:AMW393227 AWQ393225:AWS393227 BGM393225:BGO393227 BQI393225:BQK393227 CAE393225:CAG393227 CKA393225:CKC393227 CTW393225:CTY393227 DDS393225:DDU393227 DNO393225:DNQ393227 DXK393225:DXM393227 EHG393225:EHI393227 ERC393225:ERE393227 FAY393225:FBA393227 FKU393225:FKW393227 FUQ393225:FUS393227 GEM393225:GEO393227 GOI393225:GOK393227 GYE393225:GYG393227 HIA393225:HIC393227 HRW393225:HRY393227 IBS393225:IBU393227 ILO393225:ILQ393227 IVK393225:IVM393227 JFG393225:JFI393227 JPC393225:JPE393227 JYY393225:JZA393227 KIU393225:KIW393227 KSQ393225:KSS393227 LCM393225:LCO393227 LMI393225:LMK393227 LWE393225:LWG393227 MGA393225:MGC393227 MPW393225:MPY393227 MZS393225:MZU393227 NJO393225:NJQ393227 NTK393225:NTM393227 ODG393225:ODI393227 ONC393225:ONE393227 OWY393225:OXA393227 PGU393225:PGW393227 PQQ393225:PQS393227 QAM393225:QAO393227 QKI393225:QKK393227 QUE393225:QUG393227 REA393225:REC393227 RNW393225:RNY393227 RXS393225:RXU393227 SHO393225:SHQ393227 SRK393225:SRM393227 TBG393225:TBI393227 TLC393225:TLE393227 TUY393225:TVA393227 UEU393225:UEW393227 UOQ393225:UOS393227 UYM393225:UYO393227 VII393225:VIK393227 VSE393225:VSG393227 WCA393225:WCC393227 WLW393225:WLY393227 WVS393225:WVU393227 K458761:M458763 JG458761:JI458763 TC458761:TE458763 ACY458761:ADA458763 AMU458761:AMW458763 AWQ458761:AWS458763 BGM458761:BGO458763 BQI458761:BQK458763 CAE458761:CAG458763 CKA458761:CKC458763 CTW458761:CTY458763 DDS458761:DDU458763 DNO458761:DNQ458763 DXK458761:DXM458763 EHG458761:EHI458763 ERC458761:ERE458763 FAY458761:FBA458763 FKU458761:FKW458763 FUQ458761:FUS458763 GEM458761:GEO458763 GOI458761:GOK458763 GYE458761:GYG458763 HIA458761:HIC458763 HRW458761:HRY458763 IBS458761:IBU458763 ILO458761:ILQ458763 IVK458761:IVM458763 JFG458761:JFI458763 JPC458761:JPE458763 JYY458761:JZA458763 KIU458761:KIW458763 KSQ458761:KSS458763 LCM458761:LCO458763 LMI458761:LMK458763 LWE458761:LWG458763 MGA458761:MGC458763 MPW458761:MPY458763 MZS458761:MZU458763 NJO458761:NJQ458763 NTK458761:NTM458763 ODG458761:ODI458763 ONC458761:ONE458763 OWY458761:OXA458763 PGU458761:PGW458763 PQQ458761:PQS458763 QAM458761:QAO458763 QKI458761:QKK458763 QUE458761:QUG458763 REA458761:REC458763 RNW458761:RNY458763 RXS458761:RXU458763 SHO458761:SHQ458763 SRK458761:SRM458763 TBG458761:TBI458763 TLC458761:TLE458763 TUY458761:TVA458763 UEU458761:UEW458763 UOQ458761:UOS458763 UYM458761:UYO458763 VII458761:VIK458763 VSE458761:VSG458763 WCA458761:WCC458763 WLW458761:WLY458763 WVS458761:WVU458763 K524297:M524299 JG524297:JI524299 TC524297:TE524299 ACY524297:ADA524299 AMU524297:AMW524299 AWQ524297:AWS524299 BGM524297:BGO524299 BQI524297:BQK524299 CAE524297:CAG524299 CKA524297:CKC524299 CTW524297:CTY524299 DDS524297:DDU524299 DNO524297:DNQ524299 DXK524297:DXM524299 EHG524297:EHI524299 ERC524297:ERE524299 FAY524297:FBA524299 FKU524297:FKW524299 FUQ524297:FUS524299 GEM524297:GEO524299 GOI524297:GOK524299 GYE524297:GYG524299 HIA524297:HIC524299 HRW524297:HRY524299 IBS524297:IBU524299 ILO524297:ILQ524299 IVK524297:IVM524299 JFG524297:JFI524299 JPC524297:JPE524299 JYY524297:JZA524299 KIU524297:KIW524299 KSQ524297:KSS524299 LCM524297:LCO524299 LMI524297:LMK524299 LWE524297:LWG524299 MGA524297:MGC524299 MPW524297:MPY524299 MZS524297:MZU524299 NJO524297:NJQ524299 NTK524297:NTM524299 ODG524297:ODI524299 ONC524297:ONE524299 OWY524297:OXA524299 PGU524297:PGW524299 PQQ524297:PQS524299 QAM524297:QAO524299 QKI524297:QKK524299 QUE524297:QUG524299 REA524297:REC524299 RNW524297:RNY524299 RXS524297:RXU524299 SHO524297:SHQ524299 SRK524297:SRM524299 TBG524297:TBI524299 TLC524297:TLE524299 TUY524297:TVA524299 UEU524297:UEW524299 UOQ524297:UOS524299 UYM524297:UYO524299 VII524297:VIK524299 VSE524297:VSG524299 WCA524297:WCC524299 WLW524297:WLY524299 WVS524297:WVU524299 K589833:M589835 JG589833:JI589835 TC589833:TE589835 ACY589833:ADA589835 AMU589833:AMW589835 AWQ589833:AWS589835 BGM589833:BGO589835 BQI589833:BQK589835 CAE589833:CAG589835 CKA589833:CKC589835 CTW589833:CTY589835 DDS589833:DDU589835 DNO589833:DNQ589835 DXK589833:DXM589835 EHG589833:EHI589835 ERC589833:ERE589835 FAY589833:FBA589835 FKU589833:FKW589835 FUQ589833:FUS589835 GEM589833:GEO589835 GOI589833:GOK589835 GYE589833:GYG589835 HIA589833:HIC589835 HRW589833:HRY589835 IBS589833:IBU589835 ILO589833:ILQ589835 IVK589833:IVM589835 JFG589833:JFI589835 JPC589833:JPE589835 JYY589833:JZA589835 KIU589833:KIW589835 KSQ589833:KSS589835 LCM589833:LCO589835 LMI589833:LMK589835 LWE589833:LWG589835 MGA589833:MGC589835 MPW589833:MPY589835 MZS589833:MZU589835 NJO589833:NJQ589835 NTK589833:NTM589835 ODG589833:ODI589835 ONC589833:ONE589835 OWY589833:OXA589835 PGU589833:PGW589835 PQQ589833:PQS589835 QAM589833:QAO589835 QKI589833:QKK589835 QUE589833:QUG589835 REA589833:REC589835 RNW589833:RNY589835 RXS589833:RXU589835 SHO589833:SHQ589835 SRK589833:SRM589835 TBG589833:TBI589835 TLC589833:TLE589835 TUY589833:TVA589835 UEU589833:UEW589835 UOQ589833:UOS589835 UYM589833:UYO589835 VII589833:VIK589835 VSE589833:VSG589835 WCA589833:WCC589835 WLW589833:WLY589835 WVS589833:WVU589835 K655369:M655371 JG655369:JI655371 TC655369:TE655371 ACY655369:ADA655371 AMU655369:AMW655371 AWQ655369:AWS655371 BGM655369:BGO655371 BQI655369:BQK655371 CAE655369:CAG655371 CKA655369:CKC655371 CTW655369:CTY655371 DDS655369:DDU655371 DNO655369:DNQ655371 DXK655369:DXM655371 EHG655369:EHI655371 ERC655369:ERE655371 FAY655369:FBA655371 FKU655369:FKW655371 FUQ655369:FUS655371 GEM655369:GEO655371 GOI655369:GOK655371 GYE655369:GYG655371 HIA655369:HIC655371 HRW655369:HRY655371 IBS655369:IBU655371 ILO655369:ILQ655371 IVK655369:IVM655371 JFG655369:JFI655371 JPC655369:JPE655371 JYY655369:JZA655371 KIU655369:KIW655371 KSQ655369:KSS655371 LCM655369:LCO655371 LMI655369:LMK655371 LWE655369:LWG655371 MGA655369:MGC655371 MPW655369:MPY655371 MZS655369:MZU655371 NJO655369:NJQ655371 NTK655369:NTM655371 ODG655369:ODI655371 ONC655369:ONE655371 OWY655369:OXA655371 PGU655369:PGW655371 PQQ655369:PQS655371 QAM655369:QAO655371 QKI655369:QKK655371 QUE655369:QUG655371 REA655369:REC655371 RNW655369:RNY655371 RXS655369:RXU655371 SHO655369:SHQ655371 SRK655369:SRM655371 TBG655369:TBI655371 TLC655369:TLE655371 TUY655369:TVA655371 UEU655369:UEW655371 UOQ655369:UOS655371 UYM655369:UYO655371 VII655369:VIK655371 VSE655369:VSG655371 WCA655369:WCC655371 WLW655369:WLY655371 WVS655369:WVU655371 K720905:M720907 JG720905:JI720907 TC720905:TE720907 ACY720905:ADA720907 AMU720905:AMW720907 AWQ720905:AWS720907 BGM720905:BGO720907 BQI720905:BQK720907 CAE720905:CAG720907 CKA720905:CKC720907 CTW720905:CTY720907 DDS720905:DDU720907 DNO720905:DNQ720907 DXK720905:DXM720907 EHG720905:EHI720907 ERC720905:ERE720907 FAY720905:FBA720907 FKU720905:FKW720907 FUQ720905:FUS720907 GEM720905:GEO720907 GOI720905:GOK720907 GYE720905:GYG720907 HIA720905:HIC720907 HRW720905:HRY720907 IBS720905:IBU720907 ILO720905:ILQ720907 IVK720905:IVM720907 JFG720905:JFI720907 JPC720905:JPE720907 JYY720905:JZA720907 KIU720905:KIW720907 KSQ720905:KSS720907 LCM720905:LCO720907 LMI720905:LMK720907 LWE720905:LWG720907 MGA720905:MGC720907 MPW720905:MPY720907 MZS720905:MZU720907 NJO720905:NJQ720907 NTK720905:NTM720907 ODG720905:ODI720907 ONC720905:ONE720907 OWY720905:OXA720907 PGU720905:PGW720907 PQQ720905:PQS720907 QAM720905:QAO720907 QKI720905:QKK720907 QUE720905:QUG720907 REA720905:REC720907 RNW720905:RNY720907 RXS720905:RXU720907 SHO720905:SHQ720907 SRK720905:SRM720907 TBG720905:TBI720907 TLC720905:TLE720907 TUY720905:TVA720907 UEU720905:UEW720907 UOQ720905:UOS720907 UYM720905:UYO720907 VII720905:VIK720907 VSE720905:VSG720907 WCA720905:WCC720907 WLW720905:WLY720907 WVS720905:WVU720907 K786441:M786443 JG786441:JI786443 TC786441:TE786443 ACY786441:ADA786443 AMU786441:AMW786443 AWQ786441:AWS786443 BGM786441:BGO786443 BQI786441:BQK786443 CAE786441:CAG786443 CKA786441:CKC786443 CTW786441:CTY786443 DDS786441:DDU786443 DNO786441:DNQ786443 DXK786441:DXM786443 EHG786441:EHI786443 ERC786441:ERE786443 FAY786441:FBA786443 FKU786441:FKW786443 FUQ786441:FUS786443 GEM786441:GEO786443 GOI786441:GOK786443 GYE786441:GYG786443 HIA786441:HIC786443 HRW786441:HRY786443 IBS786441:IBU786443 ILO786441:ILQ786443 IVK786441:IVM786443 JFG786441:JFI786443 JPC786441:JPE786443 JYY786441:JZA786443 KIU786441:KIW786443 KSQ786441:KSS786443 LCM786441:LCO786443 LMI786441:LMK786443 LWE786441:LWG786443 MGA786441:MGC786443 MPW786441:MPY786443 MZS786441:MZU786443 NJO786441:NJQ786443 NTK786441:NTM786443 ODG786441:ODI786443 ONC786441:ONE786443 OWY786441:OXA786443 PGU786441:PGW786443 PQQ786441:PQS786443 QAM786441:QAO786443 QKI786441:QKK786443 QUE786441:QUG786443 REA786441:REC786443 RNW786441:RNY786443 RXS786441:RXU786443 SHO786441:SHQ786443 SRK786441:SRM786443 TBG786441:TBI786443 TLC786441:TLE786443 TUY786441:TVA786443 UEU786441:UEW786443 UOQ786441:UOS786443 UYM786441:UYO786443 VII786441:VIK786443 VSE786441:VSG786443 WCA786441:WCC786443 WLW786441:WLY786443 WVS786441:WVU786443 K851977:M851979 JG851977:JI851979 TC851977:TE851979 ACY851977:ADA851979 AMU851977:AMW851979 AWQ851977:AWS851979 BGM851977:BGO851979 BQI851977:BQK851979 CAE851977:CAG851979 CKA851977:CKC851979 CTW851977:CTY851979 DDS851977:DDU851979 DNO851977:DNQ851979 DXK851977:DXM851979 EHG851977:EHI851979 ERC851977:ERE851979 FAY851977:FBA851979 FKU851977:FKW851979 FUQ851977:FUS851979 GEM851977:GEO851979 GOI851977:GOK851979 GYE851977:GYG851979 HIA851977:HIC851979 HRW851977:HRY851979 IBS851977:IBU851979 ILO851977:ILQ851979 IVK851977:IVM851979 JFG851977:JFI851979 JPC851977:JPE851979 JYY851977:JZA851979 KIU851977:KIW851979 KSQ851977:KSS851979 LCM851977:LCO851979 LMI851977:LMK851979 LWE851977:LWG851979 MGA851977:MGC851979 MPW851977:MPY851979 MZS851977:MZU851979 NJO851977:NJQ851979 NTK851977:NTM851979 ODG851977:ODI851979 ONC851977:ONE851979 OWY851977:OXA851979 PGU851977:PGW851979 PQQ851977:PQS851979 QAM851977:QAO851979 QKI851977:QKK851979 QUE851977:QUG851979 REA851977:REC851979 RNW851977:RNY851979 RXS851977:RXU851979 SHO851977:SHQ851979 SRK851977:SRM851979 TBG851977:TBI851979 TLC851977:TLE851979 TUY851977:TVA851979 UEU851977:UEW851979 UOQ851977:UOS851979 UYM851977:UYO851979 VII851977:VIK851979 VSE851977:VSG851979 WCA851977:WCC851979 WLW851977:WLY851979 WVS851977:WVU851979 K917513:M917515 JG917513:JI917515 TC917513:TE917515 ACY917513:ADA917515 AMU917513:AMW917515 AWQ917513:AWS917515 BGM917513:BGO917515 BQI917513:BQK917515 CAE917513:CAG917515 CKA917513:CKC917515 CTW917513:CTY917515 DDS917513:DDU917515 DNO917513:DNQ917515 DXK917513:DXM917515 EHG917513:EHI917515 ERC917513:ERE917515 FAY917513:FBA917515 FKU917513:FKW917515 FUQ917513:FUS917515 GEM917513:GEO917515 GOI917513:GOK917515 GYE917513:GYG917515 HIA917513:HIC917515 HRW917513:HRY917515 IBS917513:IBU917515 ILO917513:ILQ917515 IVK917513:IVM917515 JFG917513:JFI917515 JPC917513:JPE917515 JYY917513:JZA917515 KIU917513:KIW917515 KSQ917513:KSS917515 LCM917513:LCO917515 LMI917513:LMK917515 LWE917513:LWG917515 MGA917513:MGC917515 MPW917513:MPY917515 MZS917513:MZU917515 NJO917513:NJQ917515 NTK917513:NTM917515 ODG917513:ODI917515 ONC917513:ONE917515 OWY917513:OXA917515 PGU917513:PGW917515 PQQ917513:PQS917515 QAM917513:QAO917515 QKI917513:QKK917515 QUE917513:QUG917515 REA917513:REC917515 RNW917513:RNY917515 RXS917513:RXU917515 SHO917513:SHQ917515 SRK917513:SRM917515 TBG917513:TBI917515 TLC917513:TLE917515 TUY917513:TVA917515 UEU917513:UEW917515 UOQ917513:UOS917515 UYM917513:UYO917515 VII917513:VIK917515 VSE917513:VSG917515 WCA917513:WCC917515 WLW917513:WLY917515 WVS917513:WVU917515 K983049:M983051 JG983049:JI983051 TC983049:TE983051 ACY983049:ADA983051 AMU983049:AMW983051 AWQ983049:AWS983051 BGM983049:BGO983051 BQI983049:BQK983051 CAE983049:CAG983051 CKA983049:CKC983051 CTW983049:CTY983051 DDS983049:DDU983051 DNO983049:DNQ983051 DXK983049:DXM983051 EHG983049:EHI983051 ERC983049:ERE983051 FAY983049:FBA983051 FKU983049:FKW983051 FUQ983049:FUS983051 GEM983049:GEO983051 GOI983049:GOK983051 GYE983049:GYG983051 HIA983049:HIC983051 HRW983049:HRY983051 IBS983049:IBU983051 ILO983049:ILQ983051 IVK983049:IVM983051 JFG983049:JFI983051 JPC983049:JPE983051 JYY983049:JZA983051 KIU983049:KIW983051 KSQ983049:KSS983051 LCM983049:LCO983051 LMI983049:LMK983051 LWE983049:LWG983051 MGA983049:MGC983051 MPW983049:MPY983051 MZS983049:MZU983051 NJO983049:NJQ983051 NTK983049:NTM983051 ODG983049:ODI983051 ONC983049:ONE983051 OWY983049:OXA983051 PGU983049:PGW983051 PQQ983049:PQS983051 QAM983049:QAO983051 QKI983049:QKK983051 QUE983049:QUG983051 REA983049:REC983051 RNW983049:RNY983051 RXS983049:RXU983051 SHO983049:SHQ983051 SRK983049:SRM983051 TBG983049:TBI983051 TLC983049:TLE983051 TUY983049:TVA983051 UEU983049:UEW983051 UOQ983049:UOS983051 UYM983049:UYO983051 VII983049:VIK983051 VSE983049:VSG983051 WCA983049:WCC983051 WLW983049:WLY983051 K9:M11" xr:uid="{FA03510B-0012-46B6-85AB-2C1A27AB526B}">
      <formula1>$G$45:$G$46</formula1>
    </dataValidation>
    <dataValidation type="list" allowBlank="1" showErrorMessage="1" errorTitle="Input not valid" error="Please select the year by pushing the drop-down arrow and clicking the correct year" prompt="Select the year" sqref="WVJ983060:WVJ983068 IX20:IX28 ST20:ST28 ACP20:ACP28 AML20:AML28 AWH20:AWH28 BGD20:BGD28 BPZ20:BPZ28 BZV20:BZV28 CJR20:CJR28 CTN20:CTN28 DDJ20:DDJ28 DNF20:DNF28 DXB20:DXB28 EGX20:EGX28 EQT20:EQT28 FAP20:FAP28 FKL20:FKL28 FUH20:FUH28 GED20:GED28 GNZ20:GNZ28 GXV20:GXV28 HHR20:HHR28 HRN20:HRN28 IBJ20:IBJ28 ILF20:ILF28 IVB20:IVB28 JEX20:JEX28 JOT20:JOT28 JYP20:JYP28 KIL20:KIL28 KSH20:KSH28 LCD20:LCD28 LLZ20:LLZ28 LVV20:LVV28 MFR20:MFR28 MPN20:MPN28 MZJ20:MZJ28 NJF20:NJF28 NTB20:NTB28 OCX20:OCX28 OMT20:OMT28 OWP20:OWP28 PGL20:PGL28 PQH20:PQH28 QAD20:QAD28 QJZ20:QJZ28 QTV20:QTV28 RDR20:RDR28 RNN20:RNN28 RXJ20:RXJ28 SHF20:SHF28 SRB20:SRB28 TAX20:TAX28 TKT20:TKT28 TUP20:TUP28 UEL20:UEL28 UOH20:UOH28 UYD20:UYD28 VHZ20:VHZ28 VRV20:VRV28 WBR20:WBR28 WLN20:WLN28 WVJ20:WVJ28 B65556:B65564 IX65556:IX65564 ST65556:ST65564 ACP65556:ACP65564 AML65556:AML65564 AWH65556:AWH65564 BGD65556:BGD65564 BPZ65556:BPZ65564 BZV65556:BZV65564 CJR65556:CJR65564 CTN65556:CTN65564 DDJ65556:DDJ65564 DNF65556:DNF65564 DXB65556:DXB65564 EGX65556:EGX65564 EQT65556:EQT65564 FAP65556:FAP65564 FKL65556:FKL65564 FUH65556:FUH65564 GED65556:GED65564 GNZ65556:GNZ65564 GXV65556:GXV65564 HHR65556:HHR65564 HRN65556:HRN65564 IBJ65556:IBJ65564 ILF65556:ILF65564 IVB65556:IVB65564 JEX65556:JEX65564 JOT65556:JOT65564 JYP65556:JYP65564 KIL65556:KIL65564 KSH65556:KSH65564 LCD65556:LCD65564 LLZ65556:LLZ65564 LVV65556:LVV65564 MFR65556:MFR65564 MPN65556:MPN65564 MZJ65556:MZJ65564 NJF65556:NJF65564 NTB65556:NTB65564 OCX65556:OCX65564 OMT65556:OMT65564 OWP65556:OWP65564 PGL65556:PGL65564 PQH65556:PQH65564 QAD65556:QAD65564 QJZ65556:QJZ65564 QTV65556:QTV65564 RDR65556:RDR65564 RNN65556:RNN65564 RXJ65556:RXJ65564 SHF65556:SHF65564 SRB65556:SRB65564 TAX65556:TAX65564 TKT65556:TKT65564 TUP65556:TUP65564 UEL65556:UEL65564 UOH65556:UOH65564 UYD65556:UYD65564 VHZ65556:VHZ65564 VRV65556:VRV65564 WBR65556:WBR65564 WLN65556:WLN65564 WVJ65556:WVJ65564 B131092:B131100 IX131092:IX131100 ST131092:ST131100 ACP131092:ACP131100 AML131092:AML131100 AWH131092:AWH131100 BGD131092:BGD131100 BPZ131092:BPZ131100 BZV131092:BZV131100 CJR131092:CJR131100 CTN131092:CTN131100 DDJ131092:DDJ131100 DNF131092:DNF131100 DXB131092:DXB131100 EGX131092:EGX131100 EQT131092:EQT131100 FAP131092:FAP131100 FKL131092:FKL131100 FUH131092:FUH131100 GED131092:GED131100 GNZ131092:GNZ131100 GXV131092:GXV131100 HHR131092:HHR131100 HRN131092:HRN131100 IBJ131092:IBJ131100 ILF131092:ILF131100 IVB131092:IVB131100 JEX131092:JEX131100 JOT131092:JOT131100 JYP131092:JYP131100 KIL131092:KIL131100 KSH131092:KSH131100 LCD131092:LCD131100 LLZ131092:LLZ131100 LVV131092:LVV131100 MFR131092:MFR131100 MPN131092:MPN131100 MZJ131092:MZJ131100 NJF131092:NJF131100 NTB131092:NTB131100 OCX131092:OCX131100 OMT131092:OMT131100 OWP131092:OWP131100 PGL131092:PGL131100 PQH131092:PQH131100 QAD131092:QAD131100 QJZ131092:QJZ131100 QTV131092:QTV131100 RDR131092:RDR131100 RNN131092:RNN131100 RXJ131092:RXJ131100 SHF131092:SHF131100 SRB131092:SRB131100 TAX131092:TAX131100 TKT131092:TKT131100 TUP131092:TUP131100 UEL131092:UEL131100 UOH131092:UOH131100 UYD131092:UYD131100 VHZ131092:VHZ131100 VRV131092:VRV131100 WBR131092:WBR131100 WLN131092:WLN131100 WVJ131092:WVJ131100 B196628:B196636 IX196628:IX196636 ST196628:ST196636 ACP196628:ACP196636 AML196628:AML196636 AWH196628:AWH196636 BGD196628:BGD196636 BPZ196628:BPZ196636 BZV196628:BZV196636 CJR196628:CJR196636 CTN196628:CTN196636 DDJ196628:DDJ196636 DNF196628:DNF196636 DXB196628:DXB196636 EGX196628:EGX196636 EQT196628:EQT196636 FAP196628:FAP196636 FKL196628:FKL196636 FUH196628:FUH196636 GED196628:GED196636 GNZ196628:GNZ196636 GXV196628:GXV196636 HHR196628:HHR196636 HRN196628:HRN196636 IBJ196628:IBJ196636 ILF196628:ILF196636 IVB196628:IVB196636 JEX196628:JEX196636 JOT196628:JOT196636 JYP196628:JYP196636 KIL196628:KIL196636 KSH196628:KSH196636 LCD196628:LCD196636 LLZ196628:LLZ196636 LVV196628:LVV196636 MFR196628:MFR196636 MPN196628:MPN196636 MZJ196628:MZJ196636 NJF196628:NJF196636 NTB196628:NTB196636 OCX196628:OCX196636 OMT196628:OMT196636 OWP196628:OWP196636 PGL196628:PGL196636 PQH196628:PQH196636 QAD196628:QAD196636 QJZ196628:QJZ196636 QTV196628:QTV196636 RDR196628:RDR196636 RNN196628:RNN196636 RXJ196628:RXJ196636 SHF196628:SHF196636 SRB196628:SRB196636 TAX196628:TAX196636 TKT196628:TKT196636 TUP196628:TUP196636 UEL196628:UEL196636 UOH196628:UOH196636 UYD196628:UYD196636 VHZ196628:VHZ196636 VRV196628:VRV196636 WBR196628:WBR196636 WLN196628:WLN196636 WVJ196628:WVJ196636 B262164:B262172 IX262164:IX262172 ST262164:ST262172 ACP262164:ACP262172 AML262164:AML262172 AWH262164:AWH262172 BGD262164:BGD262172 BPZ262164:BPZ262172 BZV262164:BZV262172 CJR262164:CJR262172 CTN262164:CTN262172 DDJ262164:DDJ262172 DNF262164:DNF262172 DXB262164:DXB262172 EGX262164:EGX262172 EQT262164:EQT262172 FAP262164:FAP262172 FKL262164:FKL262172 FUH262164:FUH262172 GED262164:GED262172 GNZ262164:GNZ262172 GXV262164:GXV262172 HHR262164:HHR262172 HRN262164:HRN262172 IBJ262164:IBJ262172 ILF262164:ILF262172 IVB262164:IVB262172 JEX262164:JEX262172 JOT262164:JOT262172 JYP262164:JYP262172 KIL262164:KIL262172 KSH262164:KSH262172 LCD262164:LCD262172 LLZ262164:LLZ262172 LVV262164:LVV262172 MFR262164:MFR262172 MPN262164:MPN262172 MZJ262164:MZJ262172 NJF262164:NJF262172 NTB262164:NTB262172 OCX262164:OCX262172 OMT262164:OMT262172 OWP262164:OWP262172 PGL262164:PGL262172 PQH262164:PQH262172 QAD262164:QAD262172 QJZ262164:QJZ262172 QTV262164:QTV262172 RDR262164:RDR262172 RNN262164:RNN262172 RXJ262164:RXJ262172 SHF262164:SHF262172 SRB262164:SRB262172 TAX262164:TAX262172 TKT262164:TKT262172 TUP262164:TUP262172 UEL262164:UEL262172 UOH262164:UOH262172 UYD262164:UYD262172 VHZ262164:VHZ262172 VRV262164:VRV262172 WBR262164:WBR262172 WLN262164:WLN262172 WVJ262164:WVJ262172 B327700:B327708 IX327700:IX327708 ST327700:ST327708 ACP327700:ACP327708 AML327700:AML327708 AWH327700:AWH327708 BGD327700:BGD327708 BPZ327700:BPZ327708 BZV327700:BZV327708 CJR327700:CJR327708 CTN327700:CTN327708 DDJ327700:DDJ327708 DNF327700:DNF327708 DXB327700:DXB327708 EGX327700:EGX327708 EQT327700:EQT327708 FAP327700:FAP327708 FKL327700:FKL327708 FUH327700:FUH327708 GED327700:GED327708 GNZ327700:GNZ327708 GXV327700:GXV327708 HHR327700:HHR327708 HRN327700:HRN327708 IBJ327700:IBJ327708 ILF327700:ILF327708 IVB327700:IVB327708 JEX327700:JEX327708 JOT327700:JOT327708 JYP327700:JYP327708 KIL327700:KIL327708 KSH327700:KSH327708 LCD327700:LCD327708 LLZ327700:LLZ327708 LVV327700:LVV327708 MFR327700:MFR327708 MPN327700:MPN327708 MZJ327700:MZJ327708 NJF327700:NJF327708 NTB327700:NTB327708 OCX327700:OCX327708 OMT327700:OMT327708 OWP327700:OWP327708 PGL327700:PGL327708 PQH327700:PQH327708 QAD327700:QAD327708 QJZ327700:QJZ327708 QTV327700:QTV327708 RDR327700:RDR327708 RNN327700:RNN327708 RXJ327700:RXJ327708 SHF327700:SHF327708 SRB327700:SRB327708 TAX327700:TAX327708 TKT327700:TKT327708 TUP327700:TUP327708 UEL327700:UEL327708 UOH327700:UOH327708 UYD327700:UYD327708 VHZ327700:VHZ327708 VRV327700:VRV327708 WBR327700:WBR327708 WLN327700:WLN327708 WVJ327700:WVJ327708 B393236:B393244 IX393236:IX393244 ST393236:ST393244 ACP393236:ACP393244 AML393236:AML393244 AWH393236:AWH393244 BGD393236:BGD393244 BPZ393236:BPZ393244 BZV393236:BZV393244 CJR393236:CJR393244 CTN393236:CTN393244 DDJ393236:DDJ393244 DNF393236:DNF393244 DXB393236:DXB393244 EGX393236:EGX393244 EQT393236:EQT393244 FAP393236:FAP393244 FKL393236:FKL393244 FUH393236:FUH393244 GED393236:GED393244 GNZ393236:GNZ393244 GXV393236:GXV393244 HHR393236:HHR393244 HRN393236:HRN393244 IBJ393236:IBJ393244 ILF393236:ILF393244 IVB393236:IVB393244 JEX393236:JEX393244 JOT393236:JOT393244 JYP393236:JYP393244 KIL393236:KIL393244 KSH393236:KSH393244 LCD393236:LCD393244 LLZ393236:LLZ393244 LVV393236:LVV393244 MFR393236:MFR393244 MPN393236:MPN393244 MZJ393236:MZJ393244 NJF393236:NJF393244 NTB393236:NTB393244 OCX393236:OCX393244 OMT393236:OMT393244 OWP393236:OWP393244 PGL393236:PGL393244 PQH393236:PQH393244 QAD393236:QAD393244 QJZ393236:QJZ393244 QTV393236:QTV393244 RDR393236:RDR393244 RNN393236:RNN393244 RXJ393236:RXJ393244 SHF393236:SHF393244 SRB393236:SRB393244 TAX393236:TAX393244 TKT393236:TKT393244 TUP393236:TUP393244 UEL393236:UEL393244 UOH393236:UOH393244 UYD393236:UYD393244 VHZ393236:VHZ393244 VRV393236:VRV393244 WBR393236:WBR393244 WLN393236:WLN393244 WVJ393236:WVJ393244 B458772:B458780 IX458772:IX458780 ST458772:ST458780 ACP458772:ACP458780 AML458772:AML458780 AWH458772:AWH458780 BGD458772:BGD458780 BPZ458772:BPZ458780 BZV458772:BZV458780 CJR458772:CJR458780 CTN458772:CTN458780 DDJ458772:DDJ458780 DNF458772:DNF458780 DXB458772:DXB458780 EGX458772:EGX458780 EQT458772:EQT458780 FAP458772:FAP458780 FKL458772:FKL458780 FUH458772:FUH458780 GED458772:GED458780 GNZ458772:GNZ458780 GXV458772:GXV458780 HHR458772:HHR458780 HRN458772:HRN458780 IBJ458772:IBJ458780 ILF458772:ILF458780 IVB458772:IVB458780 JEX458772:JEX458780 JOT458772:JOT458780 JYP458772:JYP458780 KIL458772:KIL458780 KSH458772:KSH458780 LCD458772:LCD458780 LLZ458772:LLZ458780 LVV458772:LVV458780 MFR458772:MFR458780 MPN458772:MPN458780 MZJ458772:MZJ458780 NJF458772:NJF458780 NTB458772:NTB458780 OCX458772:OCX458780 OMT458772:OMT458780 OWP458772:OWP458780 PGL458772:PGL458780 PQH458772:PQH458780 QAD458772:QAD458780 QJZ458772:QJZ458780 QTV458772:QTV458780 RDR458772:RDR458780 RNN458772:RNN458780 RXJ458772:RXJ458780 SHF458772:SHF458780 SRB458772:SRB458780 TAX458772:TAX458780 TKT458772:TKT458780 TUP458772:TUP458780 UEL458772:UEL458780 UOH458772:UOH458780 UYD458772:UYD458780 VHZ458772:VHZ458780 VRV458772:VRV458780 WBR458772:WBR458780 WLN458772:WLN458780 WVJ458772:WVJ458780 B524308:B524316 IX524308:IX524316 ST524308:ST524316 ACP524308:ACP524316 AML524308:AML524316 AWH524308:AWH524316 BGD524308:BGD524316 BPZ524308:BPZ524316 BZV524308:BZV524316 CJR524308:CJR524316 CTN524308:CTN524316 DDJ524308:DDJ524316 DNF524308:DNF524316 DXB524308:DXB524316 EGX524308:EGX524316 EQT524308:EQT524316 FAP524308:FAP524316 FKL524308:FKL524316 FUH524308:FUH524316 GED524308:GED524316 GNZ524308:GNZ524316 GXV524308:GXV524316 HHR524308:HHR524316 HRN524308:HRN524316 IBJ524308:IBJ524316 ILF524308:ILF524316 IVB524308:IVB524316 JEX524308:JEX524316 JOT524308:JOT524316 JYP524308:JYP524316 KIL524308:KIL524316 KSH524308:KSH524316 LCD524308:LCD524316 LLZ524308:LLZ524316 LVV524308:LVV524316 MFR524308:MFR524316 MPN524308:MPN524316 MZJ524308:MZJ524316 NJF524308:NJF524316 NTB524308:NTB524316 OCX524308:OCX524316 OMT524308:OMT524316 OWP524308:OWP524316 PGL524308:PGL524316 PQH524308:PQH524316 QAD524308:QAD524316 QJZ524308:QJZ524316 QTV524308:QTV524316 RDR524308:RDR524316 RNN524308:RNN524316 RXJ524308:RXJ524316 SHF524308:SHF524316 SRB524308:SRB524316 TAX524308:TAX524316 TKT524308:TKT524316 TUP524308:TUP524316 UEL524308:UEL524316 UOH524308:UOH524316 UYD524308:UYD524316 VHZ524308:VHZ524316 VRV524308:VRV524316 WBR524308:WBR524316 WLN524308:WLN524316 WVJ524308:WVJ524316 B589844:B589852 IX589844:IX589852 ST589844:ST589852 ACP589844:ACP589852 AML589844:AML589852 AWH589844:AWH589852 BGD589844:BGD589852 BPZ589844:BPZ589852 BZV589844:BZV589852 CJR589844:CJR589852 CTN589844:CTN589852 DDJ589844:DDJ589852 DNF589844:DNF589852 DXB589844:DXB589852 EGX589844:EGX589852 EQT589844:EQT589852 FAP589844:FAP589852 FKL589844:FKL589852 FUH589844:FUH589852 GED589844:GED589852 GNZ589844:GNZ589852 GXV589844:GXV589852 HHR589844:HHR589852 HRN589844:HRN589852 IBJ589844:IBJ589852 ILF589844:ILF589852 IVB589844:IVB589852 JEX589844:JEX589852 JOT589844:JOT589852 JYP589844:JYP589852 KIL589844:KIL589852 KSH589844:KSH589852 LCD589844:LCD589852 LLZ589844:LLZ589852 LVV589844:LVV589852 MFR589844:MFR589852 MPN589844:MPN589852 MZJ589844:MZJ589852 NJF589844:NJF589852 NTB589844:NTB589852 OCX589844:OCX589852 OMT589844:OMT589852 OWP589844:OWP589852 PGL589844:PGL589852 PQH589844:PQH589852 QAD589844:QAD589852 QJZ589844:QJZ589852 QTV589844:QTV589852 RDR589844:RDR589852 RNN589844:RNN589852 RXJ589844:RXJ589852 SHF589844:SHF589852 SRB589844:SRB589852 TAX589844:TAX589852 TKT589844:TKT589852 TUP589844:TUP589852 UEL589844:UEL589852 UOH589844:UOH589852 UYD589844:UYD589852 VHZ589844:VHZ589852 VRV589844:VRV589852 WBR589844:WBR589852 WLN589844:WLN589852 WVJ589844:WVJ589852 B655380:B655388 IX655380:IX655388 ST655380:ST655388 ACP655380:ACP655388 AML655380:AML655388 AWH655380:AWH655388 BGD655380:BGD655388 BPZ655380:BPZ655388 BZV655380:BZV655388 CJR655380:CJR655388 CTN655380:CTN655388 DDJ655380:DDJ655388 DNF655380:DNF655388 DXB655380:DXB655388 EGX655380:EGX655388 EQT655380:EQT655388 FAP655380:FAP655388 FKL655380:FKL655388 FUH655380:FUH655388 GED655380:GED655388 GNZ655380:GNZ655388 GXV655380:GXV655388 HHR655380:HHR655388 HRN655380:HRN655388 IBJ655380:IBJ655388 ILF655380:ILF655388 IVB655380:IVB655388 JEX655380:JEX655388 JOT655380:JOT655388 JYP655380:JYP655388 KIL655380:KIL655388 KSH655380:KSH655388 LCD655380:LCD655388 LLZ655380:LLZ655388 LVV655380:LVV655388 MFR655380:MFR655388 MPN655380:MPN655388 MZJ655380:MZJ655388 NJF655380:NJF655388 NTB655380:NTB655388 OCX655380:OCX655388 OMT655380:OMT655388 OWP655380:OWP655388 PGL655380:PGL655388 PQH655380:PQH655388 QAD655380:QAD655388 QJZ655380:QJZ655388 QTV655380:QTV655388 RDR655380:RDR655388 RNN655380:RNN655388 RXJ655380:RXJ655388 SHF655380:SHF655388 SRB655380:SRB655388 TAX655380:TAX655388 TKT655380:TKT655388 TUP655380:TUP655388 UEL655380:UEL655388 UOH655380:UOH655388 UYD655380:UYD655388 VHZ655380:VHZ655388 VRV655380:VRV655388 WBR655380:WBR655388 WLN655380:WLN655388 WVJ655380:WVJ655388 B720916:B720924 IX720916:IX720924 ST720916:ST720924 ACP720916:ACP720924 AML720916:AML720924 AWH720916:AWH720924 BGD720916:BGD720924 BPZ720916:BPZ720924 BZV720916:BZV720924 CJR720916:CJR720924 CTN720916:CTN720924 DDJ720916:DDJ720924 DNF720916:DNF720924 DXB720916:DXB720924 EGX720916:EGX720924 EQT720916:EQT720924 FAP720916:FAP720924 FKL720916:FKL720924 FUH720916:FUH720924 GED720916:GED720924 GNZ720916:GNZ720924 GXV720916:GXV720924 HHR720916:HHR720924 HRN720916:HRN720924 IBJ720916:IBJ720924 ILF720916:ILF720924 IVB720916:IVB720924 JEX720916:JEX720924 JOT720916:JOT720924 JYP720916:JYP720924 KIL720916:KIL720924 KSH720916:KSH720924 LCD720916:LCD720924 LLZ720916:LLZ720924 LVV720916:LVV720924 MFR720916:MFR720924 MPN720916:MPN720924 MZJ720916:MZJ720924 NJF720916:NJF720924 NTB720916:NTB720924 OCX720916:OCX720924 OMT720916:OMT720924 OWP720916:OWP720924 PGL720916:PGL720924 PQH720916:PQH720924 QAD720916:QAD720924 QJZ720916:QJZ720924 QTV720916:QTV720924 RDR720916:RDR720924 RNN720916:RNN720924 RXJ720916:RXJ720924 SHF720916:SHF720924 SRB720916:SRB720924 TAX720916:TAX720924 TKT720916:TKT720924 TUP720916:TUP720924 UEL720916:UEL720924 UOH720916:UOH720924 UYD720916:UYD720924 VHZ720916:VHZ720924 VRV720916:VRV720924 WBR720916:WBR720924 WLN720916:WLN720924 WVJ720916:WVJ720924 B786452:B786460 IX786452:IX786460 ST786452:ST786460 ACP786452:ACP786460 AML786452:AML786460 AWH786452:AWH786460 BGD786452:BGD786460 BPZ786452:BPZ786460 BZV786452:BZV786460 CJR786452:CJR786460 CTN786452:CTN786460 DDJ786452:DDJ786460 DNF786452:DNF786460 DXB786452:DXB786460 EGX786452:EGX786460 EQT786452:EQT786460 FAP786452:FAP786460 FKL786452:FKL786460 FUH786452:FUH786460 GED786452:GED786460 GNZ786452:GNZ786460 GXV786452:GXV786460 HHR786452:HHR786460 HRN786452:HRN786460 IBJ786452:IBJ786460 ILF786452:ILF786460 IVB786452:IVB786460 JEX786452:JEX786460 JOT786452:JOT786460 JYP786452:JYP786460 KIL786452:KIL786460 KSH786452:KSH786460 LCD786452:LCD786460 LLZ786452:LLZ786460 LVV786452:LVV786460 MFR786452:MFR786460 MPN786452:MPN786460 MZJ786452:MZJ786460 NJF786452:NJF786460 NTB786452:NTB786460 OCX786452:OCX786460 OMT786452:OMT786460 OWP786452:OWP786460 PGL786452:PGL786460 PQH786452:PQH786460 QAD786452:QAD786460 QJZ786452:QJZ786460 QTV786452:QTV786460 RDR786452:RDR786460 RNN786452:RNN786460 RXJ786452:RXJ786460 SHF786452:SHF786460 SRB786452:SRB786460 TAX786452:TAX786460 TKT786452:TKT786460 TUP786452:TUP786460 UEL786452:UEL786460 UOH786452:UOH786460 UYD786452:UYD786460 VHZ786452:VHZ786460 VRV786452:VRV786460 WBR786452:WBR786460 WLN786452:WLN786460 WVJ786452:WVJ786460 B851988:B851996 IX851988:IX851996 ST851988:ST851996 ACP851988:ACP851996 AML851988:AML851996 AWH851988:AWH851996 BGD851988:BGD851996 BPZ851988:BPZ851996 BZV851988:BZV851996 CJR851988:CJR851996 CTN851988:CTN851996 DDJ851988:DDJ851996 DNF851988:DNF851996 DXB851988:DXB851996 EGX851988:EGX851996 EQT851988:EQT851996 FAP851988:FAP851996 FKL851988:FKL851996 FUH851988:FUH851996 GED851988:GED851996 GNZ851988:GNZ851996 GXV851988:GXV851996 HHR851988:HHR851996 HRN851988:HRN851996 IBJ851988:IBJ851996 ILF851988:ILF851996 IVB851988:IVB851996 JEX851988:JEX851996 JOT851988:JOT851996 JYP851988:JYP851996 KIL851988:KIL851996 KSH851988:KSH851996 LCD851988:LCD851996 LLZ851988:LLZ851996 LVV851988:LVV851996 MFR851988:MFR851996 MPN851988:MPN851996 MZJ851988:MZJ851996 NJF851988:NJF851996 NTB851988:NTB851996 OCX851988:OCX851996 OMT851988:OMT851996 OWP851988:OWP851996 PGL851988:PGL851996 PQH851988:PQH851996 QAD851988:QAD851996 QJZ851988:QJZ851996 QTV851988:QTV851996 RDR851988:RDR851996 RNN851988:RNN851996 RXJ851988:RXJ851996 SHF851988:SHF851996 SRB851988:SRB851996 TAX851988:TAX851996 TKT851988:TKT851996 TUP851988:TUP851996 UEL851988:UEL851996 UOH851988:UOH851996 UYD851988:UYD851996 VHZ851988:VHZ851996 VRV851988:VRV851996 WBR851988:WBR851996 WLN851988:WLN851996 WVJ851988:WVJ851996 B917524:B917532 IX917524:IX917532 ST917524:ST917532 ACP917524:ACP917532 AML917524:AML917532 AWH917524:AWH917532 BGD917524:BGD917532 BPZ917524:BPZ917532 BZV917524:BZV917532 CJR917524:CJR917532 CTN917524:CTN917532 DDJ917524:DDJ917532 DNF917524:DNF917532 DXB917524:DXB917532 EGX917524:EGX917532 EQT917524:EQT917532 FAP917524:FAP917532 FKL917524:FKL917532 FUH917524:FUH917532 GED917524:GED917532 GNZ917524:GNZ917532 GXV917524:GXV917532 HHR917524:HHR917532 HRN917524:HRN917532 IBJ917524:IBJ917532 ILF917524:ILF917532 IVB917524:IVB917532 JEX917524:JEX917532 JOT917524:JOT917532 JYP917524:JYP917532 KIL917524:KIL917532 KSH917524:KSH917532 LCD917524:LCD917532 LLZ917524:LLZ917532 LVV917524:LVV917532 MFR917524:MFR917532 MPN917524:MPN917532 MZJ917524:MZJ917532 NJF917524:NJF917532 NTB917524:NTB917532 OCX917524:OCX917532 OMT917524:OMT917532 OWP917524:OWP917532 PGL917524:PGL917532 PQH917524:PQH917532 QAD917524:QAD917532 QJZ917524:QJZ917532 QTV917524:QTV917532 RDR917524:RDR917532 RNN917524:RNN917532 RXJ917524:RXJ917532 SHF917524:SHF917532 SRB917524:SRB917532 TAX917524:TAX917532 TKT917524:TKT917532 TUP917524:TUP917532 UEL917524:UEL917532 UOH917524:UOH917532 UYD917524:UYD917532 VHZ917524:VHZ917532 VRV917524:VRV917532 WBR917524:WBR917532 WLN917524:WLN917532 WVJ917524:WVJ917532 B983060:B983068 IX983060:IX983068 ST983060:ST983068 ACP983060:ACP983068 AML983060:AML983068 AWH983060:AWH983068 BGD983060:BGD983068 BPZ983060:BPZ983068 BZV983060:BZV983068 CJR983060:CJR983068 CTN983060:CTN983068 DDJ983060:DDJ983068 DNF983060:DNF983068 DXB983060:DXB983068 EGX983060:EGX983068 EQT983060:EQT983068 FAP983060:FAP983068 FKL983060:FKL983068 FUH983060:FUH983068 GED983060:GED983068 GNZ983060:GNZ983068 GXV983060:GXV983068 HHR983060:HHR983068 HRN983060:HRN983068 IBJ983060:IBJ983068 ILF983060:ILF983068 IVB983060:IVB983068 JEX983060:JEX983068 JOT983060:JOT983068 JYP983060:JYP983068 KIL983060:KIL983068 KSH983060:KSH983068 LCD983060:LCD983068 LLZ983060:LLZ983068 LVV983060:LVV983068 MFR983060:MFR983068 MPN983060:MPN983068 MZJ983060:MZJ983068 NJF983060:NJF983068 NTB983060:NTB983068 OCX983060:OCX983068 OMT983060:OMT983068 OWP983060:OWP983068 PGL983060:PGL983068 PQH983060:PQH983068 QAD983060:QAD983068 QJZ983060:QJZ983068 QTV983060:QTV983068 RDR983060:RDR983068 RNN983060:RNN983068 RXJ983060:RXJ983068 SHF983060:SHF983068 SRB983060:SRB983068 TAX983060:TAX983068 TKT983060:TKT983068 TUP983060:TUP983068 UEL983060:UEL983068 UOH983060:UOH983068 UYD983060:UYD983068 VHZ983060:VHZ983068 VRV983060:VRV983068 WBR983060:WBR983068 WLN983060:WLN983068 B20:B28" xr:uid="{A78CDF70-0579-423D-8422-53A47F7C0520}">
      <formula1>$A$44:$A$84</formula1>
    </dataValidation>
  </dataValidations>
  <printOptions horizontalCentered="1"/>
  <pageMargins left="0.74803149606299213" right="0.70866141732283472" top="0.74803149606299213" bottom="0.9055118110236221" header="0.39370078740157483" footer="0.39370078740157483"/>
  <pageSetup paperSize="9" scale="96" orientation="portrait" r:id="rId1"/>
  <headerFooter scaleWithDoc="0" alignWithMargins="0">
    <oddHeader xml:space="preserve">&amp;L&amp;"-,Regular"&amp;8&amp;F&amp;R&amp;"-,Regular"&amp;8&amp;A
______________________________________________________________________________________________
</oddHeader>
    <oddFooter>&amp;L&amp;"-,Regular"&amp;8______________________________________________________________________________________________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4C19-6D0E-4639-8CFA-F0CBD1A0B11A}">
  <sheetPr codeName="Sheet7">
    <pageSetUpPr fitToPage="1"/>
  </sheetPr>
  <dimension ref="A1:Z91"/>
  <sheetViews>
    <sheetView zoomScaleNormal="100" zoomScaleSheetLayoutView="115" workbookViewId="0">
      <selection activeCell="K27" sqref="K27:M27"/>
    </sheetView>
  </sheetViews>
  <sheetFormatPr defaultColWidth="7.75" defaultRowHeight="13.5"/>
  <cols>
    <col min="1" max="1" width="2.5" style="57" customWidth="1"/>
    <col min="2" max="2" width="6.83203125" style="57" customWidth="1"/>
    <col min="3" max="5" width="3.1640625" style="57" customWidth="1"/>
    <col min="6" max="6" width="4.5" style="57" customWidth="1"/>
    <col min="7" max="10" width="3.1640625" style="57" customWidth="1"/>
    <col min="11" max="19" width="4.75" style="57" customWidth="1"/>
    <col min="20" max="20" width="3.1640625" style="58" customWidth="1"/>
    <col min="21" max="21" width="9.25" style="57" customWidth="1"/>
    <col min="22" max="22" width="26.75" style="57" customWidth="1"/>
    <col min="23" max="26" width="9.25" style="57" customWidth="1"/>
    <col min="27" max="256" width="7.75" style="57"/>
    <col min="257" max="257" width="2.5" style="57" customWidth="1"/>
    <col min="258" max="258" width="6.83203125" style="57" customWidth="1"/>
    <col min="259" max="261" width="3.1640625" style="57" customWidth="1"/>
    <col min="262" max="262" width="4.5" style="57" customWidth="1"/>
    <col min="263" max="266" width="3.1640625" style="57" customWidth="1"/>
    <col min="267" max="275" width="4.75" style="57" customWidth="1"/>
    <col min="276" max="276" width="3.1640625" style="57" customWidth="1"/>
    <col min="277" max="277" width="9.25" style="57" customWidth="1"/>
    <col min="278" max="278" width="26.75" style="57" customWidth="1"/>
    <col min="279" max="282" width="9.25" style="57" customWidth="1"/>
    <col min="283" max="512" width="7.75" style="57"/>
    <col min="513" max="513" width="2.5" style="57" customWidth="1"/>
    <col min="514" max="514" width="6.83203125" style="57" customWidth="1"/>
    <col min="515" max="517" width="3.1640625" style="57" customWidth="1"/>
    <col min="518" max="518" width="4.5" style="57" customWidth="1"/>
    <col min="519" max="522" width="3.1640625" style="57" customWidth="1"/>
    <col min="523" max="531" width="4.75" style="57" customWidth="1"/>
    <col min="532" max="532" width="3.1640625" style="57" customWidth="1"/>
    <col min="533" max="533" width="9.25" style="57" customWidth="1"/>
    <col min="534" max="534" width="26.75" style="57" customWidth="1"/>
    <col min="535" max="538" width="9.25" style="57" customWidth="1"/>
    <col min="539" max="768" width="7.75" style="57"/>
    <col min="769" max="769" width="2.5" style="57" customWidth="1"/>
    <col min="770" max="770" width="6.83203125" style="57" customWidth="1"/>
    <col min="771" max="773" width="3.1640625" style="57" customWidth="1"/>
    <col min="774" max="774" width="4.5" style="57" customWidth="1"/>
    <col min="775" max="778" width="3.1640625" style="57" customWidth="1"/>
    <col min="779" max="787" width="4.75" style="57" customWidth="1"/>
    <col min="788" max="788" width="3.1640625" style="57" customWidth="1"/>
    <col min="789" max="789" width="9.25" style="57" customWidth="1"/>
    <col min="790" max="790" width="26.75" style="57" customWidth="1"/>
    <col min="791" max="794" width="9.25" style="57" customWidth="1"/>
    <col min="795" max="1024" width="7.75" style="57"/>
    <col min="1025" max="1025" width="2.5" style="57" customWidth="1"/>
    <col min="1026" max="1026" width="6.83203125" style="57" customWidth="1"/>
    <col min="1027" max="1029" width="3.1640625" style="57" customWidth="1"/>
    <col min="1030" max="1030" width="4.5" style="57" customWidth="1"/>
    <col min="1031" max="1034" width="3.1640625" style="57" customWidth="1"/>
    <col min="1035" max="1043" width="4.75" style="57" customWidth="1"/>
    <col min="1044" max="1044" width="3.1640625" style="57" customWidth="1"/>
    <col min="1045" max="1045" width="9.25" style="57" customWidth="1"/>
    <col min="1046" max="1046" width="26.75" style="57" customWidth="1"/>
    <col min="1047" max="1050" width="9.25" style="57" customWidth="1"/>
    <col min="1051" max="1280" width="7.75" style="57"/>
    <col min="1281" max="1281" width="2.5" style="57" customWidth="1"/>
    <col min="1282" max="1282" width="6.83203125" style="57" customWidth="1"/>
    <col min="1283" max="1285" width="3.1640625" style="57" customWidth="1"/>
    <col min="1286" max="1286" width="4.5" style="57" customWidth="1"/>
    <col min="1287" max="1290" width="3.1640625" style="57" customWidth="1"/>
    <col min="1291" max="1299" width="4.75" style="57" customWidth="1"/>
    <col min="1300" max="1300" width="3.1640625" style="57" customWidth="1"/>
    <col min="1301" max="1301" width="9.25" style="57" customWidth="1"/>
    <col min="1302" max="1302" width="26.75" style="57" customWidth="1"/>
    <col min="1303" max="1306" width="9.25" style="57" customWidth="1"/>
    <col min="1307" max="1536" width="7.75" style="57"/>
    <col min="1537" max="1537" width="2.5" style="57" customWidth="1"/>
    <col min="1538" max="1538" width="6.83203125" style="57" customWidth="1"/>
    <col min="1539" max="1541" width="3.1640625" style="57" customWidth="1"/>
    <col min="1542" max="1542" width="4.5" style="57" customWidth="1"/>
    <col min="1543" max="1546" width="3.1640625" style="57" customWidth="1"/>
    <col min="1547" max="1555" width="4.75" style="57" customWidth="1"/>
    <col min="1556" max="1556" width="3.1640625" style="57" customWidth="1"/>
    <col min="1557" max="1557" width="9.25" style="57" customWidth="1"/>
    <col min="1558" max="1558" width="26.75" style="57" customWidth="1"/>
    <col min="1559" max="1562" width="9.25" style="57" customWidth="1"/>
    <col min="1563" max="1792" width="7.75" style="57"/>
    <col min="1793" max="1793" width="2.5" style="57" customWidth="1"/>
    <col min="1794" max="1794" width="6.83203125" style="57" customWidth="1"/>
    <col min="1795" max="1797" width="3.1640625" style="57" customWidth="1"/>
    <col min="1798" max="1798" width="4.5" style="57" customWidth="1"/>
    <col min="1799" max="1802" width="3.1640625" style="57" customWidth="1"/>
    <col min="1803" max="1811" width="4.75" style="57" customWidth="1"/>
    <col min="1812" max="1812" width="3.1640625" style="57" customWidth="1"/>
    <col min="1813" max="1813" width="9.25" style="57" customWidth="1"/>
    <col min="1814" max="1814" width="26.75" style="57" customWidth="1"/>
    <col min="1815" max="1818" width="9.25" style="57" customWidth="1"/>
    <col min="1819" max="2048" width="7.75" style="57"/>
    <col min="2049" max="2049" width="2.5" style="57" customWidth="1"/>
    <col min="2050" max="2050" width="6.83203125" style="57" customWidth="1"/>
    <col min="2051" max="2053" width="3.1640625" style="57" customWidth="1"/>
    <col min="2054" max="2054" width="4.5" style="57" customWidth="1"/>
    <col min="2055" max="2058" width="3.1640625" style="57" customWidth="1"/>
    <col min="2059" max="2067" width="4.75" style="57" customWidth="1"/>
    <col min="2068" max="2068" width="3.1640625" style="57" customWidth="1"/>
    <col min="2069" max="2069" width="9.25" style="57" customWidth="1"/>
    <col min="2070" max="2070" width="26.75" style="57" customWidth="1"/>
    <col min="2071" max="2074" width="9.25" style="57" customWidth="1"/>
    <col min="2075" max="2304" width="7.75" style="57"/>
    <col min="2305" max="2305" width="2.5" style="57" customWidth="1"/>
    <col min="2306" max="2306" width="6.83203125" style="57" customWidth="1"/>
    <col min="2307" max="2309" width="3.1640625" style="57" customWidth="1"/>
    <col min="2310" max="2310" width="4.5" style="57" customWidth="1"/>
    <col min="2311" max="2314" width="3.1640625" style="57" customWidth="1"/>
    <col min="2315" max="2323" width="4.75" style="57" customWidth="1"/>
    <col min="2324" max="2324" width="3.1640625" style="57" customWidth="1"/>
    <col min="2325" max="2325" width="9.25" style="57" customWidth="1"/>
    <col min="2326" max="2326" width="26.75" style="57" customWidth="1"/>
    <col min="2327" max="2330" width="9.25" style="57" customWidth="1"/>
    <col min="2331" max="2560" width="7.75" style="57"/>
    <col min="2561" max="2561" width="2.5" style="57" customWidth="1"/>
    <col min="2562" max="2562" width="6.83203125" style="57" customWidth="1"/>
    <col min="2563" max="2565" width="3.1640625" style="57" customWidth="1"/>
    <col min="2566" max="2566" width="4.5" style="57" customWidth="1"/>
    <col min="2567" max="2570" width="3.1640625" style="57" customWidth="1"/>
    <col min="2571" max="2579" width="4.75" style="57" customWidth="1"/>
    <col min="2580" max="2580" width="3.1640625" style="57" customWidth="1"/>
    <col min="2581" max="2581" width="9.25" style="57" customWidth="1"/>
    <col min="2582" max="2582" width="26.75" style="57" customWidth="1"/>
    <col min="2583" max="2586" width="9.25" style="57" customWidth="1"/>
    <col min="2587" max="2816" width="7.75" style="57"/>
    <col min="2817" max="2817" width="2.5" style="57" customWidth="1"/>
    <col min="2818" max="2818" width="6.83203125" style="57" customWidth="1"/>
    <col min="2819" max="2821" width="3.1640625" style="57" customWidth="1"/>
    <col min="2822" max="2822" width="4.5" style="57" customWidth="1"/>
    <col min="2823" max="2826" width="3.1640625" style="57" customWidth="1"/>
    <col min="2827" max="2835" width="4.75" style="57" customWidth="1"/>
    <col min="2836" max="2836" width="3.1640625" style="57" customWidth="1"/>
    <col min="2837" max="2837" width="9.25" style="57" customWidth="1"/>
    <col min="2838" max="2838" width="26.75" style="57" customWidth="1"/>
    <col min="2839" max="2842" width="9.25" style="57" customWidth="1"/>
    <col min="2843" max="3072" width="7.75" style="57"/>
    <col min="3073" max="3073" width="2.5" style="57" customWidth="1"/>
    <col min="3074" max="3074" width="6.83203125" style="57" customWidth="1"/>
    <col min="3075" max="3077" width="3.1640625" style="57" customWidth="1"/>
    <col min="3078" max="3078" width="4.5" style="57" customWidth="1"/>
    <col min="3079" max="3082" width="3.1640625" style="57" customWidth="1"/>
    <col min="3083" max="3091" width="4.75" style="57" customWidth="1"/>
    <col min="3092" max="3092" width="3.1640625" style="57" customWidth="1"/>
    <col min="3093" max="3093" width="9.25" style="57" customWidth="1"/>
    <col min="3094" max="3094" width="26.75" style="57" customWidth="1"/>
    <col min="3095" max="3098" width="9.25" style="57" customWidth="1"/>
    <col min="3099" max="3328" width="7.75" style="57"/>
    <col min="3329" max="3329" width="2.5" style="57" customWidth="1"/>
    <col min="3330" max="3330" width="6.83203125" style="57" customWidth="1"/>
    <col min="3331" max="3333" width="3.1640625" style="57" customWidth="1"/>
    <col min="3334" max="3334" width="4.5" style="57" customWidth="1"/>
    <col min="3335" max="3338" width="3.1640625" style="57" customWidth="1"/>
    <col min="3339" max="3347" width="4.75" style="57" customWidth="1"/>
    <col min="3348" max="3348" width="3.1640625" style="57" customWidth="1"/>
    <col min="3349" max="3349" width="9.25" style="57" customWidth="1"/>
    <col min="3350" max="3350" width="26.75" style="57" customWidth="1"/>
    <col min="3351" max="3354" width="9.25" style="57" customWidth="1"/>
    <col min="3355" max="3584" width="7.75" style="57"/>
    <col min="3585" max="3585" width="2.5" style="57" customWidth="1"/>
    <col min="3586" max="3586" width="6.83203125" style="57" customWidth="1"/>
    <col min="3587" max="3589" width="3.1640625" style="57" customWidth="1"/>
    <col min="3590" max="3590" width="4.5" style="57" customWidth="1"/>
    <col min="3591" max="3594" width="3.1640625" style="57" customWidth="1"/>
    <col min="3595" max="3603" width="4.75" style="57" customWidth="1"/>
    <col min="3604" max="3604" width="3.1640625" style="57" customWidth="1"/>
    <col min="3605" max="3605" width="9.25" style="57" customWidth="1"/>
    <col min="3606" max="3606" width="26.75" style="57" customWidth="1"/>
    <col min="3607" max="3610" width="9.25" style="57" customWidth="1"/>
    <col min="3611" max="3840" width="7.75" style="57"/>
    <col min="3841" max="3841" width="2.5" style="57" customWidth="1"/>
    <col min="3842" max="3842" width="6.83203125" style="57" customWidth="1"/>
    <col min="3843" max="3845" width="3.1640625" style="57" customWidth="1"/>
    <col min="3846" max="3846" width="4.5" style="57" customWidth="1"/>
    <col min="3847" max="3850" width="3.1640625" style="57" customWidth="1"/>
    <col min="3851" max="3859" width="4.75" style="57" customWidth="1"/>
    <col min="3860" max="3860" width="3.1640625" style="57" customWidth="1"/>
    <col min="3861" max="3861" width="9.25" style="57" customWidth="1"/>
    <col min="3862" max="3862" width="26.75" style="57" customWidth="1"/>
    <col min="3863" max="3866" width="9.25" style="57" customWidth="1"/>
    <col min="3867" max="4096" width="7.75" style="57"/>
    <col min="4097" max="4097" width="2.5" style="57" customWidth="1"/>
    <col min="4098" max="4098" width="6.83203125" style="57" customWidth="1"/>
    <col min="4099" max="4101" width="3.1640625" style="57" customWidth="1"/>
    <col min="4102" max="4102" width="4.5" style="57" customWidth="1"/>
    <col min="4103" max="4106" width="3.1640625" style="57" customWidth="1"/>
    <col min="4107" max="4115" width="4.75" style="57" customWidth="1"/>
    <col min="4116" max="4116" width="3.1640625" style="57" customWidth="1"/>
    <col min="4117" max="4117" width="9.25" style="57" customWidth="1"/>
    <col min="4118" max="4118" width="26.75" style="57" customWidth="1"/>
    <col min="4119" max="4122" width="9.25" style="57" customWidth="1"/>
    <col min="4123" max="4352" width="7.75" style="57"/>
    <col min="4353" max="4353" width="2.5" style="57" customWidth="1"/>
    <col min="4354" max="4354" width="6.83203125" style="57" customWidth="1"/>
    <col min="4355" max="4357" width="3.1640625" style="57" customWidth="1"/>
    <col min="4358" max="4358" width="4.5" style="57" customWidth="1"/>
    <col min="4359" max="4362" width="3.1640625" style="57" customWidth="1"/>
    <col min="4363" max="4371" width="4.75" style="57" customWidth="1"/>
    <col min="4372" max="4372" width="3.1640625" style="57" customWidth="1"/>
    <col min="4373" max="4373" width="9.25" style="57" customWidth="1"/>
    <col min="4374" max="4374" width="26.75" style="57" customWidth="1"/>
    <col min="4375" max="4378" width="9.25" style="57" customWidth="1"/>
    <col min="4379" max="4608" width="7.75" style="57"/>
    <col min="4609" max="4609" width="2.5" style="57" customWidth="1"/>
    <col min="4610" max="4610" width="6.83203125" style="57" customWidth="1"/>
    <col min="4611" max="4613" width="3.1640625" style="57" customWidth="1"/>
    <col min="4614" max="4614" width="4.5" style="57" customWidth="1"/>
    <col min="4615" max="4618" width="3.1640625" style="57" customWidth="1"/>
    <col min="4619" max="4627" width="4.75" style="57" customWidth="1"/>
    <col min="4628" max="4628" width="3.1640625" style="57" customWidth="1"/>
    <col min="4629" max="4629" width="9.25" style="57" customWidth="1"/>
    <col min="4630" max="4630" width="26.75" style="57" customWidth="1"/>
    <col min="4631" max="4634" width="9.25" style="57" customWidth="1"/>
    <col min="4635" max="4864" width="7.75" style="57"/>
    <col min="4865" max="4865" width="2.5" style="57" customWidth="1"/>
    <col min="4866" max="4866" width="6.83203125" style="57" customWidth="1"/>
    <col min="4867" max="4869" width="3.1640625" style="57" customWidth="1"/>
    <col min="4870" max="4870" width="4.5" style="57" customWidth="1"/>
    <col min="4871" max="4874" width="3.1640625" style="57" customWidth="1"/>
    <col min="4875" max="4883" width="4.75" style="57" customWidth="1"/>
    <col min="4884" max="4884" width="3.1640625" style="57" customWidth="1"/>
    <col min="4885" max="4885" width="9.25" style="57" customWidth="1"/>
    <col min="4886" max="4886" width="26.75" style="57" customWidth="1"/>
    <col min="4887" max="4890" width="9.25" style="57" customWidth="1"/>
    <col min="4891" max="5120" width="7.75" style="57"/>
    <col min="5121" max="5121" width="2.5" style="57" customWidth="1"/>
    <col min="5122" max="5122" width="6.83203125" style="57" customWidth="1"/>
    <col min="5123" max="5125" width="3.1640625" style="57" customWidth="1"/>
    <col min="5126" max="5126" width="4.5" style="57" customWidth="1"/>
    <col min="5127" max="5130" width="3.1640625" style="57" customWidth="1"/>
    <col min="5131" max="5139" width="4.75" style="57" customWidth="1"/>
    <col min="5140" max="5140" width="3.1640625" style="57" customWidth="1"/>
    <col min="5141" max="5141" width="9.25" style="57" customWidth="1"/>
    <col min="5142" max="5142" width="26.75" style="57" customWidth="1"/>
    <col min="5143" max="5146" width="9.25" style="57" customWidth="1"/>
    <col min="5147" max="5376" width="7.75" style="57"/>
    <col min="5377" max="5377" width="2.5" style="57" customWidth="1"/>
    <col min="5378" max="5378" width="6.83203125" style="57" customWidth="1"/>
    <col min="5379" max="5381" width="3.1640625" style="57" customWidth="1"/>
    <col min="5382" max="5382" width="4.5" style="57" customWidth="1"/>
    <col min="5383" max="5386" width="3.1640625" style="57" customWidth="1"/>
    <col min="5387" max="5395" width="4.75" style="57" customWidth="1"/>
    <col min="5396" max="5396" width="3.1640625" style="57" customWidth="1"/>
    <col min="5397" max="5397" width="9.25" style="57" customWidth="1"/>
    <col min="5398" max="5398" width="26.75" style="57" customWidth="1"/>
    <col min="5399" max="5402" width="9.25" style="57" customWidth="1"/>
    <col min="5403" max="5632" width="7.75" style="57"/>
    <col min="5633" max="5633" width="2.5" style="57" customWidth="1"/>
    <col min="5634" max="5634" width="6.83203125" style="57" customWidth="1"/>
    <col min="5635" max="5637" width="3.1640625" style="57" customWidth="1"/>
    <col min="5638" max="5638" width="4.5" style="57" customWidth="1"/>
    <col min="5639" max="5642" width="3.1640625" style="57" customWidth="1"/>
    <col min="5643" max="5651" width="4.75" style="57" customWidth="1"/>
    <col min="5652" max="5652" width="3.1640625" style="57" customWidth="1"/>
    <col min="5653" max="5653" width="9.25" style="57" customWidth="1"/>
    <col min="5654" max="5654" width="26.75" style="57" customWidth="1"/>
    <col min="5655" max="5658" width="9.25" style="57" customWidth="1"/>
    <col min="5659" max="5888" width="7.75" style="57"/>
    <col min="5889" max="5889" width="2.5" style="57" customWidth="1"/>
    <col min="5890" max="5890" width="6.83203125" style="57" customWidth="1"/>
    <col min="5891" max="5893" width="3.1640625" style="57" customWidth="1"/>
    <col min="5894" max="5894" width="4.5" style="57" customWidth="1"/>
    <col min="5895" max="5898" width="3.1640625" style="57" customWidth="1"/>
    <col min="5899" max="5907" width="4.75" style="57" customWidth="1"/>
    <col min="5908" max="5908" width="3.1640625" style="57" customWidth="1"/>
    <col min="5909" max="5909" width="9.25" style="57" customWidth="1"/>
    <col min="5910" max="5910" width="26.75" style="57" customWidth="1"/>
    <col min="5911" max="5914" width="9.25" style="57" customWidth="1"/>
    <col min="5915" max="6144" width="7.75" style="57"/>
    <col min="6145" max="6145" width="2.5" style="57" customWidth="1"/>
    <col min="6146" max="6146" width="6.83203125" style="57" customWidth="1"/>
    <col min="6147" max="6149" width="3.1640625" style="57" customWidth="1"/>
    <col min="6150" max="6150" width="4.5" style="57" customWidth="1"/>
    <col min="6151" max="6154" width="3.1640625" style="57" customWidth="1"/>
    <col min="6155" max="6163" width="4.75" style="57" customWidth="1"/>
    <col min="6164" max="6164" width="3.1640625" style="57" customWidth="1"/>
    <col min="6165" max="6165" width="9.25" style="57" customWidth="1"/>
    <col min="6166" max="6166" width="26.75" style="57" customWidth="1"/>
    <col min="6167" max="6170" width="9.25" style="57" customWidth="1"/>
    <col min="6171" max="6400" width="7.75" style="57"/>
    <col min="6401" max="6401" width="2.5" style="57" customWidth="1"/>
    <col min="6402" max="6402" width="6.83203125" style="57" customWidth="1"/>
    <col min="6403" max="6405" width="3.1640625" style="57" customWidth="1"/>
    <col min="6406" max="6406" width="4.5" style="57" customWidth="1"/>
    <col min="6407" max="6410" width="3.1640625" style="57" customWidth="1"/>
    <col min="6411" max="6419" width="4.75" style="57" customWidth="1"/>
    <col min="6420" max="6420" width="3.1640625" style="57" customWidth="1"/>
    <col min="6421" max="6421" width="9.25" style="57" customWidth="1"/>
    <col min="6422" max="6422" width="26.75" style="57" customWidth="1"/>
    <col min="6423" max="6426" width="9.25" style="57" customWidth="1"/>
    <col min="6427" max="6656" width="7.75" style="57"/>
    <col min="6657" max="6657" width="2.5" style="57" customWidth="1"/>
    <col min="6658" max="6658" width="6.83203125" style="57" customWidth="1"/>
    <col min="6659" max="6661" width="3.1640625" style="57" customWidth="1"/>
    <col min="6662" max="6662" width="4.5" style="57" customWidth="1"/>
    <col min="6663" max="6666" width="3.1640625" style="57" customWidth="1"/>
    <col min="6667" max="6675" width="4.75" style="57" customWidth="1"/>
    <col min="6676" max="6676" width="3.1640625" style="57" customWidth="1"/>
    <col min="6677" max="6677" width="9.25" style="57" customWidth="1"/>
    <col min="6678" max="6678" width="26.75" style="57" customWidth="1"/>
    <col min="6679" max="6682" width="9.25" style="57" customWidth="1"/>
    <col min="6683" max="6912" width="7.75" style="57"/>
    <col min="6913" max="6913" width="2.5" style="57" customWidth="1"/>
    <col min="6914" max="6914" width="6.83203125" style="57" customWidth="1"/>
    <col min="6915" max="6917" width="3.1640625" style="57" customWidth="1"/>
    <col min="6918" max="6918" width="4.5" style="57" customWidth="1"/>
    <col min="6919" max="6922" width="3.1640625" style="57" customWidth="1"/>
    <col min="6923" max="6931" width="4.75" style="57" customWidth="1"/>
    <col min="6932" max="6932" width="3.1640625" style="57" customWidth="1"/>
    <col min="6933" max="6933" width="9.25" style="57" customWidth="1"/>
    <col min="6934" max="6934" width="26.75" style="57" customWidth="1"/>
    <col min="6935" max="6938" width="9.25" style="57" customWidth="1"/>
    <col min="6939" max="7168" width="7.75" style="57"/>
    <col min="7169" max="7169" width="2.5" style="57" customWidth="1"/>
    <col min="7170" max="7170" width="6.83203125" style="57" customWidth="1"/>
    <col min="7171" max="7173" width="3.1640625" style="57" customWidth="1"/>
    <col min="7174" max="7174" width="4.5" style="57" customWidth="1"/>
    <col min="7175" max="7178" width="3.1640625" style="57" customWidth="1"/>
    <col min="7179" max="7187" width="4.75" style="57" customWidth="1"/>
    <col min="7188" max="7188" width="3.1640625" style="57" customWidth="1"/>
    <col min="7189" max="7189" width="9.25" style="57" customWidth="1"/>
    <col min="7190" max="7190" width="26.75" style="57" customWidth="1"/>
    <col min="7191" max="7194" width="9.25" style="57" customWidth="1"/>
    <col min="7195" max="7424" width="7.75" style="57"/>
    <col min="7425" max="7425" width="2.5" style="57" customWidth="1"/>
    <col min="7426" max="7426" width="6.83203125" style="57" customWidth="1"/>
    <col min="7427" max="7429" width="3.1640625" style="57" customWidth="1"/>
    <col min="7430" max="7430" width="4.5" style="57" customWidth="1"/>
    <col min="7431" max="7434" width="3.1640625" style="57" customWidth="1"/>
    <col min="7435" max="7443" width="4.75" style="57" customWidth="1"/>
    <col min="7444" max="7444" width="3.1640625" style="57" customWidth="1"/>
    <col min="7445" max="7445" width="9.25" style="57" customWidth="1"/>
    <col min="7446" max="7446" width="26.75" style="57" customWidth="1"/>
    <col min="7447" max="7450" width="9.25" style="57" customWidth="1"/>
    <col min="7451" max="7680" width="7.75" style="57"/>
    <col min="7681" max="7681" width="2.5" style="57" customWidth="1"/>
    <col min="7682" max="7682" width="6.83203125" style="57" customWidth="1"/>
    <col min="7683" max="7685" width="3.1640625" style="57" customWidth="1"/>
    <col min="7686" max="7686" width="4.5" style="57" customWidth="1"/>
    <col min="7687" max="7690" width="3.1640625" style="57" customWidth="1"/>
    <col min="7691" max="7699" width="4.75" style="57" customWidth="1"/>
    <col min="7700" max="7700" width="3.1640625" style="57" customWidth="1"/>
    <col min="7701" max="7701" width="9.25" style="57" customWidth="1"/>
    <col min="7702" max="7702" width="26.75" style="57" customWidth="1"/>
    <col min="7703" max="7706" width="9.25" style="57" customWidth="1"/>
    <col min="7707" max="7936" width="7.75" style="57"/>
    <col min="7937" max="7937" width="2.5" style="57" customWidth="1"/>
    <col min="7938" max="7938" width="6.83203125" style="57" customWidth="1"/>
    <col min="7939" max="7941" width="3.1640625" style="57" customWidth="1"/>
    <col min="7942" max="7942" width="4.5" style="57" customWidth="1"/>
    <col min="7943" max="7946" width="3.1640625" style="57" customWidth="1"/>
    <col min="7947" max="7955" width="4.75" style="57" customWidth="1"/>
    <col min="7956" max="7956" width="3.1640625" style="57" customWidth="1"/>
    <col min="7957" max="7957" width="9.25" style="57" customWidth="1"/>
    <col min="7958" max="7958" width="26.75" style="57" customWidth="1"/>
    <col min="7959" max="7962" width="9.25" style="57" customWidth="1"/>
    <col min="7963" max="8192" width="7.75" style="57"/>
    <col min="8193" max="8193" width="2.5" style="57" customWidth="1"/>
    <col min="8194" max="8194" width="6.83203125" style="57" customWidth="1"/>
    <col min="8195" max="8197" width="3.1640625" style="57" customWidth="1"/>
    <col min="8198" max="8198" width="4.5" style="57" customWidth="1"/>
    <col min="8199" max="8202" width="3.1640625" style="57" customWidth="1"/>
    <col min="8203" max="8211" width="4.75" style="57" customWidth="1"/>
    <col min="8212" max="8212" width="3.1640625" style="57" customWidth="1"/>
    <col min="8213" max="8213" width="9.25" style="57" customWidth="1"/>
    <col min="8214" max="8214" width="26.75" style="57" customWidth="1"/>
    <col min="8215" max="8218" width="9.25" style="57" customWidth="1"/>
    <col min="8219" max="8448" width="7.75" style="57"/>
    <col min="8449" max="8449" width="2.5" style="57" customWidth="1"/>
    <col min="8450" max="8450" width="6.83203125" style="57" customWidth="1"/>
    <col min="8451" max="8453" width="3.1640625" style="57" customWidth="1"/>
    <col min="8454" max="8454" width="4.5" style="57" customWidth="1"/>
    <col min="8455" max="8458" width="3.1640625" style="57" customWidth="1"/>
    <col min="8459" max="8467" width="4.75" style="57" customWidth="1"/>
    <col min="8468" max="8468" width="3.1640625" style="57" customWidth="1"/>
    <col min="8469" max="8469" width="9.25" style="57" customWidth="1"/>
    <col min="8470" max="8470" width="26.75" style="57" customWidth="1"/>
    <col min="8471" max="8474" width="9.25" style="57" customWidth="1"/>
    <col min="8475" max="8704" width="7.75" style="57"/>
    <col min="8705" max="8705" width="2.5" style="57" customWidth="1"/>
    <col min="8706" max="8706" width="6.83203125" style="57" customWidth="1"/>
    <col min="8707" max="8709" width="3.1640625" style="57" customWidth="1"/>
    <col min="8710" max="8710" width="4.5" style="57" customWidth="1"/>
    <col min="8711" max="8714" width="3.1640625" style="57" customWidth="1"/>
    <col min="8715" max="8723" width="4.75" style="57" customWidth="1"/>
    <col min="8724" max="8724" width="3.1640625" style="57" customWidth="1"/>
    <col min="8725" max="8725" width="9.25" style="57" customWidth="1"/>
    <col min="8726" max="8726" width="26.75" style="57" customWidth="1"/>
    <col min="8727" max="8730" width="9.25" style="57" customWidth="1"/>
    <col min="8731" max="8960" width="7.75" style="57"/>
    <col min="8961" max="8961" width="2.5" style="57" customWidth="1"/>
    <col min="8962" max="8962" width="6.83203125" style="57" customWidth="1"/>
    <col min="8963" max="8965" width="3.1640625" style="57" customWidth="1"/>
    <col min="8966" max="8966" width="4.5" style="57" customWidth="1"/>
    <col min="8967" max="8970" width="3.1640625" style="57" customWidth="1"/>
    <col min="8971" max="8979" width="4.75" style="57" customWidth="1"/>
    <col min="8980" max="8980" width="3.1640625" style="57" customWidth="1"/>
    <col min="8981" max="8981" width="9.25" style="57" customWidth="1"/>
    <col min="8982" max="8982" width="26.75" style="57" customWidth="1"/>
    <col min="8983" max="8986" width="9.25" style="57" customWidth="1"/>
    <col min="8987" max="9216" width="7.75" style="57"/>
    <col min="9217" max="9217" width="2.5" style="57" customWidth="1"/>
    <col min="9218" max="9218" width="6.83203125" style="57" customWidth="1"/>
    <col min="9219" max="9221" width="3.1640625" style="57" customWidth="1"/>
    <col min="9222" max="9222" width="4.5" style="57" customWidth="1"/>
    <col min="9223" max="9226" width="3.1640625" style="57" customWidth="1"/>
    <col min="9227" max="9235" width="4.75" style="57" customWidth="1"/>
    <col min="9236" max="9236" width="3.1640625" style="57" customWidth="1"/>
    <col min="9237" max="9237" width="9.25" style="57" customWidth="1"/>
    <col min="9238" max="9238" width="26.75" style="57" customWidth="1"/>
    <col min="9239" max="9242" width="9.25" style="57" customWidth="1"/>
    <col min="9243" max="9472" width="7.75" style="57"/>
    <col min="9473" max="9473" width="2.5" style="57" customWidth="1"/>
    <col min="9474" max="9474" width="6.83203125" style="57" customWidth="1"/>
    <col min="9475" max="9477" width="3.1640625" style="57" customWidth="1"/>
    <col min="9478" max="9478" width="4.5" style="57" customWidth="1"/>
    <col min="9479" max="9482" width="3.1640625" style="57" customWidth="1"/>
    <col min="9483" max="9491" width="4.75" style="57" customWidth="1"/>
    <col min="9492" max="9492" width="3.1640625" style="57" customWidth="1"/>
    <col min="9493" max="9493" width="9.25" style="57" customWidth="1"/>
    <col min="9494" max="9494" width="26.75" style="57" customWidth="1"/>
    <col min="9495" max="9498" width="9.25" style="57" customWidth="1"/>
    <col min="9499" max="9728" width="7.75" style="57"/>
    <col min="9729" max="9729" width="2.5" style="57" customWidth="1"/>
    <col min="9730" max="9730" width="6.83203125" style="57" customWidth="1"/>
    <col min="9731" max="9733" width="3.1640625" style="57" customWidth="1"/>
    <col min="9734" max="9734" width="4.5" style="57" customWidth="1"/>
    <col min="9735" max="9738" width="3.1640625" style="57" customWidth="1"/>
    <col min="9739" max="9747" width="4.75" style="57" customWidth="1"/>
    <col min="9748" max="9748" width="3.1640625" style="57" customWidth="1"/>
    <col min="9749" max="9749" width="9.25" style="57" customWidth="1"/>
    <col min="9750" max="9750" width="26.75" style="57" customWidth="1"/>
    <col min="9751" max="9754" width="9.25" style="57" customWidth="1"/>
    <col min="9755" max="9984" width="7.75" style="57"/>
    <col min="9985" max="9985" width="2.5" style="57" customWidth="1"/>
    <col min="9986" max="9986" width="6.83203125" style="57" customWidth="1"/>
    <col min="9987" max="9989" width="3.1640625" style="57" customWidth="1"/>
    <col min="9990" max="9990" width="4.5" style="57" customWidth="1"/>
    <col min="9991" max="9994" width="3.1640625" style="57" customWidth="1"/>
    <col min="9995" max="10003" width="4.75" style="57" customWidth="1"/>
    <col min="10004" max="10004" width="3.1640625" style="57" customWidth="1"/>
    <col min="10005" max="10005" width="9.25" style="57" customWidth="1"/>
    <col min="10006" max="10006" width="26.75" style="57" customWidth="1"/>
    <col min="10007" max="10010" width="9.25" style="57" customWidth="1"/>
    <col min="10011" max="10240" width="7.75" style="57"/>
    <col min="10241" max="10241" width="2.5" style="57" customWidth="1"/>
    <col min="10242" max="10242" width="6.83203125" style="57" customWidth="1"/>
    <col min="10243" max="10245" width="3.1640625" style="57" customWidth="1"/>
    <col min="10246" max="10246" width="4.5" style="57" customWidth="1"/>
    <col min="10247" max="10250" width="3.1640625" style="57" customWidth="1"/>
    <col min="10251" max="10259" width="4.75" style="57" customWidth="1"/>
    <col min="10260" max="10260" width="3.1640625" style="57" customWidth="1"/>
    <col min="10261" max="10261" width="9.25" style="57" customWidth="1"/>
    <col min="10262" max="10262" width="26.75" style="57" customWidth="1"/>
    <col min="10263" max="10266" width="9.25" style="57" customWidth="1"/>
    <col min="10267" max="10496" width="7.75" style="57"/>
    <col min="10497" max="10497" width="2.5" style="57" customWidth="1"/>
    <col min="10498" max="10498" width="6.83203125" style="57" customWidth="1"/>
    <col min="10499" max="10501" width="3.1640625" style="57" customWidth="1"/>
    <col min="10502" max="10502" width="4.5" style="57" customWidth="1"/>
    <col min="10503" max="10506" width="3.1640625" style="57" customWidth="1"/>
    <col min="10507" max="10515" width="4.75" style="57" customWidth="1"/>
    <col min="10516" max="10516" width="3.1640625" style="57" customWidth="1"/>
    <col min="10517" max="10517" width="9.25" style="57" customWidth="1"/>
    <col min="10518" max="10518" width="26.75" style="57" customWidth="1"/>
    <col min="10519" max="10522" width="9.25" style="57" customWidth="1"/>
    <col min="10523" max="10752" width="7.75" style="57"/>
    <col min="10753" max="10753" width="2.5" style="57" customWidth="1"/>
    <col min="10754" max="10754" width="6.83203125" style="57" customWidth="1"/>
    <col min="10755" max="10757" width="3.1640625" style="57" customWidth="1"/>
    <col min="10758" max="10758" width="4.5" style="57" customWidth="1"/>
    <col min="10759" max="10762" width="3.1640625" style="57" customWidth="1"/>
    <col min="10763" max="10771" width="4.75" style="57" customWidth="1"/>
    <col min="10772" max="10772" width="3.1640625" style="57" customWidth="1"/>
    <col min="10773" max="10773" width="9.25" style="57" customWidth="1"/>
    <col min="10774" max="10774" width="26.75" style="57" customWidth="1"/>
    <col min="10775" max="10778" width="9.25" style="57" customWidth="1"/>
    <col min="10779" max="11008" width="7.75" style="57"/>
    <col min="11009" max="11009" width="2.5" style="57" customWidth="1"/>
    <col min="11010" max="11010" width="6.83203125" style="57" customWidth="1"/>
    <col min="11011" max="11013" width="3.1640625" style="57" customWidth="1"/>
    <col min="11014" max="11014" width="4.5" style="57" customWidth="1"/>
    <col min="11015" max="11018" width="3.1640625" style="57" customWidth="1"/>
    <col min="11019" max="11027" width="4.75" style="57" customWidth="1"/>
    <col min="11028" max="11028" width="3.1640625" style="57" customWidth="1"/>
    <col min="11029" max="11029" width="9.25" style="57" customWidth="1"/>
    <col min="11030" max="11030" width="26.75" style="57" customWidth="1"/>
    <col min="11031" max="11034" width="9.25" style="57" customWidth="1"/>
    <col min="11035" max="11264" width="7.75" style="57"/>
    <col min="11265" max="11265" width="2.5" style="57" customWidth="1"/>
    <col min="11266" max="11266" width="6.83203125" style="57" customWidth="1"/>
    <col min="11267" max="11269" width="3.1640625" style="57" customWidth="1"/>
    <col min="11270" max="11270" width="4.5" style="57" customWidth="1"/>
    <col min="11271" max="11274" width="3.1640625" style="57" customWidth="1"/>
    <col min="11275" max="11283" width="4.75" style="57" customWidth="1"/>
    <col min="11284" max="11284" width="3.1640625" style="57" customWidth="1"/>
    <col min="11285" max="11285" width="9.25" style="57" customWidth="1"/>
    <col min="11286" max="11286" width="26.75" style="57" customWidth="1"/>
    <col min="11287" max="11290" width="9.25" style="57" customWidth="1"/>
    <col min="11291" max="11520" width="7.75" style="57"/>
    <col min="11521" max="11521" width="2.5" style="57" customWidth="1"/>
    <col min="11522" max="11522" width="6.83203125" style="57" customWidth="1"/>
    <col min="11523" max="11525" width="3.1640625" style="57" customWidth="1"/>
    <col min="11526" max="11526" width="4.5" style="57" customWidth="1"/>
    <col min="11527" max="11530" width="3.1640625" style="57" customWidth="1"/>
    <col min="11531" max="11539" width="4.75" style="57" customWidth="1"/>
    <col min="11540" max="11540" width="3.1640625" style="57" customWidth="1"/>
    <col min="11541" max="11541" width="9.25" style="57" customWidth="1"/>
    <col min="11542" max="11542" width="26.75" style="57" customWidth="1"/>
    <col min="11543" max="11546" width="9.25" style="57" customWidth="1"/>
    <col min="11547" max="11776" width="7.75" style="57"/>
    <col min="11777" max="11777" width="2.5" style="57" customWidth="1"/>
    <col min="11778" max="11778" width="6.83203125" style="57" customWidth="1"/>
    <col min="11779" max="11781" width="3.1640625" style="57" customWidth="1"/>
    <col min="11782" max="11782" width="4.5" style="57" customWidth="1"/>
    <col min="11783" max="11786" width="3.1640625" style="57" customWidth="1"/>
    <col min="11787" max="11795" width="4.75" style="57" customWidth="1"/>
    <col min="11796" max="11796" width="3.1640625" style="57" customWidth="1"/>
    <col min="11797" max="11797" width="9.25" style="57" customWidth="1"/>
    <col min="11798" max="11798" width="26.75" style="57" customWidth="1"/>
    <col min="11799" max="11802" width="9.25" style="57" customWidth="1"/>
    <col min="11803" max="12032" width="7.75" style="57"/>
    <col min="12033" max="12033" width="2.5" style="57" customWidth="1"/>
    <col min="12034" max="12034" width="6.83203125" style="57" customWidth="1"/>
    <col min="12035" max="12037" width="3.1640625" style="57" customWidth="1"/>
    <col min="12038" max="12038" width="4.5" style="57" customWidth="1"/>
    <col min="12039" max="12042" width="3.1640625" style="57" customWidth="1"/>
    <col min="12043" max="12051" width="4.75" style="57" customWidth="1"/>
    <col min="12052" max="12052" width="3.1640625" style="57" customWidth="1"/>
    <col min="12053" max="12053" width="9.25" style="57" customWidth="1"/>
    <col min="12054" max="12054" width="26.75" style="57" customWidth="1"/>
    <col min="12055" max="12058" width="9.25" style="57" customWidth="1"/>
    <col min="12059" max="12288" width="7.75" style="57"/>
    <col min="12289" max="12289" width="2.5" style="57" customWidth="1"/>
    <col min="12290" max="12290" width="6.83203125" style="57" customWidth="1"/>
    <col min="12291" max="12293" width="3.1640625" style="57" customWidth="1"/>
    <col min="12294" max="12294" width="4.5" style="57" customWidth="1"/>
    <col min="12295" max="12298" width="3.1640625" style="57" customWidth="1"/>
    <col min="12299" max="12307" width="4.75" style="57" customWidth="1"/>
    <col min="12308" max="12308" width="3.1640625" style="57" customWidth="1"/>
    <col min="12309" max="12309" width="9.25" style="57" customWidth="1"/>
    <col min="12310" max="12310" width="26.75" style="57" customWidth="1"/>
    <col min="12311" max="12314" width="9.25" style="57" customWidth="1"/>
    <col min="12315" max="12544" width="7.75" style="57"/>
    <col min="12545" max="12545" width="2.5" style="57" customWidth="1"/>
    <col min="12546" max="12546" width="6.83203125" style="57" customWidth="1"/>
    <col min="12547" max="12549" width="3.1640625" style="57" customWidth="1"/>
    <col min="12550" max="12550" width="4.5" style="57" customWidth="1"/>
    <col min="12551" max="12554" width="3.1640625" style="57" customWidth="1"/>
    <col min="12555" max="12563" width="4.75" style="57" customWidth="1"/>
    <col min="12564" max="12564" width="3.1640625" style="57" customWidth="1"/>
    <col min="12565" max="12565" width="9.25" style="57" customWidth="1"/>
    <col min="12566" max="12566" width="26.75" style="57" customWidth="1"/>
    <col min="12567" max="12570" width="9.25" style="57" customWidth="1"/>
    <col min="12571" max="12800" width="7.75" style="57"/>
    <col min="12801" max="12801" width="2.5" style="57" customWidth="1"/>
    <col min="12802" max="12802" width="6.83203125" style="57" customWidth="1"/>
    <col min="12803" max="12805" width="3.1640625" style="57" customWidth="1"/>
    <col min="12806" max="12806" width="4.5" style="57" customWidth="1"/>
    <col min="12807" max="12810" width="3.1640625" style="57" customWidth="1"/>
    <col min="12811" max="12819" width="4.75" style="57" customWidth="1"/>
    <col min="12820" max="12820" width="3.1640625" style="57" customWidth="1"/>
    <col min="12821" max="12821" width="9.25" style="57" customWidth="1"/>
    <col min="12822" max="12822" width="26.75" style="57" customWidth="1"/>
    <col min="12823" max="12826" width="9.25" style="57" customWidth="1"/>
    <col min="12827" max="13056" width="7.75" style="57"/>
    <col min="13057" max="13057" width="2.5" style="57" customWidth="1"/>
    <col min="13058" max="13058" width="6.83203125" style="57" customWidth="1"/>
    <col min="13059" max="13061" width="3.1640625" style="57" customWidth="1"/>
    <col min="13062" max="13062" width="4.5" style="57" customWidth="1"/>
    <col min="13063" max="13066" width="3.1640625" style="57" customWidth="1"/>
    <col min="13067" max="13075" width="4.75" style="57" customWidth="1"/>
    <col min="13076" max="13076" width="3.1640625" style="57" customWidth="1"/>
    <col min="13077" max="13077" width="9.25" style="57" customWidth="1"/>
    <col min="13078" max="13078" width="26.75" style="57" customWidth="1"/>
    <col min="13079" max="13082" width="9.25" style="57" customWidth="1"/>
    <col min="13083" max="13312" width="7.75" style="57"/>
    <col min="13313" max="13313" width="2.5" style="57" customWidth="1"/>
    <col min="13314" max="13314" width="6.83203125" style="57" customWidth="1"/>
    <col min="13315" max="13317" width="3.1640625" style="57" customWidth="1"/>
    <col min="13318" max="13318" width="4.5" style="57" customWidth="1"/>
    <col min="13319" max="13322" width="3.1640625" style="57" customWidth="1"/>
    <col min="13323" max="13331" width="4.75" style="57" customWidth="1"/>
    <col min="13332" max="13332" width="3.1640625" style="57" customWidth="1"/>
    <col min="13333" max="13333" width="9.25" style="57" customWidth="1"/>
    <col min="13334" max="13334" width="26.75" style="57" customWidth="1"/>
    <col min="13335" max="13338" width="9.25" style="57" customWidth="1"/>
    <col min="13339" max="13568" width="7.75" style="57"/>
    <col min="13569" max="13569" width="2.5" style="57" customWidth="1"/>
    <col min="13570" max="13570" width="6.83203125" style="57" customWidth="1"/>
    <col min="13571" max="13573" width="3.1640625" style="57" customWidth="1"/>
    <col min="13574" max="13574" width="4.5" style="57" customWidth="1"/>
    <col min="13575" max="13578" width="3.1640625" style="57" customWidth="1"/>
    <col min="13579" max="13587" width="4.75" style="57" customWidth="1"/>
    <col min="13588" max="13588" width="3.1640625" style="57" customWidth="1"/>
    <col min="13589" max="13589" width="9.25" style="57" customWidth="1"/>
    <col min="13590" max="13590" width="26.75" style="57" customWidth="1"/>
    <col min="13591" max="13594" width="9.25" style="57" customWidth="1"/>
    <col min="13595" max="13824" width="7.75" style="57"/>
    <col min="13825" max="13825" width="2.5" style="57" customWidth="1"/>
    <col min="13826" max="13826" width="6.83203125" style="57" customWidth="1"/>
    <col min="13827" max="13829" width="3.1640625" style="57" customWidth="1"/>
    <col min="13830" max="13830" width="4.5" style="57" customWidth="1"/>
    <col min="13831" max="13834" width="3.1640625" style="57" customWidth="1"/>
    <col min="13835" max="13843" width="4.75" style="57" customWidth="1"/>
    <col min="13844" max="13844" width="3.1640625" style="57" customWidth="1"/>
    <col min="13845" max="13845" width="9.25" style="57" customWidth="1"/>
    <col min="13846" max="13846" width="26.75" style="57" customWidth="1"/>
    <col min="13847" max="13850" width="9.25" style="57" customWidth="1"/>
    <col min="13851" max="14080" width="7.75" style="57"/>
    <col min="14081" max="14081" width="2.5" style="57" customWidth="1"/>
    <col min="14082" max="14082" width="6.83203125" style="57" customWidth="1"/>
    <col min="14083" max="14085" width="3.1640625" style="57" customWidth="1"/>
    <col min="14086" max="14086" width="4.5" style="57" customWidth="1"/>
    <col min="14087" max="14090" width="3.1640625" style="57" customWidth="1"/>
    <col min="14091" max="14099" width="4.75" style="57" customWidth="1"/>
    <col min="14100" max="14100" width="3.1640625" style="57" customWidth="1"/>
    <col min="14101" max="14101" width="9.25" style="57" customWidth="1"/>
    <col min="14102" max="14102" width="26.75" style="57" customWidth="1"/>
    <col min="14103" max="14106" width="9.25" style="57" customWidth="1"/>
    <col min="14107" max="14336" width="7.75" style="57"/>
    <col min="14337" max="14337" width="2.5" style="57" customWidth="1"/>
    <col min="14338" max="14338" width="6.83203125" style="57" customWidth="1"/>
    <col min="14339" max="14341" width="3.1640625" style="57" customWidth="1"/>
    <col min="14342" max="14342" width="4.5" style="57" customWidth="1"/>
    <col min="14343" max="14346" width="3.1640625" style="57" customWidth="1"/>
    <col min="14347" max="14355" width="4.75" style="57" customWidth="1"/>
    <col min="14356" max="14356" width="3.1640625" style="57" customWidth="1"/>
    <col min="14357" max="14357" width="9.25" style="57" customWidth="1"/>
    <col min="14358" max="14358" width="26.75" style="57" customWidth="1"/>
    <col min="14359" max="14362" width="9.25" style="57" customWidth="1"/>
    <col min="14363" max="14592" width="7.75" style="57"/>
    <col min="14593" max="14593" width="2.5" style="57" customWidth="1"/>
    <col min="14594" max="14594" width="6.83203125" style="57" customWidth="1"/>
    <col min="14595" max="14597" width="3.1640625" style="57" customWidth="1"/>
    <col min="14598" max="14598" width="4.5" style="57" customWidth="1"/>
    <col min="14599" max="14602" width="3.1640625" style="57" customWidth="1"/>
    <col min="14603" max="14611" width="4.75" style="57" customWidth="1"/>
    <col min="14612" max="14612" width="3.1640625" style="57" customWidth="1"/>
    <col min="14613" max="14613" width="9.25" style="57" customWidth="1"/>
    <col min="14614" max="14614" width="26.75" style="57" customWidth="1"/>
    <col min="14615" max="14618" width="9.25" style="57" customWidth="1"/>
    <col min="14619" max="14848" width="7.75" style="57"/>
    <col min="14849" max="14849" width="2.5" style="57" customWidth="1"/>
    <col min="14850" max="14850" width="6.83203125" style="57" customWidth="1"/>
    <col min="14851" max="14853" width="3.1640625" style="57" customWidth="1"/>
    <col min="14854" max="14854" width="4.5" style="57" customWidth="1"/>
    <col min="14855" max="14858" width="3.1640625" style="57" customWidth="1"/>
    <col min="14859" max="14867" width="4.75" style="57" customWidth="1"/>
    <col min="14868" max="14868" width="3.1640625" style="57" customWidth="1"/>
    <col min="14869" max="14869" width="9.25" style="57" customWidth="1"/>
    <col min="14870" max="14870" width="26.75" style="57" customWidth="1"/>
    <col min="14871" max="14874" width="9.25" style="57" customWidth="1"/>
    <col min="14875" max="15104" width="7.75" style="57"/>
    <col min="15105" max="15105" width="2.5" style="57" customWidth="1"/>
    <col min="15106" max="15106" width="6.83203125" style="57" customWidth="1"/>
    <col min="15107" max="15109" width="3.1640625" style="57" customWidth="1"/>
    <col min="15110" max="15110" width="4.5" style="57" customWidth="1"/>
    <col min="15111" max="15114" width="3.1640625" style="57" customWidth="1"/>
    <col min="15115" max="15123" width="4.75" style="57" customWidth="1"/>
    <col min="15124" max="15124" width="3.1640625" style="57" customWidth="1"/>
    <col min="15125" max="15125" width="9.25" style="57" customWidth="1"/>
    <col min="15126" max="15126" width="26.75" style="57" customWidth="1"/>
    <col min="15127" max="15130" width="9.25" style="57" customWidth="1"/>
    <col min="15131" max="15360" width="7.75" style="57"/>
    <col min="15361" max="15361" width="2.5" style="57" customWidth="1"/>
    <col min="15362" max="15362" width="6.83203125" style="57" customWidth="1"/>
    <col min="15363" max="15365" width="3.1640625" style="57" customWidth="1"/>
    <col min="15366" max="15366" width="4.5" style="57" customWidth="1"/>
    <col min="15367" max="15370" width="3.1640625" style="57" customWidth="1"/>
    <col min="15371" max="15379" width="4.75" style="57" customWidth="1"/>
    <col min="15380" max="15380" width="3.1640625" style="57" customWidth="1"/>
    <col min="15381" max="15381" width="9.25" style="57" customWidth="1"/>
    <col min="15382" max="15382" width="26.75" style="57" customWidth="1"/>
    <col min="15383" max="15386" width="9.25" style="57" customWidth="1"/>
    <col min="15387" max="15616" width="7.75" style="57"/>
    <col min="15617" max="15617" width="2.5" style="57" customWidth="1"/>
    <col min="15618" max="15618" width="6.83203125" style="57" customWidth="1"/>
    <col min="15619" max="15621" width="3.1640625" style="57" customWidth="1"/>
    <col min="15622" max="15622" width="4.5" style="57" customWidth="1"/>
    <col min="15623" max="15626" width="3.1640625" style="57" customWidth="1"/>
    <col min="15627" max="15635" width="4.75" style="57" customWidth="1"/>
    <col min="15636" max="15636" width="3.1640625" style="57" customWidth="1"/>
    <col min="15637" max="15637" width="9.25" style="57" customWidth="1"/>
    <col min="15638" max="15638" width="26.75" style="57" customWidth="1"/>
    <col min="15639" max="15642" width="9.25" style="57" customWidth="1"/>
    <col min="15643" max="15872" width="7.75" style="57"/>
    <col min="15873" max="15873" width="2.5" style="57" customWidth="1"/>
    <col min="15874" max="15874" width="6.83203125" style="57" customWidth="1"/>
    <col min="15875" max="15877" width="3.1640625" style="57" customWidth="1"/>
    <col min="15878" max="15878" width="4.5" style="57" customWidth="1"/>
    <col min="15879" max="15882" width="3.1640625" style="57" customWidth="1"/>
    <col min="15883" max="15891" width="4.75" style="57" customWidth="1"/>
    <col min="15892" max="15892" width="3.1640625" style="57" customWidth="1"/>
    <col min="15893" max="15893" width="9.25" style="57" customWidth="1"/>
    <col min="15894" max="15894" width="26.75" style="57" customWidth="1"/>
    <col min="15895" max="15898" width="9.25" style="57" customWidth="1"/>
    <col min="15899" max="16128" width="7.75" style="57"/>
    <col min="16129" max="16129" width="2.5" style="57" customWidth="1"/>
    <col min="16130" max="16130" width="6.83203125" style="57" customWidth="1"/>
    <col min="16131" max="16133" width="3.1640625" style="57" customWidth="1"/>
    <col min="16134" max="16134" width="4.5" style="57" customWidth="1"/>
    <col min="16135" max="16138" width="3.1640625" style="57" customWidth="1"/>
    <col min="16139" max="16147" width="4.75" style="57" customWidth="1"/>
    <col min="16148" max="16148" width="3.1640625" style="57" customWidth="1"/>
    <col min="16149" max="16149" width="9.25" style="57" customWidth="1"/>
    <col min="16150" max="16150" width="26.75" style="57" customWidth="1"/>
    <col min="16151" max="16154" width="9.25" style="57" customWidth="1"/>
    <col min="16155" max="16384" width="7.75" style="57"/>
  </cols>
  <sheetData>
    <row r="1" spans="1:26" s="55" customFormat="1" ht="15" customHeight="1">
      <c r="B1" s="246"/>
      <c r="C1" s="247"/>
      <c r="D1" s="66"/>
      <c r="E1" s="66"/>
      <c r="F1" s="66"/>
      <c r="G1" s="66"/>
      <c r="H1" s="66"/>
      <c r="I1" s="66"/>
      <c r="J1" s="66"/>
      <c r="K1" s="66"/>
      <c r="L1" s="66"/>
      <c r="M1" s="66"/>
      <c r="N1" s="66"/>
      <c r="O1" s="66"/>
      <c r="P1" s="66"/>
      <c r="Q1" s="66"/>
      <c r="R1" s="66"/>
      <c r="S1" s="66"/>
      <c r="T1" s="66"/>
      <c r="V1" s="66" t="s">
        <v>372</v>
      </c>
      <c r="W1" s="66"/>
      <c r="X1" s="66"/>
    </row>
    <row r="2" spans="1:26" s="69" customFormat="1" ht="15" customHeight="1">
      <c r="A2" s="70" t="s">
        <v>718</v>
      </c>
      <c r="B2" s="61"/>
      <c r="C2" s="61"/>
      <c r="D2" s="61"/>
      <c r="E2" s="61"/>
      <c r="F2" s="61"/>
      <c r="G2" s="61"/>
      <c r="H2" s="61"/>
      <c r="I2" s="61"/>
      <c r="J2" s="61"/>
      <c r="K2" s="61"/>
      <c r="L2" s="61"/>
      <c r="M2" s="61"/>
      <c r="N2" s="61"/>
      <c r="O2" s="61"/>
      <c r="P2" s="61"/>
      <c r="Q2" s="206" t="str">
        <f>'SP3-1'!L2</f>
        <v>Spreadsheet release date 14-Apr-2023</v>
      </c>
      <c r="R2" s="61"/>
      <c r="S2" s="61"/>
      <c r="T2" s="61"/>
      <c r="V2" s="207" t="s">
        <v>373</v>
      </c>
      <c r="W2" s="25"/>
      <c r="X2" s="247"/>
      <c r="Y2" s="247"/>
      <c r="Z2" s="55"/>
    </row>
    <row r="3" spans="1:26" s="62" customFormat="1" ht="15" customHeight="1">
      <c r="A3" s="68" t="s">
        <v>434</v>
      </c>
      <c r="B3" s="61"/>
      <c r="C3" s="61"/>
      <c r="D3" s="61"/>
      <c r="E3" s="61"/>
      <c r="F3" s="61"/>
      <c r="G3" s="61"/>
      <c r="H3" s="61"/>
      <c r="I3" s="61"/>
      <c r="J3" s="61"/>
      <c r="K3" s="61"/>
      <c r="L3" s="61"/>
      <c r="M3" s="61"/>
      <c r="N3" s="61"/>
      <c r="O3" s="61"/>
      <c r="P3" s="61"/>
      <c r="Q3" s="61"/>
      <c r="R3" s="61"/>
      <c r="S3" s="61"/>
      <c r="T3" s="138"/>
      <c r="U3" s="61"/>
      <c r="V3" s="61"/>
      <c r="W3" s="61"/>
      <c r="X3" s="61"/>
      <c r="Y3" s="55"/>
      <c r="Z3" s="55"/>
    </row>
    <row r="4" spans="1:26" s="55" customFormat="1" ht="15" customHeight="1">
      <c r="A4" s="67"/>
      <c r="B4" s="505" t="s">
        <v>761</v>
      </c>
      <c r="C4" s="505"/>
      <c r="D4" s="505"/>
      <c r="E4" s="505"/>
      <c r="F4" s="505"/>
      <c r="G4" s="505"/>
      <c r="H4" s="505"/>
      <c r="I4" s="505"/>
      <c r="J4" s="505"/>
      <c r="K4" s="505"/>
      <c r="L4" s="505"/>
      <c r="M4" s="505"/>
      <c r="N4" s="505"/>
      <c r="O4" s="505"/>
      <c r="P4" s="505"/>
      <c r="Q4" s="505"/>
      <c r="R4" s="505"/>
      <c r="S4" s="505"/>
      <c r="T4" s="66"/>
      <c r="U4" s="66"/>
      <c r="V4" s="66"/>
      <c r="W4" s="66"/>
    </row>
    <row r="5" spans="1:26" s="55" customFormat="1" ht="18.75" customHeight="1">
      <c r="A5" s="67"/>
      <c r="B5" s="505"/>
      <c r="C5" s="505"/>
      <c r="D5" s="505"/>
      <c r="E5" s="505"/>
      <c r="F5" s="505"/>
      <c r="G5" s="505"/>
      <c r="H5" s="505"/>
      <c r="I5" s="505"/>
      <c r="J5" s="505"/>
      <c r="K5" s="505"/>
      <c r="L5" s="505"/>
      <c r="M5" s="505"/>
      <c r="N5" s="505"/>
      <c r="O5" s="505"/>
      <c r="P5" s="505"/>
      <c r="Q5" s="505"/>
      <c r="R5" s="505"/>
      <c r="S5" s="505"/>
      <c r="T5" s="66"/>
      <c r="U5" s="66"/>
      <c r="V5" s="66"/>
      <c r="W5" s="66"/>
    </row>
    <row r="6" spans="1:26" s="62" customFormat="1" ht="11.25" customHeight="1" thickBot="1">
      <c r="A6" s="138"/>
      <c r="B6" s="61"/>
      <c r="C6" s="61"/>
      <c r="D6" s="61"/>
      <c r="E6" s="61"/>
      <c r="F6" s="61"/>
      <c r="G6" s="61"/>
      <c r="H6" s="61"/>
      <c r="I6" s="61"/>
      <c r="J6" s="61"/>
      <c r="K6" s="61"/>
      <c r="L6" s="61"/>
      <c r="M6" s="61"/>
      <c r="N6" s="61"/>
      <c r="O6" s="61"/>
      <c r="P6" s="61"/>
      <c r="Q6" s="61"/>
      <c r="R6" s="61"/>
      <c r="S6" s="61"/>
      <c r="T6" s="138"/>
      <c r="U6" s="61"/>
      <c r="V6" s="61"/>
      <c r="W6" s="61"/>
      <c r="Y6" s="61"/>
    </row>
    <row r="7" spans="1:26" s="62" customFormat="1" ht="19.5" customHeight="1" thickTop="1" thickBot="1">
      <c r="A7" s="209"/>
      <c r="B7" s="248" t="s">
        <v>762</v>
      </c>
      <c r="C7" s="209"/>
      <c r="D7" s="209"/>
      <c r="E7" s="209"/>
      <c r="F7" s="209"/>
      <c r="G7" s="209"/>
      <c r="H7" s="209"/>
      <c r="I7" s="209"/>
      <c r="J7" s="209"/>
      <c r="K7" s="209"/>
      <c r="L7" s="506"/>
      <c r="M7" s="506"/>
      <c r="N7" s="506"/>
      <c r="O7" s="506"/>
      <c r="P7" s="506"/>
      <c r="Q7" s="506"/>
      <c r="R7" s="506"/>
      <c r="S7" s="506"/>
      <c r="T7" s="209"/>
      <c r="U7" s="61"/>
      <c r="V7" s="61"/>
      <c r="W7" s="61"/>
      <c r="Y7" s="61"/>
    </row>
    <row r="8" spans="1:26" s="62" customFormat="1" ht="19.5" customHeight="1" thickTop="1" thickBot="1">
      <c r="A8" s="211">
        <v>1</v>
      </c>
      <c r="B8" s="436" t="s">
        <v>435</v>
      </c>
      <c r="C8" s="436"/>
      <c r="D8" s="436"/>
      <c r="E8" s="436"/>
      <c r="F8" s="436"/>
      <c r="G8" s="436"/>
      <c r="H8" s="436"/>
      <c r="I8" s="436"/>
      <c r="J8" s="436"/>
      <c r="K8" s="436"/>
      <c r="L8" s="436"/>
      <c r="M8" s="436"/>
      <c r="N8" s="436"/>
      <c r="O8" s="436"/>
      <c r="P8" s="210"/>
      <c r="Q8" s="210"/>
      <c r="R8" s="210"/>
      <c r="S8" s="210"/>
      <c r="T8" s="209"/>
      <c r="U8" s="61"/>
      <c r="V8" s="61"/>
      <c r="W8" s="61"/>
      <c r="Y8" s="61"/>
    </row>
    <row r="9" spans="1:26" s="62" customFormat="1" ht="19.5" customHeight="1" thickTop="1" thickBot="1">
      <c r="A9" s="209"/>
      <c r="B9" s="210"/>
      <c r="C9" s="210"/>
      <c r="D9" s="210"/>
      <c r="E9" s="210"/>
      <c r="F9" s="210"/>
      <c r="G9" s="222"/>
      <c r="H9" s="222"/>
      <c r="I9" s="222"/>
      <c r="J9" s="222" t="s">
        <v>267</v>
      </c>
      <c r="K9" s="443"/>
      <c r="L9" s="443"/>
      <c r="M9" s="443"/>
      <c r="N9" s="210" t="s">
        <v>418</v>
      </c>
      <c r="O9" s="210">
        <f>Tables!K321</f>
        <v>0.96150000000000002</v>
      </c>
      <c r="P9" s="222" t="s">
        <v>763</v>
      </c>
      <c r="Q9" s="453">
        <f>K9*O9</f>
        <v>0</v>
      </c>
      <c r="R9" s="453"/>
      <c r="S9" s="453"/>
      <c r="T9" s="211" t="s">
        <v>419</v>
      </c>
      <c r="U9" s="61"/>
      <c r="V9" s="61"/>
      <c r="W9" s="61"/>
      <c r="Y9" s="61"/>
    </row>
    <row r="10" spans="1:26" s="62" customFormat="1" ht="19.5" customHeight="1" thickTop="1" thickBot="1">
      <c r="A10" s="211">
        <v>2</v>
      </c>
      <c r="B10" s="436" t="s">
        <v>437</v>
      </c>
      <c r="C10" s="436"/>
      <c r="D10" s="436"/>
      <c r="E10" s="436"/>
      <c r="F10" s="436"/>
      <c r="G10" s="436"/>
      <c r="H10" s="210"/>
      <c r="I10" s="210"/>
      <c r="J10" s="210"/>
      <c r="K10" s="210"/>
      <c r="L10" s="210"/>
      <c r="M10" s="210"/>
      <c r="N10" s="210"/>
      <c r="O10" s="210"/>
      <c r="P10" s="222" t="s">
        <v>267</v>
      </c>
      <c r="Q10" s="443"/>
      <c r="R10" s="443"/>
      <c r="S10" s="443"/>
      <c r="T10" s="211" t="s">
        <v>429</v>
      </c>
      <c r="U10" s="61"/>
      <c r="V10" s="61"/>
      <c r="W10" s="61"/>
      <c r="X10" s="61"/>
      <c r="Y10" s="61"/>
      <c r="Z10" s="61"/>
    </row>
    <row r="11" spans="1:26" s="62" customFormat="1" ht="19.5" customHeight="1" thickTop="1" thickBot="1">
      <c r="A11" s="211">
        <v>3</v>
      </c>
      <c r="B11" s="436" t="s">
        <v>417</v>
      </c>
      <c r="C11" s="436"/>
      <c r="D11" s="436"/>
      <c r="E11" s="436"/>
      <c r="F11" s="436"/>
      <c r="G11" s="436"/>
      <c r="H11" s="436"/>
      <c r="I11" s="436"/>
      <c r="J11" s="436"/>
      <c r="K11" s="436"/>
      <c r="L11" s="436"/>
      <c r="M11" s="436"/>
      <c r="N11" s="436"/>
      <c r="O11" s="210"/>
      <c r="P11" s="210"/>
      <c r="Q11" s="210"/>
      <c r="R11" s="210"/>
      <c r="S11" s="210"/>
      <c r="T11" s="211"/>
      <c r="U11" s="61"/>
      <c r="V11" s="61"/>
      <c r="W11" s="61"/>
      <c r="X11" s="61"/>
      <c r="Y11" s="61"/>
    </row>
    <row r="12" spans="1:26" s="62" customFormat="1" ht="19.5" customHeight="1" thickTop="1" thickBot="1">
      <c r="A12" s="209"/>
      <c r="B12" s="210"/>
      <c r="C12" s="210"/>
      <c r="D12" s="210"/>
      <c r="E12" s="210"/>
      <c r="F12" s="222" t="s">
        <v>438</v>
      </c>
      <c r="G12" s="222">
        <f>'SP3-1'!I24</f>
        <v>0</v>
      </c>
      <c r="H12" s="222"/>
      <c r="I12" s="222"/>
      <c r="J12" s="222" t="s">
        <v>439</v>
      </c>
      <c r="K12" s="443"/>
      <c r="L12" s="443"/>
      <c r="M12" s="443"/>
      <c r="N12" s="210" t="s">
        <v>418</v>
      </c>
      <c r="O12" s="237">
        <f>Tables!K320-Tables!K319</f>
        <v>-0.98064352657801512</v>
      </c>
      <c r="P12" s="222" t="s">
        <v>436</v>
      </c>
      <c r="Q12" s="453">
        <f>K12*O12</f>
        <v>0</v>
      </c>
      <c r="R12" s="453"/>
      <c r="S12" s="453"/>
      <c r="T12" s="211" t="s">
        <v>430</v>
      </c>
      <c r="U12" s="61"/>
      <c r="V12" s="435" t="s">
        <v>916</v>
      </c>
      <c r="W12" s="435"/>
      <c r="X12" s="435"/>
      <c r="Y12" s="435"/>
      <c r="Z12" s="435"/>
    </row>
    <row r="13" spans="1:26" s="62" customFormat="1" ht="19.5" customHeight="1" thickTop="1" thickBot="1">
      <c r="A13" s="211">
        <v>4</v>
      </c>
      <c r="B13" s="436" t="s">
        <v>440</v>
      </c>
      <c r="C13" s="436"/>
      <c r="D13" s="436"/>
      <c r="E13" s="436"/>
      <c r="F13" s="436"/>
      <c r="G13" s="436"/>
      <c r="H13" s="436"/>
      <c r="I13" s="210"/>
      <c r="J13" s="210"/>
      <c r="K13" s="210"/>
      <c r="L13" s="210"/>
      <c r="M13" s="210"/>
      <c r="N13" s="210"/>
      <c r="O13" s="210"/>
      <c r="P13" s="210"/>
      <c r="Q13" s="210"/>
      <c r="R13" s="210"/>
      <c r="S13" s="210"/>
      <c r="T13" s="209"/>
      <c r="U13" s="61"/>
      <c r="V13" s="61"/>
      <c r="W13" s="61"/>
      <c r="X13" s="61"/>
      <c r="Y13" s="61"/>
    </row>
    <row r="14" spans="1:26" s="62" customFormat="1" ht="19.5" customHeight="1" thickTop="1" thickBot="1">
      <c r="A14" s="209"/>
      <c r="B14" s="235" t="s">
        <v>420</v>
      </c>
      <c r="C14" s="235"/>
      <c r="D14" s="235"/>
      <c r="E14" s="235"/>
      <c r="F14" s="235"/>
      <c r="G14" s="235"/>
      <c r="H14" s="235"/>
      <c r="I14" s="235"/>
      <c r="J14" s="235"/>
      <c r="K14" s="235"/>
      <c r="L14" s="235"/>
      <c r="M14" s="235"/>
      <c r="N14" s="235"/>
      <c r="O14" s="235"/>
      <c r="P14" s="239" t="s">
        <v>421</v>
      </c>
      <c r="Q14" s="492">
        <f>'SP3-1'!I22</f>
        <v>0</v>
      </c>
      <c r="R14" s="492"/>
      <c r="S14" s="492"/>
      <c r="T14" s="209"/>
      <c r="U14" s="61"/>
      <c r="V14" s="61"/>
      <c r="W14" s="61"/>
      <c r="X14" s="61"/>
      <c r="Y14" s="61"/>
    </row>
    <row r="15" spans="1:26" s="62" customFormat="1" ht="19.5" customHeight="1" thickTop="1" thickBot="1">
      <c r="A15" s="249"/>
      <c r="B15" s="250" t="s">
        <v>423</v>
      </c>
      <c r="C15" s="495" t="s">
        <v>424</v>
      </c>
      <c r="D15" s="495"/>
      <c r="E15" s="495"/>
      <c r="F15" s="495"/>
      <c r="G15" s="495"/>
      <c r="H15" s="495"/>
      <c r="I15" s="495"/>
      <c r="J15" s="495"/>
      <c r="K15" s="495" t="s">
        <v>425</v>
      </c>
      <c r="L15" s="495"/>
      <c r="M15" s="495"/>
      <c r="N15" s="495" t="s">
        <v>426</v>
      </c>
      <c r="O15" s="495"/>
      <c r="P15" s="495"/>
      <c r="Q15" s="495" t="s">
        <v>280</v>
      </c>
      <c r="R15" s="495"/>
      <c r="S15" s="495"/>
      <c r="T15" s="251"/>
      <c r="U15" s="61"/>
      <c r="V15" s="61"/>
      <c r="W15" s="61"/>
      <c r="X15" s="61"/>
      <c r="Y15" s="61"/>
    </row>
    <row r="16" spans="1:26" s="62" customFormat="1" ht="19.5" customHeight="1" thickTop="1" thickBot="1">
      <c r="A16" s="249"/>
      <c r="B16" s="241"/>
      <c r="C16" s="506"/>
      <c r="D16" s="506"/>
      <c r="E16" s="506"/>
      <c r="F16" s="506"/>
      <c r="G16" s="506"/>
      <c r="H16" s="506"/>
      <c r="I16" s="506"/>
      <c r="J16" s="506"/>
      <c r="K16" s="507"/>
      <c r="L16" s="507"/>
      <c r="M16" s="507"/>
      <c r="N16" s="499" t="str">
        <f>Tables!P323</f>
        <v/>
      </c>
      <c r="O16" s="499"/>
      <c r="P16" s="499"/>
      <c r="Q16" s="500" t="str">
        <f>IF(N16="","",K16*N16)</f>
        <v/>
      </c>
      <c r="R16" s="500"/>
      <c r="S16" s="500"/>
      <c r="T16" s="251"/>
      <c r="U16" s="61"/>
      <c r="V16" s="435" t="s">
        <v>917</v>
      </c>
      <c r="W16" s="435"/>
      <c r="X16" s="435"/>
      <c r="Y16" s="435"/>
      <c r="Z16" s="435"/>
    </row>
    <row r="17" spans="1:26" s="62" customFormat="1" ht="19.5" customHeight="1" thickTop="1" thickBot="1">
      <c r="A17" s="249"/>
      <c r="B17" s="241"/>
      <c r="C17" s="506"/>
      <c r="D17" s="506"/>
      <c r="E17" s="506"/>
      <c r="F17" s="506"/>
      <c r="G17" s="506"/>
      <c r="H17" s="506"/>
      <c r="I17" s="506"/>
      <c r="J17" s="506"/>
      <c r="K17" s="507"/>
      <c r="L17" s="507"/>
      <c r="M17" s="507"/>
      <c r="N17" s="499" t="str">
        <f>Tables!P324</f>
        <v/>
      </c>
      <c r="O17" s="499"/>
      <c r="P17" s="499"/>
      <c r="Q17" s="500" t="str">
        <f t="shared" ref="Q17:Q24" si="0">IF(N17="","",K17*N17)</f>
        <v/>
      </c>
      <c r="R17" s="500"/>
      <c r="S17" s="500"/>
      <c r="T17" s="251"/>
      <c r="U17" s="61"/>
      <c r="V17" s="435"/>
      <c r="W17" s="435"/>
      <c r="X17" s="435"/>
      <c r="Y17" s="435"/>
      <c r="Z17" s="435"/>
    </row>
    <row r="18" spans="1:26" s="62" customFormat="1" ht="19.5" customHeight="1" thickTop="1" thickBot="1">
      <c r="A18" s="249"/>
      <c r="B18" s="241"/>
      <c r="C18" s="506"/>
      <c r="D18" s="506"/>
      <c r="E18" s="506"/>
      <c r="F18" s="506"/>
      <c r="G18" s="506"/>
      <c r="H18" s="506"/>
      <c r="I18" s="506"/>
      <c r="J18" s="506"/>
      <c r="K18" s="507"/>
      <c r="L18" s="507"/>
      <c r="M18" s="507"/>
      <c r="N18" s="499" t="str">
        <f>Tables!P325</f>
        <v/>
      </c>
      <c r="O18" s="499"/>
      <c r="P18" s="499"/>
      <c r="Q18" s="500" t="str">
        <f>IF(N18="","",K18*N18)</f>
        <v/>
      </c>
      <c r="R18" s="500"/>
      <c r="S18" s="500"/>
      <c r="T18" s="251"/>
      <c r="U18" s="61"/>
      <c r="V18" s="435"/>
      <c r="W18" s="435"/>
      <c r="X18" s="435"/>
      <c r="Y18" s="435"/>
      <c r="Z18" s="435"/>
    </row>
    <row r="19" spans="1:26" s="62" customFormat="1" ht="19.5" customHeight="1" thickTop="1" thickBot="1">
      <c r="A19" s="249"/>
      <c r="B19" s="241"/>
      <c r="C19" s="506"/>
      <c r="D19" s="506"/>
      <c r="E19" s="506"/>
      <c r="F19" s="506"/>
      <c r="G19" s="506"/>
      <c r="H19" s="506"/>
      <c r="I19" s="506"/>
      <c r="J19" s="506"/>
      <c r="K19" s="507"/>
      <c r="L19" s="507"/>
      <c r="M19" s="507"/>
      <c r="N19" s="499" t="str">
        <f>Tables!P326</f>
        <v/>
      </c>
      <c r="O19" s="499"/>
      <c r="P19" s="499"/>
      <c r="Q19" s="500" t="str">
        <f>IF(N19="","",K19*N19)</f>
        <v/>
      </c>
      <c r="R19" s="500"/>
      <c r="S19" s="500"/>
      <c r="T19" s="251"/>
      <c r="U19" s="61"/>
      <c r="V19" s="435"/>
      <c r="W19" s="435"/>
      <c r="X19" s="435"/>
      <c r="Y19" s="435"/>
      <c r="Z19" s="435"/>
    </row>
    <row r="20" spans="1:26" s="62" customFormat="1" ht="19.5" customHeight="1" thickTop="1" thickBot="1">
      <c r="A20" s="249"/>
      <c r="B20" s="241"/>
      <c r="C20" s="506"/>
      <c r="D20" s="506"/>
      <c r="E20" s="506"/>
      <c r="F20" s="506"/>
      <c r="G20" s="506"/>
      <c r="H20" s="506"/>
      <c r="I20" s="506"/>
      <c r="J20" s="506"/>
      <c r="K20" s="507"/>
      <c r="L20" s="507"/>
      <c r="M20" s="507"/>
      <c r="N20" s="499" t="str">
        <f>Tables!P327</f>
        <v/>
      </c>
      <c r="O20" s="499"/>
      <c r="P20" s="499"/>
      <c r="Q20" s="500" t="str">
        <f t="shared" si="0"/>
        <v/>
      </c>
      <c r="R20" s="500"/>
      <c r="S20" s="500"/>
      <c r="T20" s="251"/>
      <c r="U20" s="61"/>
      <c r="V20" s="435"/>
      <c r="W20" s="435"/>
      <c r="X20" s="435"/>
      <c r="Y20" s="435"/>
      <c r="Z20" s="435"/>
    </row>
    <row r="21" spans="1:26" s="62" customFormat="1" ht="19.5" customHeight="1" thickTop="1" thickBot="1">
      <c r="A21" s="249"/>
      <c r="B21" s="241"/>
      <c r="C21" s="506"/>
      <c r="D21" s="506"/>
      <c r="E21" s="506"/>
      <c r="F21" s="506"/>
      <c r="G21" s="506"/>
      <c r="H21" s="506"/>
      <c r="I21" s="506"/>
      <c r="J21" s="506"/>
      <c r="K21" s="507"/>
      <c r="L21" s="507"/>
      <c r="M21" s="507"/>
      <c r="N21" s="499" t="str">
        <f>Tables!P328</f>
        <v/>
      </c>
      <c r="O21" s="499"/>
      <c r="P21" s="499"/>
      <c r="Q21" s="500" t="str">
        <f t="shared" si="0"/>
        <v/>
      </c>
      <c r="R21" s="500"/>
      <c r="S21" s="500"/>
      <c r="T21" s="251"/>
      <c r="U21" s="61"/>
      <c r="V21" s="435"/>
      <c r="W21" s="435"/>
      <c r="X21" s="435"/>
      <c r="Y21" s="435"/>
      <c r="Z21" s="435"/>
    </row>
    <row r="22" spans="1:26" s="62" customFormat="1" ht="19.5" customHeight="1" thickTop="1" thickBot="1">
      <c r="A22" s="249"/>
      <c r="B22" s="241"/>
      <c r="C22" s="506"/>
      <c r="D22" s="506"/>
      <c r="E22" s="506"/>
      <c r="F22" s="506"/>
      <c r="G22" s="506"/>
      <c r="H22" s="506"/>
      <c r="I22" s="506"/>
      <c r="J22" s="506"/>
      <c r="K22" s="507"/>
      <c r="L22" s="507"/>
      <c r="M22" s="507"/>
      <c r="N22" s="499" t="str">
        <f>Tables!P329</f>
        <v/>
      </c>
      <c r="O22" s="499"/>
      <c r="P22" s="499"/>
      <c r="Q22" s="500" t="str">
        <f t="shared" si="0"/>
        <v/>
      </c>
      <c r="R22" s="500"/>
      <c r="S22" s="500"/>
      <c r="T22" s="251"/>
      <c r="U22" s="61"/>
      <c r="V22" s="435"/>
      <c r="W22" s="435"/>
      <c r="X22" s="435"/>
      <c r="Y22" s="435"/>
      <c r="Z22" s="435"/>
    </row>
    <row r="23" spans="1:26" s="62" customFormat="1" ht="19.5" customHeight="1" thickTop="1" thickBot="1">
      <c r="A23" s="249"/>
      <c r="B23" s="241"/>
      <c r="C23" s="506"/>
      <c r="D23" s="506"/>
      <c r="E23" s="506"/>
      <c r="F23" s="506"/>
      <c r="G23" s="506"/>
      <c r="H23" s="506"/>
      <c r="I23" s="506"/>
      <c r="J23" s="506"/>
      <c r="K23" s="507"/>
      <c r="L23" s="507"/>
      <c r="M23" s="507"/>
      <c r="N23" s="499" t="str">
        <f>Tables!P330</f>
        <v/>
      </c>
      <c r="O23" s="499"/>
      <c r="P23" s="499"/>
      <c r="Q23" s="500" t="str">
        <f t="shared" si="0"/>
        <v/>
      </c>
      <c r="R23" s="500"/>
      <c r="S23" s="500"/>
      <c r="T23" s="251"/>
      <c r="U23" s="61"/>
      <c r="V23" s="435"/>
      <c r="W23" s="435"/>
      <c r="X23" s="435"/>
      <c r="Y23" s="435"/>
      <c r="Z23" s="435"/>
    </row>
    <row r="24" spans="1:26" s="62" customFormat="1" ht="19.5" customHeight="1" thickTop="1" thickBot="1">
      <c r="A24" s="249"/>
      <c r="B24" s="241"/>
      <c r="C24" s="506"/>
      <c r="D24" s="506"/>
      <c r="E24" s="506"/>
      <c r="F24" s="506"/>
      <c r="G24" s="506"/>
      <c r="H24" s="506"/>
      <c r="I24" s="506"/>
      <c r="J24" s="506"/>
      <c r="K24" s="507"/>
      <c r="L24" s="507"/>
      <c r="M24" s="507"/>
      <c r="N24" s="499" t="str">
        <f>Tables!P331</f>
        <v/>
      </c>
      <c r="O24" s="499"/>
      <c r="P24" s="499"/>
      <c r="Q24" s="500" t="str">
        <f t="shared" si="0"/>
        <v/>
      </c>
      <c r="R24" s="500"/>
      <c r="S24" s="500"/>
      <c r="T24" s="251"/>
      <c r="U24" s="61"/>
      <c r="V24" s="435"/>
      <c r="W24" s="435"/>
      <c r="X24" s="435"/>
      <c r="Y24" s="435"/>
      <c r="Z24" s="435"/>
    </row>
    <row r="25" spans="1:26" s="62" customFormat="1" ht="19.5" customHeight="1" thickTop="1" thickBot="1">
      <c r="A25" s="209"/>
      <c r="B25" s="244"/>
      <c r="C25" s="244"/>
      <c r="D25" s="244"/>
      <c r="E25" s="244"/>
      <c r="F25" s="244"/>
      <c r="G25" s="244"/>
      <c r="H25" s="244"/>
      <c r="I25" s="244"/>
      <c r="J25" s="244"/>
      <c r="K25" s="244"/>
      <c r="L25" s="244"/>
      <c r="M25" s="244"/>
      <c r="N25" s="244"/>
      <c r="O25" s="244"/>
      <c r="P25" s="245" t="s">
        <v>441</v>
      </c>
      <c r="Q25" s="508">
        <f>SUM(Q16:S24)</f>
        <v>0</v>
      </c>
      <c r="R25" s="508"/>
      <c r="S25" s="508"/>
      <c r="T25" s="211" t="s">
        <v>442</v>
      </c>
      <c r="U25" s="61"/>
      <c r="V25" s="61"/>
      <c r="W25" s="61"/>
      <c r="X25" s="61"/>
      <c r="Y25" s="61"/>
    </row>
    <row r="26" spans="1:26" s="62" customFormat="1" ht="19.5" customHeight="1" thickTop="1" thickBot="1">
      <c r="A26" s="211">
        <v>5</v>
      </c>
      <c r="B26" s="436" t="s">
        <v>443</v>
      </c>
      <c r="C26" s="436"/>
      <c r="D26" s="436"/>
      <c r="E26" s="436"/>
      <c r="F26" s="436"/>
      <c r="G26" s="436"/>
      <c r="H26" s="436"/>
      <c r="I26" s="436"/>
      <c r="J26" s="436"/>
      <c r="K26" s="252"/>
      <c r="L26" s="210"/>
      <c r="M26" s="210"/>
      <c r="N26" s="210"/>
      <c r="O26" s="210"/>
      <c r="P26" s="210"/>
      <c r="Q26" s="210"/>
      <c r="R26" s="210"/>
      <c r="S26" s="210"/>
      <c r="T26" s="209"/>
      <c r="U26" s="61"/>
      <c r="V26" s="61"/>
      <c r="W26" s="61"/>
      <c r="X26" s="61"/>
      <c r="Y26" s="61"/>
    </row>
    <row r="27" spans="1:26" s="62" customFormat="1" ht="19.5" customHeight="1" thickTop="1" thickBot="1">
      <c r="A27" s="209"/>
      <c r="B27" s="210"/>
      <c r="C27" s="210"/>
      <c r="D27" s="210"/>
      <c r="E27" s="210"/>
      <c r="F27" s="210"/>
      <c r="G27" s="222"/>
      <c r="H27" s="222"/>
      <c r="I27" s="222"/>
      <c r="J27" s="222" t="s">
        <v>267</v>
      </c>
      <c r="K27" s="443"/>
      <c r="L27" s="443"/>
      <c r="M27" s="443"/>
      <c r="N27" s="210" t="s">
        <v>418</v>
      </c>
      <c r="O27" s="237">
        <f>Tables!K320-Tables!K319</f>
        <v>-0.98064352657801512</v>
      </c>
      <c r="P27" s="222" t="s">
        <v>436</v>
      </c>
      <c r="Q27" s="453">
        <f>K27*O27</f>
        <v>0</v>
      </c>
      <c r="R27" s="453"/>
      <c r="S27" s="453"/>
      <c r="T27" s="211" t="s">
        <v>444</v>
      </c>
      <c r="U27" s="61"/>
      <c r="V27" s="435" t="s">
        <v>918</v>
      </c>
      <c r="W27" s="435"/>
      <c r="X27" s="435"/>
      <c r="Y27" s="435"/>
      <c r="Z27" s="435"/>
    </row>
    <row r="28" spans="1:26" s="62" customFormat="1" ht="19.5" customHeight="1" thickTop="1" thickBot="1">
      <c r="A28" s="211">
        <v>6</v>
      </c>
      <c r="B28" s="436" t="s">
        <v>764</v>
      </c>
      <c r="C28" s="436"/>
      <c r="D28" s="436"/>
      <c r="E28" s="436"/>
      <c r="F28" s="436"/>
      <c r="G28" s="210"/>
      <c r="H28" s="210"/>
      <c r="I28" s="210"/>
      <c r="J28" s="210"/>
      <c r="K28" s="210"/>
      <c r="L28" s="210"/>
      <c r="M28" s="210"/>
      <c r="N28" s="210"/>
      <c r="O28" s="210"/>
      <c r="P28" s="210"/>
      <c r="Q28" s="210"/>
      <c r="R28" s="210"/>
      <c r="S28" s="210"/>
      <c r="T28" s="209"/>
      <c r="U28" s="61"/>
      <c r="V28" s="61"/>
      <c r="W28" s="61"/>
      <c r="X28" s="61"/>
      <c r="Y28" s="61"/>
    </row>
    <row r="29" spans="1:26" s="62" customFormat="1" ht="19.5" customHeight="1" thickTop="1" thickBot="1">
      <c r="A29" s="209"/>
      <c r="B29" s="210"/>
      <c r="C29" s="210"/>
      <c r="D29" s="210"/>
      <c r="E29" s="210"/>
      <c r="F29" s="210"/>
      <c r="G29" s="210"/>
      <c r="H29" s="210"/>
      <c r="I29" s="210"/>
      <c r="J29" s="210"/>
      <c r="K29" s="252"/>
      <c r="L29" s="210"/>
      <c r="M29" s="210"/>
      <c r="N29" s="210"/>
      <c r="O29" s="210"/>
      <c r="P29" s="222" t="s">
        <v>765</v>
      </c>
      <c r="Q29" s="453">
        <f>Q9+Q10+Q12+Q25+Q27</f>
        <v>0</v>
      </c>
      <c r="R29" s="453"/>
      <c r="S29" s="453"/>
      <c r="T29" s="211" t="s">
        <v>395</v>
      </c>
      <c r="U29" s="61"/>
      <c r="V29" s="435" t="s">
        <v>445</v>
      </c>
      <c r="W29" s="435"/>
      <c r="X29" s="435"/>
      <c r="Y29" s="435"/>
      <c r="Z29" s="435"/>
    </row>
    <row r="30" spans="1:26" s="62" customFormat="1" ht="19.5" customHeight="1" thickTop="1">
      <c r="A30" s="138"/>
      <c r="B30" s="61"/>
      <c r="C30" s="61"/>
      <c r="D30" s="61"/>
      <c r="E30" s="61"/>
      <c r="F30" s="61"/>
      <c r="G30" s="61"/>
      <c r="H30" s="61"/>
      <c r="I30" s="61"/>
      <c r="J30" s="61"/>
      <c r="K30" s="61"/>
      <c r="L30" s="61"/>
      <c r="M30" s="61"/>
      <c r="N30" s="61"/>
      <c r="O30" s="61"/>
      <c r="P30" s="61"/>
      <c r="Q30" s="61"/>
      <c r="R30" s="61"/>
      <c r="S30" s="61"/>
      <c r="T30" s="138"/>
      <c r="U30" s="61"/>
      <c r="V30" s="61"/>
      <c r="W30" s="61"/>
      <c r="X30" s="61"/>
      <c r="Y30" s="61"/>
    </row>
    <row r="31" spans="1:26" s="62" customFormat="1" ht="14.25" customHeight="1">
      <c r="A31" s="138"/>
      <c r="B31" s="61"/>
      <c r="C31" s="61"/>
      <c r="D31" s="61"/>
      <c r="E31" s="61"/>
      <c r="F31" s="61"/>
      <c r="G31" s="61"/>
      <c r="H31" s="61"/>
      <c r="I31" s="61"/>
      <c r="J31" s="61"/>
      <c r="K31" s="61"/>
      <c r="L31" s="61"/>
      <c r="M31" s="61"/>
      <c r="N31" s="61"/>
      <c r="O31" s="61"/>
      <c r="P31" s="61"/>
      <c r="Q31" s="61"/>
      <c r="R31" s="61"/>
      <c r="S31" s="61"/>
      <c r="T31" s="138"/>
      <c r="U31" s="61"/>
      <c r="V31" s="61"/>
      <c r="W31" s="61"/>
      <c r="X31" s="61"/>
      <c r="Y31" s="61"/>
    </row>
    <row r="32" spans="1:26" s="62" customFormat="1" ht="14.25" customHeight="1">
      <c r="A32" s="138"/>
      <c r="B32" s="61"/>
      <c r="C32" s="61"/>
      <c r="D32" s="61"/>
      <c r="E32" s="61"/>
      <c r="F32" s="61"/>
      <c r="G32" s="61"/>
      <c r="H32" s="61"/>
      <c r="I32" s="61"/>
      <c r="J32" s="61"/>
      <c r="K32" s="61"/>
      <c r="L32" s="61"/>
      <c r="M32" s="61"/>
      <c r="N32" s="61"/>
      <c r="O32" s="61"/>
      <c r="P32" s="61"/>
      <c r="Q32" s="61"/>
      <c r="R32" s="61"/>
      <c r="S32" s="61"/>
      <c r="T32" s="138"/>
      <c r="U32" s="61"/>
      <c r="V32" s="61"/>
      <c r="W32" s="61"/>
      <c r="X32" s="61"/>
      <c r="Y32" s="61"/>
    </row>
    <row r="33" spans="1:25" s="62" customFormat="1" ht="14.25" customHeight="1">
      <c r="A33" s="138"/>
      <c r="B33" s="61"/>
      <c r="C33" s="61"/>
      <c r="D33" s="61"/>
      <c r="E33" s="61"/>
      <c r="F33" s="61"/>
      <c r="G33" s="61"/>
      <c r="H33" s="61"/>
      <c r="I33" s="61"/>
      <c r="J33" s="61"/>
      <c r="K33" s="61"/>
      <c r="L33" s="61"/>
      <c r="M33" s="61"/>
      <c r="N33" s="61"/>
      <c r="O33" s="61"/>
      <c r="P33" s="61"/>
      <c r="Q33" s="61"/>
      <c r="R33" s="61"/>
      <c r="S33" s="61"/>
      <c r="T33" s="138"/>
      <c r="U33" s="61"/>
      <c r="V33" s="61"/>
      <c r="W33" s="61"/>
      <c r="X33" s="61"/>
      <c r="Y33" s="61"/>
    </row>
    <row r="34" spans="1:25" s="62" customFormat="1" ht="14.25" customHeight="1">
      <c r="A34" s="138"/>
      <c r="B34" s="61"/>
      <c r="C34" s="61"/>
      <c r="D34" s="71"/>
      <c r="E34" s="61"/>
      <c r="F34" s="61"/>
      <c r="G34" s="61"/>
      <c r="H34" s="61"/>
      <c r="I34" s="61"/>
      <c r="J34" s="61"/>
      <c r="K34" s="61"/>
      <c r="L34" s="61"/>
      <c r="M34" s="61"/>
      <c r="N34" s="61"/>
      <c r="O34" s="61"/>
      <c r="P34" s="89"/>
      <c r="Q34" s="61"/>
      <c r="R34" s="61"/>
      <c r="S34" s="61"/>
      <c r="T34" s="138"/>
      <c r="U34" s="61"/>
      <c r="V34" s="61"/>
      <c r="W34" s="61"/>
      <c r="X34" s="61"/>
      <c r="Y34" s="61"/>
    </row>
    <row r="35" spans="1:25" s="62" customFormat="1" ht="14.25" customHeight="1">
      <c r="A35" s="138"/>
      <c r="B35" s="61"/>
      <c r="C35" s="61"/>
      <c r="D35" s="71"/>
      <c r="E35" s="61"/>
      <c r="F35" s="61"/>
      <c r="G35" s="61"/>
      <c r="H35" s="61"/>
      <c r="I35" s="61"/>
      <c r="J35" s="61"/>
      <c r="K35" s="61"/>
      <c r="L35" s="61"/>
      <c r="M35" s="61"/>
      <c r="N35" s="61"/>
      <c r="O35" s="61"/>
      <c r="P35" s="89"/>
      <c r="Q35" s="61"/>
      <c r="R35" s="61"/>
      <c r="S35" s="61"/>
      <c r="T35" s="138"/>
      <c r="U35" s="61"/>
      <c r="V35" s="61"/>
      <c r="W35" s="61"/>
      <c r="X35" s="61"/>
      <c r="Y35" s="61"/>
    </row>
    <row r="36" spans="1:25" s="62" customFormat="1" ht="14.25" customHeight="1">
      <c r="A36" s="138"/>
      <c r="B36" s="61"/>
      <c r="C36" s="61"/>
      <c r="D36" s="71"/>
      <c r="E36" s="61"/>
      <c r="F36" s="61"/>
      <c r="G36" s="61"/>
      <c r="H36" s="61"/>
      <c r="I36" s="61"/>
      <c r="J36" s="61"/>
      <c r="K36" s="61"/>
      <c r="L36" s="61"/>
      <c r="M36" s="61"/>
      <c r="N36" s="61"/>
      <c r="O36" s="61"/>
      <c r="P36" s="89"/>
      <c r="Q36" s="61"/>
      <c r="R36" s="61"/>
      <c r="S36" s="61"/>
      <c r="T36" s="138"/>
      <c r="U36" s="61"/>
      <c r="V36" s="61"/>
      <c r="W36" s="61"/>
      <c r="X36" s="61"/>
      <c r="Y36" s="61"/>
    </row>
    <row r="37" spans="1:25" s="62" customFormat="1" ht="14.25" customHeight="1">
      <c r="A37" s="61"/>
      <c r="B37" s="61"/>
      <c r="C37" s="61"/>
      <c r="D37" s="61"/>
      <c r="E37" s="61"/>
      <c r="F37" s="61"/>
      <c r="G37" s="61"/>
      <c r="H37" s="61"/>
      <c r="I37" s="61"/>
      <c r="J37" s="61"/>
      <c r="K37" s="61"/>
      <c r="L37" s="61"/>
      <c r="M37" s="61"/>
      <c r="N37" s="61"/>
      <c r="O37" s="61"/>
      <c r="P37" s="61"/>
      <c r="Q37" s="61"/>
      <c r="R37" s="61"/>
      <c r="S37" s="61"/>
      <c r="T37" s="138"/>
      <c r="U37" s="61"/>
      <c r="V37" s="61"/>
      <c r="W37" s="61"/>
      <c r="X37" s="61"/>
      <c r="Y37" s="61"/>
    </row>
    <row r="38" spans="1:25" s="62" customFormat="1" ht="14.25" customHeight="1">
      <c r="A38" s="61"/>
      <c r="B38" s="61"/>
      <c r="C38" s="61"/>
      <c r="D38" s="61"/>
      <c r="E38" s="61"/>
      <c r="F38" s="61"/>
      <c r="G38" s="61"/>
      <c r="H38" s="61"/>
      <c r="I38" s="61"/>
      <c r="J38" s="61"/>
      <c r="K38" s="61"/>
      <c r="L38" s="61"/>
      <c r="M38" s="61"/>
      <c r="N38" s="61"/>
      <c r="O38" s="61"/>
      <c r="P38" s="61"/>
      <c r="Q38" s="61"/>
      <c r="R38" s="61"/>
      <c r="S38" s="61"/>
      <c r="T38" s="138"/>
      <c r="U38" s="61"/>
      <c r="V38" s="61"/>
      <c r="W38" s="61"/>
      <c r="X38" s="61"/>
      <c r="Y38" s="61"/>
    </row>
    <row r="39" spans="1:25" s="62" customFormat="1" ht="14.25" customHeight="1">
      <c r="A39" s="61"/>
      <c r="B39" s="61"/>
      <c r="C39" s="61"/>
      <c r="D39" s="61"/>
      <c r="E39" s="61"/>
      <c r="F39" s="61"/>
      <c r="G39" s="61"/>
      <c r="H39" s="61"/>
      <c r="I39" s="61"/>
      <c r="J39" s="61"/>
      <c r="K39" s="61"/>
      <c r="L39" s="61"/>
      <c r="M39" s="61"/>
      <c r="N39" s="61"/>
      <c r="O39" s="61"/>
      <c r="P39" s="61"/>
      <c r="Q39" s="90"/>
      <c r="R39" s="90"/>
      <c r="S39" s="90"/>
      <c r="T39" s="138"/>
      <c r="U39" s="61"/>
      <c r="V39" s="61"/>
      <c r="W39" s="61"/>
      <c r="X39" s="61"/>
      <c r="Y39" s="61"/>
    </row>
    <row r="40" spans="1:25" s="62" customFormat="1" ht="14.25" customHeight="1">
      <c r="A40" s="61"/>
      <c r="B40" s="61"/>
      <c r="C40" s="61"/>
      <c r="D40" s="61"/>
      <c r="E40" s="61"/>
      <c r="F40" s="61"/>
      <c r="G40" s="61"/>
      <c r="H40" s="61"/>
      <c r="I40" s="61"/>
      <c r="J40" s="61"/>
      <c r="K40" s="61"/>
      <c r="L40" s="61"/>
      <c r="M40" s="61"/>
      <c r="N40" s="61"/>
      <c r="O40" s="61"/>
      <c r="P40" s="61"/>
      <c r="Q40" s="90"/>
      <c r="R40" s="90"/>
      <c r="S40" s="90"/>
      <c r="T40" s="138"/>
      <c r="U40" s="61"/>
      <c r="V40" s="61"/>
      <c r="W40" s="61"/>
      <c r="X40" s="61"/>
      <c r="Y40" s="61"/>
    </row>
    <row r="41" spans="1:25" s="62" customFormat="1" ht="11.5" hidden="1">
      <c r="A41" s="61"/>
      <c r="B41" s="61"/>
      <c r="C41" s="61"/>
      <c r="D41" s="61"/>
      <c r="E41" s="61"/>
      <c r="F41" s="61"/>
      <c r="G41" s="61"/>
      <c r="H41" s="61"/>
      <c r="I41" s="61"/>
      <c r="J41" s="61"/>
      <c r="K41" s="61"/>
      <c r="L41" s="61"/>
      <c r="M41" s="61"/>
      <c r="N41" s="61"/>
      <c r="O41" s="61"/>
      <c r="P41" s="61"/>
      <c r="Q41" s="61"/>
      <c r="R41" s="61"/>
      <c r="S41" s="61"/>
      <c r="T41" s="138"/>
      <c r="U41" s="61"/>
      <c r="V41" s="61"/>
      <c r="W41" s="61"/>
      <c r="X41" s="61"/>
      <c r="Y41" s="61"/>
    </row>
    <row r="42" spans="1:25" s="69" customFormat="1" hidden="1">
      <c r="A42" s="61">
        <v>0</v>
      </c>
      <c r="B42" s="61"/>
      <c r="C42" s="61"/>
      <c r="D42" s="61"/>
      <c r="E42" s="61"/>
      <c r="F42" s="61"/>
      <c r="G42" s="61"/>
      <c r="H42" s="61"/>
      <c r="I42" s="61"/>
      <c r="J42" s="61"/>
      <c r="K42" s="61"/>
      <c r="L42" s="61"/>
      <c r="M42" s="61"/>
      <c r="N42" s="61"/>
      <c r="O42" s="61"/>
      <c r="P42" s="61"/>
      <c r="Q42" s="61"/>
      <c r="R42" s="61"/>
      <c r="S42" s="61"/>
      <c r="T42" s="138"/>
      <c r="U42" s="61"/>
      <c r="V42" s="61"/>
      <c r="W42" s="61"/>
      <c r="X42" s="61"/>
      <c r="Y42" s="61"/>
    </row>
    <row r="43" spans="1:25" s="69" customFormat="1" hidden="1">
      <c r="A43" s="61">
        <v>1</v>
      </c>
      <c r="B43" s="61"/>
      <c r="C43" s="61"/>
      <c r="D43" s="61"/>
      <c r="E43" s="61"/>
      <c r="F43" s="61"/>
      <c r="G43" s="61"/>
      <c r="H43" s="61"/>
      <c r="I43" s="61"/>
      <c r="J43" s="61"/>
      <c r="K43" s="61"/>
      <c r="L43" s="61"/>
      <c r="M43" s="61"/>
      <c r="N43" s="61"/>
      <c r="O43" s="61"/>
      <c r="P43" s="61"/>
      <c r="Q43" s="61"/>
      <c r="R43" s="61"/>
      <c r="S43" s="61"/>
      <c r="T43" s="138"/>
      <c r="U43" s="61"/>
      <c r="V43" s="61"/>
      <c r="W43" s="61"/>
      <c r="X43" s="61"/>
      <c r="Y43" s="61"/>
    </row>
    <row r="44" spans="1:25" s="69" customFormat="1" hidden="1">
      <c r="A44" s="61">
        <v>2</v>
      </c>
      <c r="B44" s="61"/>
      <c r="C44" s="61"/>
      <c r="D44" s="61"/>
      <c r="E44" s="61"/>
      <c r="F44" s="61"/>
      <c r="G44" s="61"/>
      <c r="H44" s="61"/>
      <c r="I44" s="61"/>
      <c r="J44" s="61"/>
      <c r="K44" s="61"/>
      <c r="L44" s="61"/>
      <c r="M44" s="61"/>
      <c r="N44" s="61"/>
      <c r="O44" s="61"/>
      <c r="P44" s="61"/>
      <c r="Q44" s="61"/>
      <c r="R44" s="61"/>
      <c r="S44" s="61"/>
      <c r="T44" s="138"/>
      <c r="U44" s="61"/>
      <c r="V44" s="61"/>
      <c r="W44" s="61"/>
      <c r="X44" s="61"/>
      <c r="Y44" s="61"/>
    </row>
    <row r="45" spans="1:25" s="69" customFormat="1" hidden="1">
      <c r="A45" s="61">
        <v>3</v>
      </c>
      <c r="B45" s="61"/>
      <c r="C45" s="61"/>
      <c r="D45" s="61"/>
      <c r="E45" s="61"/>
      <c r="F45" s="61"/>
      <c r="G45" s="61"/>
      <c r="H45" s="61"/>
      <c r="I45" s="61"/>
      <c r="J45" s="61"/>
      <c r="K45" s="61"/>
      <c r="L45" s="61"/>
      <c r="M45" s="61"/>
      <c r="N45" s="61"/>
      <c r="O45" s="61"/>
      <c r="P45" s="61"/>
      <c r="Q45" s="61"/>
      <c r="R45" s="61"/>
      <c r="S45" s="61"/>
      <c r="T45" s="138"/>
      <c r="U45" s="61"/>
      <c r="V45" s="61"/>
      <c r="W45" s="61"/>
      <c r="X45" s="61"/>
      <c r="Y45" s="61"/>
    </row>
    <row r="46" spans="1:25" s="69" customFormat="1" hidden="1">
      <c r="A46" s="61">
        <v>4</v>
      </c>
      <c r="B46" s="61"/>
      <c r="C46" s="61"/>
      <c r="D46" s="61"/>
      <c r="E46" s="61"/>
      <c r="F46" s="61"/>
      <c r="G46" s="61"/>
      <c r="H46" s="61"/>
      <c r="I46" s="61"/>
      <c r="J46" s="61"/>
      <c r="K46" s="61"/>
      <c r="L46" s="61"/>
      <c r="M46" s="61"/>
      <c r="N46" s="61"/>
      <c r="O46" s="61"/>
      <c r="P46" s="61"/>
      <c r="Q46" s="61"/>
      <c r="R46" s="61"/>
      <c r="S46" s="61"/>
      <c r="T46" s="138"/>
      <c r="U46" s="61"/>
      <c r="V46" s="61"/>
      <c r="W46" s="61"/>
      <c r="X46" s="61"/>
      <c r="Y46" s="61"/>
    </row>
    <row r="47" spans="1:25" s="69" customFormat="1" hidden="1">
      <c r="A47" s="61">
        <v>5</v>
      </c>
      <c r="B47" s="61"/>
      <c r="C47" s="61"/>
      <c r="D47" s="61"/>
      <c r="E47" s="61"/>
      <c r="F47" s="61"/>
      <c r="G47" s="61"/>
      <c r="H47" s="61"/>
      <c r="I47" s="61"/>
      <c r="J47" s="61"/>
      <c r="K47" s="61"/>
      <c r="L47" s="61"/>
      <c r="M47" s="61"/>
      <c r="N47" s="61"/>
      <c r="O47" s="61"/>
      <c r="P47" s="61"/>
      <c r="Q47" s="61"/>
      <c r="R47" s="61"/>
      <c r="S47" s="61"/>
      <c r="T47" s="138"/>
      <c r="U47" s="61"/>
      <c r="V47" s="61"/>
      <c r="W47" s="61"/>
      <c r="X47" s="61"/>
      <c r="Y47" s="61"/>
    </row>
    <row r="48" spans="1:25" s="69" customFormat="1" hidden="1">
      <c r="A48" s="61">
        <v>6</v>
      </c>
      <c r="B48" s="61"/>
      <c r="C48" s="61"/>
      <c r="D48" s="61"/>
      <c r="E48" s="61"/>
      <c r="F48" s="61"/>
      <c r="G48" s="61"/>
      <c r="H48" s="61"/>
      <c r="I48" s="61"/>
      <c r="J48" s="61"/>
      <c r="K48" s="61"/>
      <c r="L48" s="61"/>
      <c r="M48" s="61"/>
      <c r="N48" s="61"/>
      <c r="O48" s="61"/>
      <c r="P48" s="61"/>
      <c r="Q48" s="61"/>
      <c r="R48" s="61"/>
      <c r="S48" s="61"/>
      <c r="T48" s="138"/>
      <c r="U48" s="61"/>
      <c r="V48" s="61"/>
      <c r="W48" s="61"/>
      <c r="X48" s="61"/>
      <c r="Y48" s="61"/>
    </row>
    <row r="49" spans="1:25" s="69" customFormat="1" hidden="1">
      <c r="A49" s="61">
        <v>7</v>
      </c>
      <c r="B49" s="61"/>
      <c r="C49" s="61"/>
      <c r="D49" s="61"/>
      <c r="E49" s="61"/>
      <c r="F49" s="61"/>
      <c r="G49" s="61"/>
      <c r="H49" s="61"/>
      <c r="I49" s="61"/>
      <c r="J49" s="61"/>
      <c r="K49" s="61"/>
      <c r="L49" s="61"/>
      <c r="M49" s="61"/>
      <c r="N49" s="61"/>
      <c r="O49" s="61"/>
      <c r="P49" s="61"/>
      <c r="Q49" s="61"/>
      <c r="R49" s="61"/>
      <c r="S49" s="61"/>
      <c r="T49" s="138"/>
      <c r="U49" s="61"/>
      <c r="V49" s="61"/>
      <c r="W49" s="61"/>
      <c r="X49" s="61"/>
      <c r="Y49" s="61"/>
    </row>
    <row r="50" spans="1:25" s="69" customFormat="1" hidden="1">
      <c r="A50" s="61">
        <v>8</v>
      </c>
      <c r="B50" s="61"/>
      <c r="C50" s="61"/>
      <c r="D50" s="61"/>
      <c r="E50" s="61"/>
      <c r="F50" s="61"/>
      <c r="G50" s="61"/>
      <c r="H50" s="61"/>
      <c r="I50" s="61"/>
      <c r="J50" s="61"/>
      <c r="K50" s="61"/>
      <c r="L50" s="61"/>
      <c r="M50" s="61"/>
      <c r="N50" s="61"/>
      <c r="O50" s="61"/>
      <c r="P50" s="61"/>
      <c r="Q50" s="61"/>
      <c r="R50" s="61"/>
      <c r="S50" s="61"/>
      <c r="T50" s="138"/>
      <c r="U50" s="61"/>
      <c r="V50" s="61"/>
      <c r="W50" s="61"/>
      <c r="X50" s="61"/>
      <c r="Y50" s="61"/>
    </row>
    <row r="51" spans="1:25" s="69" customFormat="1" hidden="1">
      <c r="A51" s="61">
        <v>9</v>
      </c>
      <c r="B51" s="61"/>
      <c r="C51" s="61"/>
      <c r="D51" s="61"/>
      <c r="E51" s="61"/>
      <c r="F51" s="61"/>
      <c r="G51" s="61"/>
      <c r="H51" s="61"/>
      <c r="I51" s="61"/>
      <c r="J51" s="61"/>
      <c r="K51" s="61"/>
      <c r="L51" s="61"/>
      <c r="M51" s="61"/>
      <c r="N51" s="61"/>
      <c r="O51" s="61"/>
      <c r="P51" s="61"/>
      <c r="Q51" s="61"/>
      <c r="R51" s="61"/>
      <c r="S51" s="61"/>
      <c r="T51" s="138"/>
      <c r="U51" s="61"/>
      <c r="V51" s="61"/>
      <c r="W51" s="61"/>
      <c r="X51" s="61"/>
      <c r="Y51" s="61"/>
    </row>
    <row r="52" spans="1:25" s="69" customFormat="1" hidden="1">
      <c r="A52" s="61">
        <v>10</v>
      </c>
      <c r="B52" s="61"/>
      <c r="C52" s="61"/>
      <c r="D52" s="61"/>
      <c r="E52" s="61"/>
      <c r="F52" s="61"/>
      <c r="G52" s="61"/>
      <c r="H52" s="61"/>
      <c r="I52" s="61"/>
      <c r="J52" s="61"/>
      <c r="K52" s="61"/>
      <c r="L52" s="61"/>
      <c r="M52" s="61"/>
      <c r="N52" s="61"/>
      <c r="O52" s="61"/>
      <c r="P52" s="61"/>
      <c r="Q52" s="61"/>
      <c r="R52" s="61"/>
      <c r="S52" s="61"/>
      <c r="T52" s="138"/>
      <c r="U52" s="61"/>
      <c r="V52" s="61"/>
      <c r="W52" s="61"/>
      <c r="X52" s="61"/>
      <c r="Y52" s="61"/>
    </row>
    <row r="53" spans="1:25" s="69" customFormat="1" hidden="1">
      <c r="A53" s="61">
        <v>11</v>
      </c>
      <c r="B53" s="61"/>
      <c r="C53" s="61"/>
      <c r="D53" s="61"/>
      <c r="E53" s="61"/>
      <c r="F53" s="61"/>
      <c r="G53" s="61"/>
      <c r="H53" s="61"/>
      <c r="I53" s="61"/>
      <c r="J53" s="61"/>
      <c r="K53" s="61"/>
      <c r="L53" s="61"/>
      <c r="M53" s="61"/>
      <c r="N53" s="61"/>
      <c r="O53" s="61"/>
      <c r="P53" s="61"/>
      <c r="Q53" s="61"/>
      <c r="R53" s="61"/>
      <c r="S53" s="61"/>
      <c r="T53" s="138"/>
      <c r="U53" s="61"/>
      <c r="V53" s="61"/>
      <c r="W53" s="61"/>
      <c r="X53" s="61"/>
      <c r="Y53" s="61"/>
    </row>
    <row r="54" spans="1:25" s="69" customFormat="1" hidden="1">
      <c r="A54" s="61">
        <v>12</v>
      </c>
      <c r="B54" s="61"/>
      <c r="C54" s="61"/>
      <c r="D54" s="61"/>
      <c r="E54" s="61"/>
      <c r="F54" s="61"/>
      <c r="G54" s="61"/>
      <c r="H54" s="61"/>
      <c r="I54" s="61"/>
      <c r="J54" s="61"/>
      <c r="K54" s="61"/>
      <c r="L54" s="61"/>
      <c r="M54" s="61"/>
      <c r="N54" s="61"/>
      <c r="O54" s="61"/>
      <c r="P54" s="61"/>
      <c r="Q54" s="61"/>
      <c r="R54" s="61"/>
      <c r="S54" s="61"/>
      <c r="T54" s="138"/>
      <c r="U54" s="61"/>
      <c r="V54" s="61"/>
      <c r="W54" s="61"/>
      <c r="X54" s="61"/>
      <c r="Y54" s="61"/>
    </row>
    <row r="55" spans="1:25" s="69" customFormat="1" hidden="1">
      <c r="A55" s="61">
        <v>13</v>
      </c>
      <c r="B55" s="61"/>
      <c r="C55" s="61"/>
      <c r="D55" s="61"/>
      <c r="E55" s="61"/>
      <c r="F55" s="61"/>
      <c r="G55" s="61"/>
      <c r="H55" s="61"/>
      <c r="I55" s="61"/>
      <c r="J55" s="61"/>
      <c r="K55" s="61"/>
      <c r="L55" s="61"/>
      <c r="M55" s="61"/>
      <c r="N55" s="61"/>
      <c r="O55" s="61"/>
      <c r="P55" s="61"/>
      <c r="Q55" s="61"/>
      <c r="R55" s="61"/>
      <c r="S55" s="61"/>
      <c r="T55" s="138"/>
      <c r="U55" s="61"/>
      <c r="V55" s="61"/>
      <c r="W55" s="61"/>
      <c r="X55" s="61"/>
      <c r="Y55" s="61"/>
    </row>
    <row r="56" spans="1:25" s="69" customFormat="1" hidden="1">
      <c r="A56" s="61">
        <v>14</v>
      </c>
      <c r="B56" s="61"/>
      <c r="C56" s="61"/>
      <c r="D56" s="61"/>
      <c r="E56" s="61"/>
      <c r="F56" s="61"/>
      <c r="G56" s="61"/>
      <c r="H56" s="61"/>
      <c r="I56" s="61"/>
      <c r="J56" s="61"/>
      <c r="K56" s="61"/>
      <c r="L56" s="61"/>
      <c r="M56" s="61"/>
      <c r="N56" s="61"/>
      <c r="O56" s="61"/>
      <c r="P56" s="61"/>
      <c r="Q56" s="61"/>
      <c r="R56" s="61"/>
      <c r="S56" s="61"/>
      <c r="T56" s="138"/>
      <c r="U56" s="61"/>
      <c r="V56" s="61"/>
      <c r="W56" s="61"/>
      <c r="X56" s="61"/>
      <c r="Y56" s="61"/>
    </row>
    <row r="57" spans="1:25" s="69" customFormat="1" hidden="1">
      <c r="A57" s="61">
        <v>15</v>
      </c>
      <c r="B57" s="61"/>
      <c r="C57" s="61"/>
      <c r="D57" s="61"/>
      <c r="E57" s="61"/>
      <c r="F57" s="61"/>
      <c r="G57" s="61"/>
      <c r="H57" s="61"/>
      <c r="I57" s="61"/>
      <c r="J57" s="61"/>
      <c r="K57" s="61"/>
      <c r="L57" s="61"/>
      <c r="M57" s="61"/>
      <c r="N57" s="61"/>
      <c r="O57" s="61"/>
      <c r="P57" s="61"/>
      <c r="Q57" s="61"/>
      <c r="R57" s="61"/>
      <c r="S57" s="61"/>
      <c r="T57" s="138"/>
      <c r="U57" s="61"/>
      <c r="V57" s="61"/>
      <c r="W57" s="61"/>
      <c r="X57" s="61"/>
      <c r="Y57" s="61"/>
    </row>
    <row r="58" spans="1:25" s="69" customFormat="1" hidden="1">
      <c r="A58" s="61">
        <v>16</v>
      </c>
      <c r="B58" s="61"/>
      <c r="C58" s="61"/>
      <c r="D58" s="61"/>
      <c r="E58" s="61"/>
      <c r="F58" s="61"/>
      <c r="G58" s="61"/>
      <c r="H58" s="61"/>
      <c r="I58" s="61"/>
      <c r="J58" s="61"/>
      <c r="K58" s="61"/>
      <c r="L58" s="61"/>
      <c r="M58" s="61"/>
      <c r="N58" s="61"/>
      <c r="O58" s="61"/>
      <c r="P58" s="61"/>
      <c r="Q58" s="61"/>
      <c r="R58" s="61"/>
      <c r="S58" s="61"/>
      <c r="T58" s="138"/>
      <c r="U58" s="61"/>
      <c r="V58" s="61"/>
      <c r="W58" s="61"/>
      <c r="X58" s="61"/>
      <c r="Y58" s="61"/>
    </row>
    <row r="59" spans="1:25" s="69" customFormat="1" hidden="1">
      <c r="A59" s="61">
        <v>17</v>
      </c>
      <c r="B59" s="61"/>
      <c r="C59" s="61"/>
      <c r="D59" s="61"/>
      <c r="E59" s="61"/>
      <c r="F59" s="61"/>
      <c r="G59" s="61"/>
      <c r="H59" s="61"/>
      <c r="I59" s="61"/>
      <c r="J59" s="61"/>
      <c r="K59" s="61"/>
      <c r="L59" s="61"/>
      <c r="M59" s="61"/>
      <c r="N59" s="61"/>
      <c r="O59" s="61"/>
      <c r="P59" s="61"/>
      <c r="Q59" s="61"/>
      <c r="R59" s="61"/>
      <c r="S59" s="61"/>
      <c r="T59" s="138"/>
      <c r="U59" s="61"/>
      <c r="V59" s="61"/>
      <c r="W59" s="61"/>
      <c r="X59" s="61"/>
      <c r="Y59" s="61"/>
    </row>
    <row r="60" spans="1:25" s="69" customFormat="1" hidden="1">
      <c r="A60" s="61">
        <v>18</v>
      </c>
      <c r="B60" s="61"/>
      <c r="C60" s="61"/>
      <c r="D60" s="61"/>
      <c r="E60" s="61"/>
      <c r="F60" s="61"/>
      <c r="G60" s="61"/>
      <c r="H60" s="61"/>
      <c r="I60" s="61"/>
      <c r="J60" s="61"/>
      <c r="K60" s="61"/>
      <c r="L60" s="61"/>
      <c r="M60" s="61"/>
      <c r="N60" s="61"/>
      <c r="O60" s="61"/>
      <c r="P60" s="61"/>
      <c r="Q60" s="61"/>
      <c r="R60" s="61"/>
      <c r="S60" s="61"/>
      <c r="T60" s="138"/>
      <c r="U60" s="61"/>
      <c r="V60" s="61"/>
      <c r="W60" s="61"/>
      <c r="X60" s="61"/>
      <c r="Y60" s="61"/>
    </row>
    <row r="61" spans="1:25" s="69" customFormat="1" hidden="1">
      <c r="A61" s="61">
        <v>19</v>
      </c>
      <c r="B61" s="61"/>
      <c r="C61" s="61"/>
      <c r="D61" s="61"/>
      <c r="E61" s="61"/>
      <c r="F61" s="61"/>
      <c r="G61" s="61"/>
      <c r="H61" s="61"/>
      <c r="I61" s="61"/>
      <c r="J61" s="61"/>
      <c r="K61" s="61"/>
      <c r="L61" s="61"/>
      <c r="M61" s="61"/>
      <c r="N61" s="61"/>
      <c r="O61" s="61"/>
      <c r="P61" s="61"/>
      <c r="Q61" s="61"/>
      <c r="R61" s="61"/>
      <c r="S61" s="61"/>
      <c r="T61" s="138"/>
      <c r="U61" s="61"/>
      <c r="V61" s="61"/>
      <c r="W61" s="61"/>
      <c r="X61" s="61"/>
      <c r="Y61" s="61"/>
    </row>
    <row r="62" spans="1:25" s="69" customFormat="1" hidden="1">
      <c r="A62" s="61">
        <v>20</v>
      </c>
      <c r="B62" s="61"/>
      <c r="C62" s="61"/>
      <c r="D62" s="61"/>
      <c r="E62" s="61"/>
      <c r="F62" s="61"/>
      <c r="G62" s="61"/>
      <c r="H62" s="61"/>
      <c r="I62" s="61"/>
      <c r="J62" s="61"/>
      <c r="K62" s="61"/>
      <c r="L62" s="61"/>
      <c r="M62" s="61"/>
      <c r="N62" s="61"/>
      <c r="O62" s="61"/>
      <c r="P62" s="61"/>
      <c r="Q62" s="61"/>
      <c r="R62" s="61"/>
      <c r="S62" s="61"/>
      <c r="T62" s="138"/>
      <c r="U62" s="61"/>
      <c r="V62" s="61"/>
      <c r="W62" s="61"/>
      <c r="X62" s="61"/>
      <c r="Y62" s="61"/>
    </row>
    <row r="63" spans="1:25" s="69" customFormat="1" hidden="1">
      <c r="A63" s="61">
        <v>21</v>
      </c>
      <c r="B63" s="61"/>
      <c r="C63" s="61"/>
      <c r="D63" s="61"/>
      <c r="E63" s="61"/>
      <c r="F63" s="61"/>
      <c r="G63" s="61"/>
      <c r="H63" s="61"/>
      <c r="I63" s="61"/>
      <c r="J63" s="61"/>
      <c r="K63" s="61"/>
      <c r="L63" s="61"/>
      <c r="M63" s="61"/>
      <c r="N63" s="61"/>
      <c r="O63" s="61"/>
      <c r="P63" s="61"/>
      <c r="Q63" s="61"/>
      <c r="R63" s="61"/>
      <c r="S63" s="61"/>
      <c r="T63" s="138"/>
      <c r="U63" s="61"/>
      <c r="V63" s="61"/>
      <c r="W63" s="61"/>
      <c r="X63" s="61"/>
      <c r="Y63" s="61"/>
    </row>
    <row r="64" spans="1:25" s="69" customFormat="1" hidden="1">
      <c r="A64" s="61">
        <v>22</v>
      </c>
      <c r="B64" s="61"/>
      <c r="C64" s="61"/>
      <c r="D64" s="61"/>
      <c r="E64" s="61"/>
      <c r="F64" s="61"/>
      <c r="G64" s="61"/>
      <c r="H64" s="61"/>
      <c r="I64" s="61"/>
      <c r="J64" s="61"/>
      <c r="K64" s="61"/>
      <c r="L64" s="61"/>
      <c r="M64" s="61"/>
      <c r="N64" s="61"/>
      <c r="O64" s="61"/>
      <c r="P64" s="61"/>
      <c r="Q64" s="61"/>
      <c r="R64" s="61"/>
      <c r="S64" s="61"/>
      <c r="T64" s="138"/>
      <c r="U64" s="61"/>
      <c r="V64" s="61"/>
      <c r="W64" s="61"/>
      <c r="X64" s="61"/>
      <c r="Y64" s="61"/>
    </row>
    <row r="65" spans="1:25" hidden="1">
      <c r="A65" s="61">
        <v>23</v>
      </c>
      <c r="B65" s="59"/>
      <c r="C65" s="59"/>
      <c r="D65" s="59"/>
      <c r="E65" s="59"/>
      <c r="F65" s="59"/>
      <c r="G65" s="59"/>
      <c r="H65" s="59"/>
      <c r="I65" s="59"/>
      <c r="J65" s="59"/>
      <c r="K65" s="59"/>
      <c r="L65" s="59"/>
      <c r="M65" s="59"/>
      <c r="N65" s="59"/>
      <c r="O65" s="59"/>
      <c r="P65" s="59"/>
      <c r="Q65" s="59"/>
      <c r="R65" s="59"/>
      <c r="S65" s="59"/>
      <c r="T65" s="60"/>
      <c r="U65" s="59"/>
      <c r="V65" s="59"/>
      <c r="W65" s="59"/>
      <c r="X65" s="59"/>
      <c r="Y65" s="59"/>
    </row>
    <row r="66" spans="1:25" hidden="1">
      <c r="A66" s="61">
        <v>24</v>
      </c>
      <c r="B66" s="59"/>
      <c r="C66" s="59"/>
      <c r="D66" s="59"/>
      <c r="E66" s="59"/>
      <c r="F66" s="59"/>
      <c r="G66" s="59"/>
      <c r="H66" s="59"/>
      <c r="I66" s="59"/>
      <c r="J66" s="59"/>
      <c r="K66" s="59"/>
      <c r="L66" s="59"/>
      <c r="M66" s="59"/>
      <c r="N66" s="59"/>
      <c r="O66" s="59"/>
      <c r="P66" s="59"/>
      <c r="Q66" s="59"/>
      <c r="R66" s="59"/>
      <c r="S66" s="59"/>
      <c r="T66" s="60"/>
      <c r="U66" s="59"/>
      <c r="V66" s="59"/>
      <c r="W66" s="59"/>
      <c r="X66" s="59"/>
      <c r="Y66" s="59"/>
    </row>
    <row r="67" spans="1:25" hidden="1">
      <c r="A67" s="61">
        <v>25</v>
      </c>
      <c r="B67" s="59"/>
      <c r="C67" s="59"/>
      <c r="D67" s="59"/>
      <c r="E67" s="59"/>
      <c r="F67" s="59"/>
      <c r="G67" s="59"/>
      <c r="H67" s="59"/>
      <c r="I67" s="59"/>
      <c r="J67" s="59"/>
      <c r="K67" s="59"/>
      <c r="L67" s="59"/>
      <c r="M67" s="59"/>
      <c r="N67" s="59"/>
      <c r="O67" s="59"/>
      <c r="P67" s="59"/>
      <c r="Q67" s="59"/>
      <c r="R67" s="59"/>
      <c r="S67" s="59"/>
      <c r="T67" s="60"/>
      <c r="U67" s="59"/>
      <c r="V67" s="59"/>
      <c r="W67" s="59"/>
      <c r="X67" s="59"/>
      <c r="Y67" s="59"/>
    </row>
    <row r="68" spans="1:25" hidden="1">
      <c r="A68" s="61">
        <v>26</v>
      </c>
      <c r="B68" s="59"/>
      <c r="C68" s="59"/>
      <c r="D68" s="59"/>
      <c r="E68" s="59"/>
      <c r="F68" s="59"/>
      <c r="G68" s="59"/>
      <c r="H68" s="59"/>
      <c r="I68" s="59"/>
      <c r="J68" s="59"/>
      <c r="K68" s="59"/>
      <c r="L68" s="59"/>
      <c r="M68" s="59"/>
      <c r="N68" s="59"/>
      <c r="O68" s="59"/>
      <c r="P68" s="59"/>
      <c r="Q68" s="59"/>
      <c r="R68" s="59"/>
      <c r="S68" s="59"/>
      <c r="T68" s="60"/>
      <c r="U68" s="59"/>
      <c r="V68" s="59"/>
      <c r="W68" s="59"/>
      <c r="X68" s="59"/>
      <c r="Y68" s="59"/>
    </row>
    <row r="69" spans="1:25" hidden="1">
      <c r="A69" s="61">
        <v>27</v>
      </c>
      <c r="B69" s="59"/>
      <c r="C69" s="59"/>
      <c r="D69" s="59"/>
      <c r="E69" s="59"/>
      <c r="F69" s="59"/>
      <c r="G69" s="59"/>
      <c r="H69" s="59"/>
      <c r="I69" s="59"/>
      <c r="J69" s="59"/>
      <c r="K69" s="59"/>
      <c r="L69" s="59"/>
      <c r="M69" s="59"/>
      <c r="N69" s="59"/>
      <c r="O69" s="59"/>
      <c r="P69" s="59"/>
      <c r="Q69" s="59"/>
      <c r="R69" s="59"/>
      <c r="S69" s="59"/>
      <c r="T69" s="60"/>
      <c r="U69" s="59"/>
      <c r="V69" s="59"/>
      <c r="W69" s="59"/>
      <c r="X69" s="59"/>
      <c r="Y69" s="59"/>
    </row>
    <row r="70" spans="1:25" hidden="1">
      <c r="A70" s="61">
        <v>28</v>
      </c>
      <c r="B70" s="59"/>
      <c r="C70" s="59"/>
      <c r="D70" s="59"/>
      <c r="E70" s="59"/>
      <c r="F70" s="59"/>
      <c r="G70" s="59"/>
      <c r="H70" s="59"/>
      <c r="I70" s="59"/>
      <c r="J70" s="59"/>
      <c r="K70" s="59"/>
      <c r="L70" s="59"/>
      <c r="M70" s="59"/>
      <c r="N70" s="59"/>
      <c r="O70" s="59"/>
      <c r="P70" s="59"/>
      <c r="Q70" s="59"/>
      <c r="R70" s="59"/>
      <c r="S70" s="59"/>
      <c r="T70" s="60"/>
      <c r="U70" s="59"/>
      <c r="V70" s="59"/>
      <c r="W70" s="59"/>
      <c r="X70" s="59"/>
      <c r="Y70" s="59"/>
    </row>
    <row r="71" spans="1:25" hidden="1">
      <c r="A71" s="61">
        <v>29</v>
      </c>
      <c r="B71" s="59"/>
      <c r="C71" s="59"/>
      <c r="D71" s="59"/>
      <c r="E71" s="59"/>
      <c r="F71" s="59"/>
      <c r="G71" s="59"/>
      <c r="H71" s="59"/>
      <c r="I71" s="59"/>
      <c r="J71" s="59"/>
      <c r="K71" s="59"/>
      <c r="L71" s="59"/>
      <c r="M71" s="59"/>
      <c r="N71" s="59"/>
      <c r="O71" s="59"/>
      <c r="P71" s="59"/>
      <c r="Q71" s="59"/>
      <c r="R71" s="59"/>
      <c r="S71" s="59"/>
      <c r="T71" s="60"/>
      <c r="U71" s="59"/>
      <c r="V71" s="59"/>
      <c r="W71" s="59"/>
      <c r="X71" s="59"/>
      <c r="Y71" s="59"/>
    </row>
    <row r="72" spans="1:25" hidden="1">
      <c r="A72" s="61">
        <v>30</v>
      </c>
      <c r="B72" s="59"/>
      <c r="C72" s="59"/>
      <c r="D72" s="59"/>
      <c r="E72" s="59"/>
      <c r="F72" s="59"/>
      <c r="G72" s="59"/>
      <c r="H72" s="59"/>
      <c r="I72" s="59"/>
      <c r="J72" s="59"/>
      <c r="K72" s="59"/>
      <c r="L72" s="59"/>
      <c r="M72" s="59"/>
      <c r="N72" s="59"/>
      <c r="O72" s="59"/>
      <c r="P72" s="59"/>
      <c r="Q72" s="59"/>
      <c r="R72" s="59"/>
      <c r="S72" s="59"/>
      <c r="T72" s="60"/>
      <c r="U72" s="59"/>
      <c r="V72" s="59"/>
      <c r="W72" s="59"/>
      <c r="X72" s="59"/>
      <c r="Y72" s="59"/>
    </row>
    <row r="73" spans="1:25" hidden="1">
      <c r="A73" s="61">
        <v>31</v>
      </c>
      <c r="B73" s="59"/>
      <c r="C73" s="59"/>
      <c r="D73" s="59"/>
      <c r="E73" s="59"/>
      <c r="F73" s="59"/>
      <c r="G73" s="59"/>
      <c r="H73" s="59"/>
      <c r="I73" s="59"/>
      <c r="J73" s="59"/>
      <c r="K73" s="59"/>
      <c r="L73" s="59"/>
      <c r="M73" s="59"/>
      <c r="N73" s="59"/>
      <c r="O73" s="59"/>
      <c r="P73" s="59"/>
      <c r="Q73" s="59"/>
      <c r="R73" s="59"/>
      <c r="S73" s="59"/>
      <c r="T73" s="60"/>
      <c r="U73" s="59"/>
      <c r="V73" s="59"/>
      <c r="W73" s="59"/>
      <c r="X73" s="59"/>
      <c r="Y73" s="59"/>
    </row>
    <row r="74" spans="1:25" hidden="1">
      <c r="A74" s="61">
        <v>32</v>
      </c>
      <c r="B74" s="59"/>
      <c r="C74" s="59"/>
      <c r="D74" s="59"/>
      <c r="E74" s="59"/>
      <c r="F74" s="59"/>
      <c r="G74" s="59"/>
      <c r="H74" s="59"/>
      <c r="I74" s="59"/>
      <c r="J74" s="59"/>
      <c r="K74" s="59"/>
      <c r="L74" s="59"/>
      <c r="M74" s="59"/>
      <c r="N74" s="59"/>
      <c r="O74" s="59"/>
      <c r="P74" s="59"/>
      <c r="Q74" s="59"/>
      <c r="R74" s="59"/>
      <c r="S74" s="59"/>
      <c r="T74" s="60"/>
      <c r="U74" s="59"/>
      <c r="V74" s="59"/>
      <c r="W74" s="59"/>
      <c r="X74" s="59"/>
      <c r="Y74" s="59"/>
    </row>
    <row r="75" spans="1:25" hidden="1">
      <c r="A75" s="61">
        <v>33</v>
      </c>
      <c r="B75" s="59"/>
      <c r="C75" s="59"/>
      <c r="D75" s="59"/>
      <c r="E75" s="59"/>
      <c r="F75" s="59"/>
      <c r="G75" s="59"/>
      <c r="H75" s="59"/>
      <c r="I75" s="59"/>
      <c r="J75" s="59"/>
      <c r="K75" s="59"/>
      <c r="L75" s="59"/>
      <c r="M75" s="59"/>
      <c r="N75" s="59"/>
      <c r="O75" s="59"/>
      <c r="P75" s="59"/>
      <c r="Q75" s="59"/>
      <c r="R75" s="59"/>
      <c r="S75" s="59"/>
      <c r="T75" s="60"/>
      <c r="U75" s="59"/>
      <c r="V75" s="59"/>
      <c r="W75" s="59"/>
      <c r="X75" s="59"/>
      <c r="Y75" s="59"/>
    </row>
    <row r="76" spans="1:25" hidden="1">
      <c r="A76" s="61">
        <v>34</v>
      </c>
      <c r="B76" s="59"/>
      <c r="C76" s="59"/>
      <c r="D76" s="59"/>
      <c r="E76" s="59"/>
      <c r="F76" s="59"/>
      <c r="G76" s="59"/>
      <c r="H76" s="59"/>
      <c r="I76" s="59"/>
      <c r="J76" s="59"/>
      <c r="K76" s="59"/>
      <c r="L76" s="59"/>
      <c r="M76" s="59"/>
      <c r="N76" s="59"/>
      <c r="O76" s="59"/>
      <c r="P76" s="59"/>
      <c r="Q76" s="59"/>
      <c r="R76" s="59"/>
      <c r="S76" s="59"/>
      <c r="T76" s="60"/>
      <c r="U76" s="59"/>
      <c r="V76" s="59"/>
      <c r="W76" s="59"/>
      <c r="X76" s="59"/>
      <c r="Y76" s="59"/>
    </row>
    <row r="77" spans="1:25" hidden="1">
      <c r="A77" s="61">
        <v>35</v>
      </c>
      <c r="B77" s="59"/>
      <c r="C77" s="59"/>
      <c r="D77" s="59"/>
      <c r="E77" s="59"/>
      <c r="F77" s="59"/>
      <c r="G77" s="59"/>
      <c r="H77" s="59"/>
      <c r="I77" s="59"/>
      <c r="J77" s="59"/>
      <c r="K77" s="59"/>
      <c r="L77" s="59"/>
      <c r="M77" s="59"/>
      <c r="N77" s="59"/>
      <c r="O77" s="59"/>
      <c r="P77" s="59"/>
      <c r="Q77" s="59"/>
      <c r="R77" s="59"/>
      <c r="S77" s="59"/>
      <c r="T77" s="60"/>
      <c r="U77" s="59"/>
      <c r="V77" s="59"/>
      <c r="W77" s="59"/>
      <c r="X77" s="59"/>
      <c r="Y77" s="59"/>
    </row>
    <row r="78" spans="1:25" hidden="1">
      <c r="A78" s="61">
        <v>36</v>
      </c>
    </row>
    <row r="79" spans="1:25" hidden="1">
      <c r="A79" s="61">
        <v>37</v>
      </c>
    </row>
    <row r="80" spans="1:25" hidden="1">
      <c r="A80" s="61">
        <v>38</v>
      </c>
    </row>
    <row r="81" spans="1:1" hidden="1">
      <c r="A81" s="61">
        <v>39</v>
      </c>
    </row>
    <row r="82" spans="1:1" hidden="1">
      <c r="A82" s="61">
        <v>40</v>
      </c>
    </row>
    <row r="83" spans="1:1" hidden="1">
      <c r="A83" s="61">
        <v>41</v>
      </c>
    </row>
    <row r="84" spans="1:1" hidden="1">
      <c r="A84" s="61">
        <v>42</v>
      </c>
    </row>
    <row r="85" spans="1:1" hidden="1">
      <c r="A85" s="61">
        <v>43</v>
      </c>
    </row>
    <row r="86" spans="1:1" hidden="1">
      <c r="A86" s="61">
        <v>44</v>
      </c>
    </row>
    <row r="87" spans="1:1" hidden="1">
      <c r="A87" s="61">
        <v>45</v>
      </c>
    </row>
    <row r="88" spans="1:1" hidden="1">
      <c r="A88" s="61">
        <v>46</v>
      </c>
    </row>
    <row r="89" spans="1:1" hidden="1">
      <c r="A89" s="61">
        <v>47</v>
      </c>
    </row>
    <row r="90" spans="1:1" hidden="1">
      <c r="A90" s="61">
        <v>48</v>
      </c>
    </row>
    <row r="91" spans="1:1" hidden="1">
      <c r="A91" s="61">
        <v>49</v>
      </c>
    </row>
  </sheetData>
  <sheetProtection algorithmName="SHA-512" hashValue="fM6Hc5RH3FFkv9LwrAWJfzXJo274EQk2ZG5BoQk6nF9/fNNOH93Cpz5Dp7dgtPqEk1PLlvZp0B/weogzlVVgXw==" saltValue="v+bUMV14afS/RWOCBifW9w==" spinCount="100000" sheet="1" selectLockedCells="1"/>
  <protectedRanges>
    <protectedRange sqref="E34:F36" name="Range15"/>
    <protectedRange sqref="N34:O36" name="Range14"/>
    <protectedRange sqref="G9:M9 Q9 T27 T25 R8:T9 E8:M8 N8:N9 O8:Q8 C8:D9 T10:T12 A7:K7" name="Range1"/>
    <protectedRange sqref="T17:T20" name="Range3"/>
    <protectedRange sqref="F25:O25 T22:T24" name="Range5"/>
    <protectedRange sqref="K30:K31" name="Range9"/>
    <protectedRange sqref="E33:I33" name="Range10"/>
    <protectedRange sqref="R33:S33" name="Range11"/>
    <protectedRange sqref="P25" name="Range5_4"/>
    <protectedRange sqref="Q16:S24" name="Range5_1"/>
    <protectedRange sqref="N16:P24" name="Range5_2"/>
    <protectedRange sqref="P27 P12" name="Range1_1"/>
    <protectedRange sqref="P9" name="Range1_2"/>
  </protectedRanges>
  <mergeCells count="62">
    <mergeCell ref="Q29:S29"/>
    <mergeCell ref="V29:Z29"/>
    <mergeCell ref="Q25:S25"/>
    <mergeCell ref="B26:J26"/>
    <mergeCell ref="K27:M27"/>
    <mergeCell ref="Q27:S27"/>
    <mergeCell ref="V27:Z27"/>
    <mergeCell ref="B28:F28"/>
    <mergeCell ref="C23:J23"/>
    <mergeCell ref="K23:M23"/>
    <mergeCell ref="N23:P23"/>
    <mergeCell ref="Q23:S23"/>
    <mergeCell ref="C24:J24"/>
    <mergeCell ref="K24:M24"/>
    <mergeCell ref="N24:P24"/>
    <mergeCell ref="Q24:S24"/>
    <mergeCell ref="C21:J21"/>
    <mergeCell ref="K21:M21"/>
    <mergeCell ref="N21:P21"/>
    <mergeCell ref="Q21:S21"/>
    <mergeCell ref="C22:J22"/>
    <mergeCell ref="K22:M22"/>
    <mergeCell ref="N22:P22"/>
    <mergeCell ref="Q22:S22"/>
    <mergeCell ref="Q19:S19"/>
    <mergeCell ref="C20:J20"/>
    <mergeCell ref="K20:M20"/>
    <mergeCell ref="N20:P20"/>
    <mergeCell ref="Q20:S20"/>
    <mergeCell ref="C16:J16"/>
    <mergeCell ref="K16:M16"/>
    <mergeCell ref="N16:P16"/>
    <mergeCell ref="Q16:S16"/>
    <mergeCell ref="V16:Z24"/>
    <mergeCell ref="C17:J17"/>
    <mergeCell ref="K17:M17"/>
    <mergeCell ref="N17:P17"/>
    <mergeCell ref="Q17:S17"/>
    <mergeCell ref="C18:J18"/>
    <mergeCell ref="K18:M18"/>
    <mergeCell ref="N18:P18"/>
    <mergeCell ref="Q18:S18"/>
    <mergeCell ref="C19:J19"/>
    <mergeCell ref="K19:M19"/>
    <mergeCell ref="N19:P19"/>
    <mergeCell ref="V12:Z12"/>
    <mergeCell ref="B13:H13"/>
    <mergeCell ref="C15:J15"/>
    <mergeCell ref="K15:M15"/>
    <mergeCell ref="N15:P15"/>
    <mergeCell ref="Q15:S15"/>
    <mergeCell ref="Q14:S14"/>
    <mergeCell ref="B4:S5"/>
    <mergeCell ref="L7:S7"/>
    <mergeCell ref="B8:O8"/>
    <mergeCell ref="K9:M9"/>
    <mergeCell ref="Q9:S9"/>
    <mergeCell ref="B10:G10"/>
    <mergeCell ref="Q10:S10"/>
    <mergeCell ref="B11:N11"/>
    <mergeCell ref="K12:M12"/>
    <mergeCell ref="Q12:S12"/>
  </mergeCells>
  <dataValidations count="1">
    <dataValidation type="list" allowBlank="1" showErrorMessage="1" errorTitle="Incorrect input" error="Please select the year by pushing the drop-down arrow and clicking the correct year" prompt="Select the year" sqref="WVJ983056:WVJ983064 IX16:IX24 ST16:ST24 ACP16:ACP24 AML16:AML24 AWH16:AWH24 BGD16:BGD24 BPZ16:BPZ24 BZV16:BZV24 CJR16:CJR24 CTN16:CTN24 DDJ16:DDJ24 DNF16:DNF24 DXB16:DXB24 EGX16:EGX24 EQT16:EQT24 FAP16:FAP24 FKL16:FKL24 FUH16:FUH24 GED16:GED24 GNZ16:GNZ24 GXV16:GXV24 HHR16:HHR24 HRN16:HRN24 IBJ16:IBJ24 ILF16:ILF24 IVB16:IVB24 JEX16:JEX24 JOT16:JOT24 JYP16:JYP24 KIL16:KIL24 KSH16:KSH24 LCD16:LCD24 LLZ16:LLZ24 LVV16:LVV24 MFR16:MFR24 MPN16:MPN24 MZJ16:MZJ24 NJF16:NJF24 NTB16:NTB24 OCX16:OCX24 OMT16:OMT24 OWP16:OWP24 PGL16:PGL24 PQH16:PQH24 QAD16:QAD24 QJZ16:QJZ24 QTV16:QTV24 RDR16:RDR24 RNN16:RNN24 RXJ16:RXJ24 SHF16:SHF24 SRB16:SRB24 TAX16:TAX24 TKT16:TKT24 TUP16:TUP24 UEL16:UEL24 UOH16:UOH24 UYD16:UYD24 VHZ16:VHZ24 VRV16:VRV24 WBR16:WBR24 WLN16:WLN24 WVJ16:WVJ24 B65552:B65560 IX65552:IX65560 ST65552:ST65560 ACP65552:ACP65560 AML65552:AML65560 AWH65552:AWH65560 BGD65552:BGD65560 BPZ65552:BPZ65560 BZV65552:BZV65560 CJR65552:CJR65560 CTN65552:CTN65560 DDJ65552:DDJ65560 DNF65552:DNF65560 DXB65552:DXB65560 EGX65552:EGX65560 EQT65552:EQT65560 FAP65552:FAP65560 FKL65552:FKL65560 FUH65552:FUH65560 GED65552:GED65560 GNZ65552:GNZ65560 GXV65552:GXV65560 HHR65552:HHR65560 HRN65552:HRN65560 IBJ65552:IBJ65560 ILF65552:ILF65560 IVB65552:IVB65560 JEX65552:JEX65560 JOT65552:JOT65560 JYP65552:JYP65560 KIL65552:KIL65560 KSH65552:KSH65560 LCD65552:LCD65560 LLZ65552:LLZ65560 LVV65552:LVV65560 MFR65552:MFR65560 MPN65552:MPN65560 MZJ65552:MZJ65560 NJF65552:NJF65560 NTB65552:NTB65560 OCX65552:OCX65560 OMT65552:OMT65560 OWP65552:OWP65560 PGL65552:PGL65560 PQH65552:PQH65560 QAD65552:QAD65560 QJZ65552:QJZ65560 QTV65552:QTV65560 RDR65552:RDR65560 RNN65552:RNN65560 RXJ65552:RXJ65560 SHF65552:SHF65560 SRB65552:SRB65560 TAX65552:TAX65560 TKT65552:TKT65560 TUP65552:TUP65560 UEL65552:UEL65560 UOH65552:UOH65560 UYD65552:UYD65560 VHZ65552:VHZ65560 VRV65552:VRV65560 WBR65552:WBR65560 WLN65552:WLN65560 WVJ65552:WVJ65560 B131088:B131096 IX131088:IX131096 ST131088:ST131096 ACP131088:ACP131096 AML131088:AML131096 AWH131088:AWH131096 BGD131088:BGD131096 BPZ131088:BPZ131096 BZV131088:BZV131096 CJR131088:CJR131096 CTN131088:CTN131096 DDJ131088:DDJ131096 DNF131088:DNF131096 DXB131088:DXB131096 EGX131088:EGX131096 EQT131088:EQT131096 FAP131088:FAP131096 FKL131088:FKL131096 FUH131088:FUH131096 GED131088:GED131096 GNZ131088:GNZ131096 GXV131088:GXV131096 HHR131088:HHR131096 HRN131088:HRN131096 IBJ131088:IBJ131096 ILF131088:ILF131096 IVB131088:IVB131096 JEX131088:JEX131096 JOT131088:JOT131096 JYP131088:JYP131096 KIL131088:KIL131096 KSH131088:KSH131096 LCD131088:LCD131096 LLZ131088:LLZ131096 LVV131088:LVV131096 MFR131088:MFR131096 MPN131088:MPN131096 MZJ131088:MZJ131096 NJF131088:NJF131096 NTB131088:NTB131096 OCX131088:OCX131096 OMT131088:OMT131096 OWP131088:OWP131096 PGL131088:PGL131096 PQH131088:PQH131096 QAD131088:QAD131096 QJZ131088:QJZ131096 QTV131088:QTV131096 RDR131088:RDR131096 RNN131088:RNN131096 RXJ131088:RXJ131096 SHF131088:SHF131096 SRB131088:SRB131096 TAX131088:TAX131096 TKT131088:TKT131096 TUP131088:TUP131096 UEL131088:UEL131096 UOH131088:UOH131096 UYD131088:UYD131096 VHZ131088:VHZ131096 VRV131088:VRV131096 WBR131088:WBR131096 WLN131088:WLN131096 WVJ131088:WVJ131096 B196624:B196632 IX196624:IX196632 ST196624:ST196632 ACP196624:ACP196632 AML196624:AML196632 AWH196624:AWH196632 BGD196624:BGD196632 BPZ196624:BPZ196632 BZV196624:BZV196632 CJR196624:CJR196632 CTN196624:CTN196632 DDJ196624:DDJ196632 DNF196624:DNF196632 DXB196624:DXB196632 EGX196624:EGX196632 EQT196624:EQT196632 FAP196624:FAP196632 FKL196624:FKL196632 FUH196624:FUH196632 GED196624:GED196632 GNZ196624:GNZ196632 GXV196624:GXV196632 HHR196624:HHR196632 HRN196624:HRN196632 IBJ196624:IBJ196632 ILF196624:ILF196632 IVB196624:IVB196632 JEX196624:JEX196632 JOT196624:JOT196632 JYP196624:JYP196632 KIL196624:KIL196632 KSH196624:KSH196632 LCD196624:LCD196632 LLZ196624:LLZ196632 LVV196624:LVV196632 MFR196624:MFR196632 MPN196624:MPN196632 MZJ196624:MZJ196632 NJF196624:NJF196632 NTB196624:NTB196632 OCX196624:OCX196632 OMT196624:OMT196632 OWP196624:OWP196632 PGL196624:PGL196632 PQH196624:PQH196632 QAD196624:QAD196632 QJZ196624:QJZ196632 QTV196624:QTV196632 RDR196624:RDR196632 RNN196624:RNN196632 RXJ196624:RXJ196632 SHF196624:SHF196632 SRB196624:SRB196632 TAX196624:TAX196632 TKT196624:TKT196632 TUP196624:TUP196632 UEL196624:UEL196632 UOH196624:UOH196632 UYD196624:UYD196632 VHZ196624:VHZ196632 VRV196624:VRV196632 WBR196624:WBR196632 WLN196624:WLN196632 WVJ196624:WVJ196632 B262160:B262168 IX262160:IX262168 ST262160:ST262168 ACP262160:ACP262168 AML262160:AML262168 AWH262160:AWH262168 BGD262160:BGD262168 BPZ262160:BPZ262168 BZV262160:BZV262168 CJR262160:CJR262168 CTN262160:CTN262168 DDJ262160:DDJ262168 DNF262160:DNF262168 DXB262160:DXB262168 EGX262160:EGX262168 EQT262160:EQT262168 FAP262160:FAP262168 FKL262160:FKL262168 FUH262160:FUH262168 GED262160:GED262168 GNZ262160:GNZ262168 GXV262160:GXV262168 HHR262160:HHR262168 HRN262160:HRN262168 IBJ262160:IBJ262168 ILF262160:ILF262168 IVB262160:IVB262168 JEX262160:JEX262168 JOT262160:JOT262168 JYP262160:JYP262168 KIL262160:KIL262168 KSH262160:KSH262168 LCD262160:LCD262168 LLZ262160:LLZ262168 LVV262160:LVV262168 MFR262160:MFR262168 MPN262160:MPN262168 MZJ262160:MZJ262168 NJF262160:NJF262168 NTB262160:NTB262168 OCX262160:OCX262168 OMT262160:OMT262168 OWP262160:OWP262168 PGL262160:PGL262168 PQH262160:PQH262168 QAD262160:QAD262168 QJZ262160:QJZ262168 QTV262160:QTV262168 RDR262160:RDR262168 RNN262160:RNN262168 RXJ262160:RXJ262168 SHF262160:SHF262168 SRB262160:SRB262168 TAX262160:TAX262168 TKT262160:TKT262168 TUP262160:TUP262168 UEL262160:UEL262168 UOH262160:UOH262168 UYD262160:UYD262168 VHZ262160:VHZ262168 VRV262160:VRV262168 WBR262160:WBR262168 WLN262160:WLN262168 WVJ262160:WVJ262168 B327696:B327704 IX327696:IX327704 ST327696:ST327704 ACP327696:ACP327704 AML327696:AML327704 AWH327696:AWH327704 BGD327696:BGD327704 BPZ327696:BPZ327704 BZV327696:BZV327704 CJR327696:CJR327704 CTN327696:CTN327704 DDJ327696:DDJ327704 DNF327696:DNF327704 DXB327696:DXB327704 EGX327696:EGX327704 EQT327696:EQT327704 FAP327696:FAP327704 FKL327696:FKL327704 FUH327696:FUH327704 GED327696:GED327704 GNZ327696:GNZ327704 GXV327696:GXV327704 HHR327696:HHR327704 HRN327696:HRN327704 IBJ327696:IBJ327704 ILF327696:ILF327704 IVB327696:IVB327704 JEX327696:JEX327704 JOT327696:JOT327704 JYP327696:JYP327704 KIL327696:KIL327704 KSH327696:KSH327704 LCD327696:LCD327704 LLZ327696:LLZ327704 LVV327696:LVV327704 MFR327696:MFR327704 MPN327696:MPN327704 MZJ327696:MZJ327704 NJF327696:NJF327704 NTB327696:NTB327704 OCX327696:OCX327704 OMT327696:OMT327704 OWP327696:OWP327704 PGL327696:PGL327704 PQH327696:PQH327704 QAD327696:QAD327704 QJZ327696:QJZ327704 QTV327696:QTV327704 RDR327696:RDR327704 RNN327696:RNN327704 RXJ327696:RXJ327704 SHF327696:SHF327704 SRB327696:SRB327704 TAX327696:TAX327704 TKT327696:TKT327704 TUP327696:TUP327704 UEL327696:UEL327704 UOH327696:UOH327704 UYD327696:UYD327704 VHZ327696:VHZ327704 VRV327696:VRV327704 WBR327696:WBR327704 WLN327696:WLN327704 WVJ327696:WVJ327704 B393232:B393240 IX393232:IX393240 ST393232:ST393240 ACP393232:ACP393240 AML393232:AML393240 AWH393232:AWH393240 BGD393232:BGD393240 BPZ393232:BPZ393240 BZV393232:BZV393240 CJR393232:CJR393240 CTN393232:CTN393240 DDJ393232:DDJ393240 DNF393232:DNF393240 DXB393232:DXB393240 EGX393232:EGX393240 EQT393232:EQT393240 FAP393232:FAP393240 FKL393232:FKL393240 FUH393232:FUH393240 GED393232:GED393240 GNZ393232:GNZ393240 GXV393232:GXV393240 HHR393232:HHR393240 HRN393232:HRN393240 IBJ393232:IBJ393240 ILF393232:ILF393240 IVB393232:IVB393240 JEX393232:JEX393240 JOT393232:JOT393240 JYP393232:JYP393240 KIL393232:KIL393240 KSH393232:KSH393240 LCD393232:LCD393240 LLZ393232:LLZ393240 LVV393232:LVV393240 MFR393232:MFR393240 MPN393232:MPN393240 MZJ393232:MZJ393240 NJF393232:NJF393240 NTB393232:NTB393240 OCX393232:OCX393240 OMT393232:OMT393240 OWP393232:OWP393240 PGL393232:PGL393240 PQH393232:PQH393240 QAD393232:QAD393240 QJZ393232:QJZ393240 QTV393232:QTV393240 RDR393232:RDR393240 RNN393232:RNN393240 RXJ393232:RXJ393240 SHF393232:SHF393240 SRB393232:SRB393240 TAX393232:TAX393240 TKT393232:TKT393240 TUP393232:TUP393240 UEL393232:UEL393240 UOH393232:UOH393240 UYD393232:UYD393240 VHZ393232:VHZ393240 VRV393232:VRV393240 WBR393232:WBR393240 WLN393232:WLN393240 WVJ393232:WVJ393240 B458768:B458776 IX458768:IX458776 ST458768:ST458776 ACP458768:ACP458776 AML458768:AML458776 AWH458768:AWH458776 BGD458768:BGD458776 BPZ458768:BPZ458776 BZV458768:BZV458776 CJR458768:CJR458776 CTN458768:CTN458776 DDJ458768:DDJ458776 DNF458768:DNF458776 DXB458768:DXB458776 EGX458768:EGX458776 EQT458768:EQT458776 FAP458768:FAP458776 FKL458768:FKL458776 FUH458768:FUH458776 GED458768:GED458776 GNZ458768:GNZ458776 GXV458768:GXV458776 HHR458768:HHR458776 HRN458768:HRN458776 IBJ458768:IBJ458776 ILF458768:ILF458776 IVB458768:IVB458776 JEX458768:JEX458776 JOT458768:JOT458776 JYP458768:JYP458776 KIL458768:KIL458776 KSH458768:KSH458776 LCD458768:LCD458776 LLZ458768:LLZ458776 LVV458768:LVV458776 MFR458768:MFR458776 MPN458768:MPN458776 MZJ458768:MZJ458776 NJF458768:NJF458776 NTB458768:NTB458776 OCX458768:OCX458776 OMT458768:OMT458776 OWP458768:OWP458776 PGL458768:PGL458776 PQH458768:PQH458776 QAD458768:QAD458776 QJZ458768:QJZ458776 QTV458768:QTV458776 RDR458768:RDR458776 RNN458768:RNN458776 RXJ458768:RXJ458776 SHF458768:SHF458776 SRB458768:SRB458776 TAX458768:TAX458776 TKT458768:TKT458776 TUP458768:TUP458776 UEL458768:UEL458776 UOH458768:UOH458776 UYD458768:UYD458776 VHZ458768:VHZ458776 VRV458768:VRV458776 WBR458768:WBR458776 WLN458768:WLN458776 WVJ458768:WVJ458776 B524304:B524312 IX524304:IX524312 ST524304:ST524312 ACP524304:ACP524312 AML524304:AML524312 AWH524304:AWH524312 BGD524304:BGD524312 BPZ524304:BPZ524312 BZV524304:BZV524312 CJR524304:CJR524312 CTN524304:CTN524312 DDJ524304:DDJ524312 DNF524304:DNF524312 DXB524304:DXB524312 EGX524304:EGX524312 EQT524304:EQT524312 FAP524304:FAP524312 FKL524304:FKL524312 FUH524304:FUH524312 GED524304:GED524312 GNZ524304:GNZ524312 GXV524304:GXV524312 HHR524304:HHR524312 HRN524304:HRN524312 IBJ524304:IBJ524312 ILF524304:ILF524312 IVB524304:IVB524312 JEX524304:JEX524312 JOT524304:JOT524312 JYP524304:JYP524312 KIL524304:KIL524312 KSH524304:KSH524312 LCD524304:LCD524312 LLZ524304:LLZ524312 LVV524304:LVV524312 MFR524304:MFR524312 MPN524304:MPN524312 MZJ524304:MZJ524312 NJF524304:NJF524312 NTB524304:NTB524312 OCX524304:OCX524312 OMT524304:OMT524312 OWP524304:OWP524312 PGL524304:PGL524312 PQH524304:PQH524312 QAD524304:QAD524312 QJZ524304:QJZ524312 QTV524304:QTV524312 RDR524304:RDR524312 RNN524304:RNN524312 RXJ524304:RXJ524312 SHF524304:SHF524312 SRB524304:SRB524312 TAX524304:TAX524312 TKT524304:TKT524312 TUP524304:TUP524312 UEL524304:UEL524312 UOH524304:UOH524312 UYD524304:UYD524312 VHZ524304:VHZ524312 VRV524304:VRV524312 WBR524304:WBR524312 WLN524304:WLN524312 WVJ524304:WVJ524312 B589840:B589848 IX589840:IX589848 ST589840:ST589848 ACP589840:ACP589848 AML589840:AML589848 AWH589840:AWH589848 BGD589840:BGD589848 BPZ589840:BPZ589848 BZV589840:BZV589848 CJR589840:CJR589848 CTN589840:CTN589848 DDJ589840:DDJ589848 DNF589840:DNF589848 DXB589840:DXB589848 EGX589840:EGX589848 EQT589840:EQT589848 FAP589840:FAP589848 FKL589840:FKL589848 FUH589840:FUH589848 GED589840:GED589848 GNZ589840:GNZ589848 GXV589840:GXV589848 HHR589840:HHR589848 HRN589840:HRN589848 IBJ589840:IBJ589848 ILF589840:ILF589848 IVB589840:IVB589848 JEX589840:JEX589848 JOT589840:JOT589848 JYP589840:JYP589848 KIL589840:KIL589848 KSH589840:KSH589848 LCD589840:LCD589848 LLZ589840:LLZ589848 LVV589840:LVV589848 MFR589840:MFR589848 MPN589840:MPN589848 MZJ589840:MZJ589848 NJF589840:NJF589848 NTB589840:NTB589848 OCX589840:OCX589848 OMT589840:OMT589848 OWP589840:OWP589848 PGL589840:PGL589848 PQH589840:PQH589848 QAD589840:QAD589848 QJZ589840:QJZ589848 QTV589840:QTV589848 RDR589840:RDR589848 RNN589840:RNN589848 RXJ589840:RXJ589848 SHF589840:SHF589848 SRB589840:SRB589848 TAX589840:TAX589848 TKT589840:TKT589848 TUP589840:TUP589848 UEL589840:UEL589848 UOH589840:UOH589848 UYD589840:UYD589848 VHZ589840:VHZ589848 VRV589840:VRV589848 WBR589840:WBR589848 WLN589840:WLN589848 WVJ589840:WVJ589848 B655376:B655384 IX655376:IX655384 ST655376:ST655384 ACP655376:ACP655384 AML655376:AML655384 AWH655376:AWH655384 BGD655376:BGD655384 BPZ655376:BPZ655384 BZV655376:BZV655384 CJR655376:CJR655384 CTN655376:CTN655384 DDJ655376:DDJ655384 DNF655376:DNF655384 DXB655376:DXB655384 EGX655376:EGX655384 EQT655376:EQT655384 FAP655376:FAP655384 FKL655376:FKL655384 FUH655376:FUH655384 GED655376:GED655384 GNZ655376:GNZ655384 GXV655376:GXV655384 HHR655376:HHR655384 HRN655376:HRN655384 IBJ655376:IBJ655384 ILF655376:ILF655384 IVB655376:IVB655384 JEX655376:JEX655384 JOT655376:JOT655384 JYP655376:JYP655384 KIL655376:KIL655384 KSH655376:KSH655384 LCD655376:LCD655384 LLZ655376:LLZ655384 LVV655376:LVV655384 MFR655376:MFR655384 MPN655376:MPN655384 MZJ655376:MZJ655384 NJF655376:NJF655384 NTB655376:NTB655384 OCX655376:OCX655384 OMT655376:OMT655384 OWP655376:OWP655384 PGL655376:PGL655384 PQH655376:PQH655384 QAD655376:QAD655384 QJZ655376:QJZ655384 QTV655376:QTV655384 RDR655376:RDR655384 RNN655376:RNN655384 RXJ655376:RXJ655384 SHF655376:SHF655384 SRB655376:SRB655384 TAX655376:TAX655384 TKT655376:TKT655384 TUP655376:TUP655384 UEL655376:UEL655384 UOH655376:UOH655384 UYD655376:UYD655384 VHZ655376:VHZ655384 VRV655376:VRV655384 WBR655376:WBR655384 WLN655376:WLN655384 WVJ655376:WVJ655384 B720912:B720920 IX720912:IX720920 ST720912:ST720920 ACP720912:ACP720920 AML720912:AML720920 AWH720912:AWH720920 BGD720912:BGD720920 BPZ720912:BPZ720920 BZV720912:BZV720920 CJR720912:CJR720920 CTN720912:CTN720920 DDJ720912:DDJ720920 DNF720912:DNF720920 DXB720912:DXB720920 EGX720912:EGX720920 EQT720912:EQT720920 FAP720912:FAP720920 FKL720912:FKL720920 FUH720912:FUH720920 GED720912:GED720920 GNZ720912:GNZ720920 GXV720912:GXV720920 HHR720912:HHR720920 HRN720912:HRN720920 IBJ720912:IBJ720920 ILF720912:ILF720920 IVB720912:IVB720920 JEX720912:JEX720920 JOT720912:JOT720920 JYP720912:JYP720920 KIL720912:KIL720920 KSH720912:KSH720920 LCD720912:LCD720920 LLZ720912:LLZ720920 LVV720912:LVV720920 MFR720912:MFR720920 MPN720912:MPN720920 MZJ720912:MZJ720920 NJF720912:NJF720920 NTB720912:NTB720920 OCX720912:OCX720920 OMT720912:OMT720920 OWP720912:OWP720920 PGL720912:PGL720920 PQH720912:PQH720920 QAD720912:QAD720920 QJZ720912:QJZ720920 QTV720912:QTV720920 RDR720912:RDR720920 RNN720912:RNN720920 RXJ720912:RXJ720920 SHF720912:SHF720920 SRB720912:SRB720920 TAX720912:TAX720920 TKT720912:TKT720920 TUP720912:TUP720920 UEL720912:UEL720920 UOH720912:UOH720920 UYD720912:UYD720920 VHZ720912:VHZ720920 VRV720912:VRV720920 WBR720912:WBR720920 WLN720912:WLN720920 WVJ720912:WVJ720920 B786448:B786456 IX786448:IX786456 ST786448:ST786456 ACP786448:ACP786456 AML786448:AML786456 AWH786448:AWH786456 BGD786448:BGD786456 BPZ786448:BPZ786456 BZV786448:BZV786456 CJR786448:CJR786456 CTN786448:CTN786456 DDJ786448:DDJ786456 DNF786448:DNF786456 DXB786448:DXB786456 EGX786448:EGX786456 EQT786448:EQT786456 FAP786448:FAP786456 FKL786448:FKL786456 FUH786448:FUH786456 GED786448:GED786456 GNZ786448:GNZ786456 GXV786448:GXV786456 HHR786448:HHR786456 HRN786448:HRN786456 IBJ786448:IBJ786456 ILF786448:ILF786456 IVB786448:IVB786456 JEX786448:JEX786456 JOT786448:JOT786456 JYP786448:JYP786456 KIL786448:KIL786456 KSH786448:KSH786456 LCD786448:LCD786456 LLZ786448:LLZ786456 LVV786448:LVV786456 MFR786448:MFR786456 MPN786448:MPN786456 MZJ786448:MZJ786456 NJF786448:NJF786456 NTB786448:NTB786456 OCX786448:OCX786456 OMT786448:OMT786456 OWP786448:OWP786456 PGL786448:PGL786456 PQH786448:PQH786456 QAD786448:QAD786456 QJZ786448:QJZ786456 QTV786448:QTV786456 RDR786448:RDR786456 RNN786448:RNN786456 RXJ786448:RXJ786456 SHF786448:SHF786456 SRB786448:SRB786456 TAX786448:TAX786456 TKT786448:TKT786456 TUP786448:TUP786456 UEL786448:UEL786456 UOH786448:UOH786456 UYD786448:UYD786456 VHZ786448:VHZ786456 VRV786448:VRV786456 WBR786448:WBR786456 WLN786448:WLN786456 WVJ786448:WVJ786456 B851984:B851992 IX851984:IX851992 ST851984:ST851992 ACP851984:ACP851992 AML851984:AML851992 AWH851984:AWH851992 BGD851984:BGD851992 BPZ851984:BPZ851992 BZV851984:BZV851992 CJR851984:CJR851992 CTN851984:CTN851992 DDJ851984:DDJ851992 DNF851984:DNF851992 DXB851984:DXB851992 EGX851984:EGX851992 EQT851984:EQT851992 FAP851984:FAP851992 FKL851984:FKL851992 FUH851984:FUH851992 GED851984:GED851992 GNZ851984:GNZ851992 GXV851984:GXV851992 HHR851984:HHR851992 HRN851984:HRN851992 IBJ851984:IBJ851992 ILF851984:ILF851992 IVB851984:IVB851992 JEX851984:JEX851992 JOT851984:JOT851992 JYP851984:JYP851992 KIL851984:KIL851992 KSH851984:KSH851992 LCD851984:LCD851992 LLZ851984:LLZ851992 LVV851984:LVV851992 MFR851984:MFR851992 MPN851984:MPN851992 MZJ851984:MZJ851992 NJF851984:NJF851992 NTB851984:NTB851992 OCX851984:OCX851992 OMT851984:OMT851992 OWP851984:OWP851992 PGL851984:PGL851992 PQH851984:PQH851992 QAD851984:QAD851992 QJZ851984:QJZ851992 QTV851984:QTV851992 RDR851984:RDR851992 RNN851984:RNN851992 RXJ851984:RXJ851992 SHF851984:SHF851992 SRB851984:SRB851992 TAX851984:TAX851992 TKT851984:TKT851992 TUP851984:TUP851992 UEL851984:UEL851992 UOH851984:UOH851992 UYD851984:UYD851992 VHZ851984:VHZ851992 VRV851984:VRV851992 WBR851984:WBR851992 WLN851984:WLN851992 WVJ851984:WVJ851992 B917520:B917528 IX917520:IX917528 ST917520:ST917528 ACP917520:ACP917528 AML917520:AML917528 AWH917520:AWH917528 BGD917520:BGD917528 BPZ917520:BPZ917528 BZV917520:BZV917528 CJR917520:CJR917528 CTN917520:CTN917528 DDJ917520:DDJ917528 DNF917520:DNF917528 DXB917520:DXB917528 EGX917520:EGX917528 EQT917520:EQT917528 FAP917520:FAP917528 FKL917520:FKL917528 FUH917520:FUH917528 GED917520:GED917528 GNZ917520:GNZ917528 GXV917520:GXV917528 HHR917520:HHR917528 HRN917520:HRN917528 IBJ917520:IBJ917528 ILF917520:ILF917528 IVB917520:IVB917528 JEX917520:JEX917528 JOT917520:JOT917528 JYP917520:JYP917528 KIL917520:KIL917528 KSH917520:KSH917528 LCD917520:LCD917528 LLZ917520:LLZ917528 LVV917520:LVV917528 MFR917520:MFR917528 MPN917520:MPN917528 MZJ917520:MZJ917528 NJF917520:NJF917528 NTB917520:NTB917528 OCX917520:OCX917528 OMT917520:OMT917528 OWP917520:OWP917528 PGL917520:PGL917528 PQH917520:PQH917528 QAD917520:QAD917528 QJZ917520:QJZ917528 QTV917520:QTV917528 RDR917520:RDR917528 RNN917520:RNN917528 RXJ917520:RXJ917528 SHF917520:SHF917528 SRB917520:SRB917528 TAX917520:TAX917528 TKT917520:TKT917528 TUP917520:TUP917528 UEL917520:UEL917528 UOH917520:UOH917528 UYD917520:UYD917528 VHZ917520:VHZ917528 VRV917520:VRV917528 WBR917520:WBR917528 WLN917520:WLN917528 WVJ917520:WVJ917528 B983056:B983064 IX983056:IX983064 ST983056:ST983064 ACP983056:ACP983064 AML983056:AML983064 AWH983056:AWH983064 BGD983056:BGD983064 BPZ983056:BPZ983064 BZV983056:BZV983064 CJR983056:CJR983064 CTN983056:CTN983064 DDJ983056:DDJ983064 DNF983056:DNF983064 DXB983056:DXB983064 EGX983056:EGX983064 EQT983056:EQT983064 FAP983056:FAP983064 FKL983056:FKL983064 FUH983056:FUH983064 GED983056:GED983064 GNZ983056:GNZ983064 GXV983056:GXV983064 HHR983056:HHR983064 HRN983056:HRN983064 IBJ983056:IBJ983064 ILF983056:ILF983064 IVB983056:IVB983064 JEX983056:JEX983064 JOT983056:JOT983064 JYP983056:JYP983064 KIL983056:KIL983064 KSH983056:KSH983064 LCD983056:LCD983064 LLZ983056:LLZ983064 LVV983056:LVV983064 MFR983056:MFR983064 MPN983056:MPN983064 MZJ983056:MZJ983064 NJF983056:NJF983064 NTB983056:NTB983064 OCX983056:OCX983064 OMT983056:OMT983064 OWP983056:OWP983064 PGL983056:PGL983064 PQH983056:PQH983064 QAD983056:QAD983064 QJZ983056:QJZ983064 QTV983056:QTV983064 RDR983056:RDR983064 RNN983056:RNN983064 RXJ983056:RXJ983064 SHF983056:SHF983064 SRB983056:SRB983064 TAX983056:TAX983064 TKT983056:TKT983064 TUP983056:TUP983064 UEL983056:UEL983064 UOH983056:UOH983064 UYD983056:UYD983064 VHZ983056:VHZ983064 VRV983056:VRV983064 WBR983056:WBR983064 WLN983056:WLN983064 B16:B24" xr:uid="{AFCE49C8-4465-4FAE-8C1F-B969403AEFB7}">
      <formula1>$A$42:$A$91</formula1>
    </dataValidation>
  </dataValidations>
  <hyperlinks>
    <hyperlink ref="B4:S5" r:id="rId1" display="Worksheet 3 is used to calculate the PV costs of the different options. A separate Worksheet 3 is required for each option evaluated. To convert dollar values from different years to base date values, use the update factors on the MBCM webpage." xr:uid="{46659D14-CF0D-4472-AFEA-31155B19CBAC}"/>
  </hyperlinks>
  <printOptions horizontalCentered="1"/>
  <pageMargins left="0.74803149606299213" right="0.70866141732283472" top="0.74803149606299213" bottom="0.9055118110236221" header="0.39370078740157483" footer="0.39370078740157483"/>
  <pageSetup paperSize="9" scale="95" orientation="portrait" r:id="rId2"/>
  <headerFooter scaleWithDoc="0" alignWithMargins="0">
    <oddHeader>&amp;L&amp;"-,Regular"&amp;8&amp;F&amp;R&amp;"-,Regular"&amp;8&amp;A
______________________________________________________________________________________________</oddHeader>
    <oddFooter>&amp;L&amp;"-,Regular"&amp;8______________________________________________________________________________________________
NZ Transport Agency’s Economic evaluation manual 
Effective from Jul 2013</oddFooter>
  </headerFooter>
  <colBreaks count="1" manualBreakCount="1">
    <brk id="20" max="1048575" man="1"/>
  </col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55876-BF62-4F9F-91EE-D816DFA03787}">
  <sheetPr codeName="Sheet8">
    <pageSetUpPr fitToPage="1"/>
  </sheetPr>
  <dimension ref="A1:Z91"/>
  <sheetViews>
    <sheetView zoomScaleNormal="100" zoomScaleSheetLayoutView="115" workbookViewId="0">
      <selection activeCell="L7" sqref="L7:S7"/>
    </sheetView>
  </sheetViews>
  <sheetFormatPr defaultColWidth="7.75" defaultRowHeight="13.5"/>
  <cols>
    <col min="1" max="1" width="2.5" style="57" customWidth="1"/>
    <col min="2" max="2" width="6.83203125" style="57" customWidth="1"/>
    <col min="3" max="5" width="3.1640625" style="57" customWidth="1"/>
    <col min="6" max="6" width="4.5" style="57" customWidth="1"/>
    <col min="7" max="10" width="3.1640625" style="57" customWidth="1"/>
    <col min="11" max="19" width="4.75" style="57" customWidth="1"/>
    <col min="20" max="20" width="3.1640625" style="58" customWidth="1"/>
    <col min="21" max="21" width="9.25" style="57" customWidth="1"/>
    <col min="22" max="22" width="26.75" style="57" customWidth="1"/>
    <col min="23" max="26" width="9.25" style="57" customWidth="1"/>
    <col min="27" max="256" width="7.75" style="57"/>
    <col min="257" max="257" width="2.5" style="57" customWidth="1"/>
    <col min="258" max="258" width="6.83203125" style="57" customWidth="1"/>
    <col min="259" max="261" width="3.1640625" style="57" customWidth="1"/>
    <col min="262" max="262" width="4.5" style="57" customWidth="1"/>
    <col min="263" max="266" width="3.1640625" style="57" customWidth="1"/>
    <col min="267" max="275" width="4.75" style="57" customWidth="1"/>
    <col min="276" max="276" width="3.1640625" style="57" customWidth="1"/>
    <col min="277" max="277" width="9.25" style="57" customWidth="1"/>
    <col min="278" max="278" width="26.75" style="57" customWidth="1"/>
    <col min="279" max="282" width="9.25" style="57" customWidth="1"/>
    <col min="283" max="512" width="7.75" style="57"/>
    <col min="513" max="513" width="2.5" style="57" customWidth="1"/>
    <col min="514" max="514" width="6.83203125" style="57" customWidth="1"/>
    <col min="515" max="517" width="3.1640625" style="57" customWidth="1"/>
    <col min="518" max="518" width="4.5" style="57" customWidth="1"/>
    <col min="519" max="522" width="3.1640625" style="57" customWidth="1"/>
    <col min="523" max="531" width="4.75" style="57" customWidth="1"/>
    <col min="532" max="532" width="3.1640625" style="57" customWidth="1"/>
    <col min="533" max="533" width="9.25" style="57" customWidth="1"/>
    <col min="534" max="534" width="26.75" style="57" customWidth="1"/>
    <col min="535" max="538" width="9.25" style="57" customWidth="1"/>
    <col min="539" max="768" width="7.75" style="57"/>
    <col min="769" max="769" width="2.5" style="57" customWidth="1"/>
    <col min="770" max="770" width="6.83203125" style="57" customWidth="1"/>
    <col min="771" max="773" width="3.1640625" style="57" customWidth="1"/>
    <col min="774" max="774" width="4.5" style="57" customWidth="1"/>
    <col min="775" max="778" width="3.1640625" style="57" customWidth="1"/>
    <col min="779" max="787" width="4.75" style="57" customWidth="1"/>
    <col min="788" max="788" width="3.1640625" style="57" customWidth="1"/>
    <col min="789" max="789" width="9.25" style="57" customWidth="1"/>
    <col min="790" max="790" width="26.75" style="57" customWidth="1"/>
    <col min="791" max="794" width="9.25" style="57" customWidth="1"/>
    <col min="795" max="1024" width="7.75" style="57"/>
    <col min="1025" max="1025" width="2.5" style="57" customWidth="1"/>
    <col min="1026" max="1026" width="6.83203125" style="57" customWidth="1"/>
    <col min="1027" max="1029" width="3.1640625" style="57" customWidth="1"/>
    <col min="1030" max="1030" width="4.5" style="57" customWidth="1"/>
    <col min="1031" max="1034" width="3.1640625" style="57" customWidth="1"/>
    <col min="1035" max="1043" width="4.75" style="57" customWidth="1"/>
    <col min="1044" max="1044" width="3.1640625" style="57" customWidth="1"/>
    <col min="1045" max="1045" width="9.25" style="57" customWidth="1"/>
    <col min="1046" max="1046" width="26.75" style="57" customWidth="1"/>
    <col min="1047" max="1050" width="9.25" style="57" customWidth="1"/>
    <col min="1051" max="1280" width="7.75" style="57"/>
    <col min="1281" max="1281" width="2.5" style="57" customWidth="1"/>
    <col min="1282" max="1282" width="6.83203125" style="57" customWidth="1"/>
    <col min="1283" max="1285" width="3.1640625" style="57" customWidth="1"/>
    <col min="1286" max="1286" width="4.5" style="57" customWidth="1"/>
    <col min="1287" max="1290" width="3.1640625" style="57" customWidth="1"/>
    <col min="1291" max="1299" width="4.75" style="57" customWidth="1"/>
    <col min="1300" max="1300" width="3.1640625" style="57" customWidth="1"/>
    <col min="1301" max="1301" width="9.25" style="57" customWidth="1"/>
    <col min="1302" max="1302" width="26.75" style="57" customWidth="1"/>
    <col min="1303" max="1306" width="9.25" style="57" customWidth="1"/>
    <col min="1307" max="1536" width="7.75" style="57"/>
    <col min="1537" max="1537" width="2.5" style="57" customWidth="1"/>
    <col min="1538" max="1538" width="6.83203125" style="57" customWidth="1"/>
    <col min="1539" max="1541" width="3.1640625" style="57" customWidth="1"/>
    <col min="1542" max="1542" width="4.5" style="57" customWidth="1"/>
    <col min="1543" max="1546" width="3.1640625" style="57" customWidth="1"/>
    <col min="1547" max="1555" width="4.75" style="57" customWidth="1"/>
    <col min="1556" max="1556" width="3.1640625" style="57" customWidth="1"/>
    <col min="1557" max="1557" width="9.25" style="57" customWidth="1"/>
    <col min="1558" max="1558" width="26.75" style="57" customWidth="1"/>
    <col min="1559" max="1562" width="9.25" style="57" customWidth="1"/>
    <col min="1563" max="1792" width="7.75" style="57"/>
    <col min="1793" max="1793" width="2.5" style="57" customWidth="1"/>
    <col min="1794" max="1794" width="6.83203125" style="57" customWidth="1"/>
    <col min="1795" max="1797" width="3.1640625" style="57" customWidth="1"/>
    <col min="1798" max="1798" width="4.5" style="57" customWidth="1"/>
    <col min="1799" max="1802" width="3.1640625" style="57" customWidth="1"/>
    <col min="1803" max="1811" width="4.75" style="57" customWidth="1"/>
    <col min="1812" max="1812" width="3.1640625" style="57" customWidth="1"/>
    <col min="1813" max="1813" width="9.25" style="57" customWidth="1"/>
    <col min="1814" max="1814" width="26.75" style="57" customWidth="1"/>
    <col min="1815" max="1818" width="9.25" style="57" customWidth="1"/>
    <col min="1819" max="2048" width="7.75" style="57"/>
    <col min="2049" max="2049" width="2.5" style="57" customWidth="1"/>
    <col min="2050" max="2050" width="6.83203125" style="57" customWidth="1"/>
    <col min="2051" max="2053" width="3.1640625" style="57" customWidth="1"/>
    <col min="2054" max="2054" width="4.5" style="57" customWidth="1"/>
    <col min="2055" max="2058" width="3.1640625" style="57" customWidth="1"/>
    <col min="2059" max="2067" width="4.75" style="57" customWidth="1"/>
    <col min="2068" max="2068" width="3.1640625" style="57" customWidth="1"/>
    <col min="2069" max="2069" width="9.25" style="57" customWidth="1"/>
    <col min="2070" max="2070" width="26.75" style="57" customWidth="1"/>
    <col min="2071" max="2074" width="9.25" style="57" customWidth="1"/>
    <col min="2075" max="2304" width="7.75" style="57"/>
    <col min="2305" max="2305" width="2.5" style="57" customWidth="1"/>
    <col min="2306" max="2306" width="6.83203125" style="57" customWidth="1"/>
    <col min="2307" max="2309" width="3.1640625" style="57" customWidth="1"/>
    <col min="2310" max="2310" width="4.5" style="57" customWidth="1"/>
    <col min="2311" max="2314" width="3.1640625" style="57" customWidth="1"/>
    <col min="2315" max="2323" width="4.75" style="57" customWidth="1"/>
    <col min="2324" max="2324" width="3.1640625" style="57" customWidth="1"/>
    <col min="2325" max="2325" width="9.25" style="57" customWidth="1"/>
    <col min="2326" max="2326" width="26.75" style="57" customWidth="1"/>
    <col min="2327" max="2330" width="9.25" style="57" customWidth="1"/>
    <col min="2331" max="2560" width="7.75" style="57"/>
    <col min="2561" max="2561" width="2.5" style="57" customWidth="1"/>
    <col min="2562" max="2562" width="6.83203125" style="57" customWidth="1"/>
    <col min="2563" max="2565" width="3.1640625" style="57" customWidth="1"/>
    <col min="2566" max="2566" width="4.5" style="57" customWidth="1"/>
    <col min="2567" max="2570" width="3.1640625" style="57" customWidth="1"/>
    <col min="2571" max="2579" width="4.75" style="57" customWidth="1"/>
    <col min="2580" max="2580" width="3.1640625" style="57" customWidth="1"/>
    <col min="2581" max="2581" width="9.25" style="57" customWidth="1"/>
    <col min="2582" max="2582" width="26.75" style="57" customWidth="1"/>
    <col min="2583" max="2586" width="9.25" style="57" customWidth="1"/>
    <col min="2587" max="2816" width="7.75" style="57"/>
    <col min="2817" max="2817" width="2.5" style="57" customWidth="1"/>
    <col min="2818" max="2818" width="6.83203125" style="57" customWidth="1"/>
    <col min="2819" max="2821" width="3.1640625" style="57" customWidth="1"/>
    <col min="2822" max="2822" width="4.5" style="57" customWidth="1"/>
    <col min="2823" max="2826" width="3.1640625" style="57" customWidth="1"/>
    <col min="2827" max="2835" width="4.75" style="57" customWidth="1"/>
    <col min="2836" max="2836" width="3.1640625" style="57" customWidth="1"/>
    <col min="2837" max="2837" width="9.25" style="57" customWidth="1"/>
    <col min="2838" max="2838" width="26.75" style="57" customWidth="1"/>
    <col min="2839" max="2842" width="9.25" style="57" customWidth="1"/>
    <col min="2843" max="3072" width="7.75" style="57"/>
    <col min="3073" max="3073" width="2.5" style="57" customWidth="1"/>
    <col min="3074" max="3074" width="6.83203125" style="57" customWidth="1"/>
    <col min="3075" max="3077" width="3.1640625" style="57" customWidth="1"/>
    <col min="3078" max="3078" width="4.5" style="57" customWidth="1"/>
    <col min="3079" max="3082" width="3.1640625" style="57" customWidth="1"/>
    <col min="3083" max="3091" width="4.75" style="57" customWidth="1"/>
    <col min="3092" max="3092" width="3.1640625" style="57" customWidth="1"/>
    <col min="3093" max="3093" width="9.25" style="57" customWidth="1"/>
    <col min="3094" max="3094" width="26.75" style="57" customWidth="1"/>
    <col min="3095" max="3098" width="9.25" style="57" customWidth="1"/>
    <col min="3099" max="3328" width="7.75" style="57"/>
    <col min="3329" max="3329" width="2.5" style="57" customWidth="1"/>
    <col min="3330" max="3330" width="6.83203125" style="57" customWidth="1"/>
    <col min="3331" max="3333" width="3.1640625" style="57" customWidth="1"/>
    <col min="3334" max="3334" width="4.5" style="57" customWidth="1"/>
    <col min="3335" max="3338" width="3.1640625" style="57" customWidth="1"/>
    <col min="3339" max="3347" width="4.75" style="57" customWidth="1"/>
    <col min="3348" max="3348" width="3.1640625" style="57" customWidth="1"/>
    <col min="3349" max="3349" width="9.25" style="57" customWidth="1"/>
    <col min="3350" max="3350" width="26.75" style="57" customWidth="1"/>
    <col min="3351" max="3354" width="9.25" style="57" customWidth="1"/>
    <col min="3355" max="3584" width="7.75" style="57"/>
    <col min="3585" max="3585" width="2.5" style="57" customWidth="1"/>
    <col min="3586" max="3586" width="6.83203125" style="57" customWidth="1"/>
    <col min="3587" max="3589" width="3.1640625" style="57" customWidth="1"/>
    <col min="3590" max="3590" width="4.5" style="57" customWidth="1"/>
    <col min="3591" max="3594" width="3.1640625" style="57" customWidth="1"/>
    <col min="3595" max="3603" width="4.75" style="57" customWidth="1"/>
    <col min="3604" max="3604" width="3.1640625" style="57" customWidth="1"/>
    <col min="3605" max="3605" width="9.25" style="57" customWidth="1"/>
    <col min="3606" max="3606" width="26.75" style="57" customWidth="1"/>
    <col min="3607" max="3610" width="9.25" style="57" customWidth="1"/>
    <col min="3611" max="3840" width="7.75" style="57"/>
    <col min="3841" max="3841" width="2.5" style="57" customWidth="1"/>
    <col min="3842" max="3842" width="6.83203125" style="57" customWidth="1"/>
    <col min="3843" max="3845" width="3.1640625" style="57" customWidth="1"/>
    <col min="3846" max="3846" width="4.5" style="57" customWidth="1"/>
    <col min="3847" max="3850" width="3.1640625" style="57" customWidth="1"/>
    <col min="3851" max="3859" width="4.75" style="57" customWidth="1"/>
    <col min="3860" max="3860" width="3.1640625" style="57" customWidth="1"/>
    <col min="3861" max="3861" width="9.25" style="57" customWidth="1"/>
    <col min="3862" max="3862" width="26.75" style="57" customWidth="1"/>
    <col min="3863" max="3866" width="9.25" style="57" customWidth="1"/>
    <col min="3867" max="4096" width="7.75" style="57"/>
    <col min="4097" max="4097" width="2.5" style="57" customWidth="1"/>
    <col min="4098" max="4098" width="6.83203125" style="57" customWidth="1"/>
    <col min="4099" max="4101" width="3.1640625" style="57" customWidth="1"/>
    <col min="4102" max="4102" width="4.5" style="57" customWidth="1"/>
    <col min="4103" max="4106" width="3.1640625" style="57" customWidth="1"/>
    <col min="4107" max="4115" width="4.75" style="57" customWidth="1"/>
    <col min="4116" max="4116" width="3.1640625" style="57" customWidth="1"/>
    <col min="4117" max="4117" width="9.25" style="57" customWidth="1"/>
    <col min="4118" max="4118" width="26.75" style="57" customWidth="1"/>
    <col min="4119" max="4122" width="9.25" style="57" customWidth="1"/>
    <col min="4123" max="4352" width="7.75" style="57"/>
    <col min="4353" max="4353" width="2.5" style="57" customWidth="1"/>
    <col min="4354" max="4354" width="6.83203125" style="57" customWidth="1"/>
    <col min="4355" max="4357" width="3.1640625" style="57" customWidth="1"/>
    <col min="4358" max="4358" width="4.5" style="57" customWidth="1"/>
    <col min="4359" max="4362" width="3.1640625" style="57" customWidth="1"/>
    <col min="4363" max="4371" width="4.75" style="57" customWidth="1"/>
    <col min="4372" max="4372" width="3.1640625" style="57" customWidth="1"/>
    <col min="4373" max="4373" width="9.25" style="57" customWidth="1"/>
    <col min="4374" max="4374" width="26.75" style="57" customWidth="1"/>
    <col min="4375" max="4378" width="9.25" style="57" customWidth="1"/>
    <col min="4379" max="4608" width="7.75" style="57"/>
    <col min="4609" max="4609" width="2.5" style="57" customWidth="1"/>
    <col min="4610" max="4610" width="6.83203125" style="57" customWidth="1"/>
    <col min="4611" max="4613" width="3.1640625" style="57" customWidth="1"/>
    <col min="4614" max="4614" width="4.5" style="57" customWidth="1"/>
    <col min="4615" max="4618" width="3.1640625" style="57" customWidth="1"/>
    <col min="4619" max="4627" width="4.75" style="57" customWidth="1"/>
    <col min="4628" max="4628" width="3.1640625" style="57" customWidth="1"/>
    <col min="4629" max="4629" width="9.25" style="57" customWidth="1"/>
    <col min="4630" max="4630" width="26.75" style="57" customWidth="1"/>
    <col min="4631" max="4634" width="9.25" style="57" customWidth="1"/>
    <col min="4635" max="4864" width="7.75" style="57"/>
    <col min="4865" max="4865" width="2.5" style="57" customWidth="1"/>
    <col min="4866" max="4866" width="6.83203125" style="57" customWidth="1"/>
    <col min="4867" max="4869" width="3.1640625" style="57" customWidth="1"/>
    <col min="4870" max="4870" width="4.5" style="57" customWidth="1"/>
    <col min="4871" max="4874" width="3.1640625" style="57" customWidth="1"/>
    <col min="4875" max="4883" width="4.75" style="57" customWidth="1"/>
    <col min="4884" max="4884" width="3.1640625" style="57" customWidth="1"/>
    <col min="4885" max="4885" width="9.25" style="57" customWidth="1"/>
    <col min="4886" max="4886" width="26.75" style="57" customWidth="1"/>
    <col min="4887" max="4890" width="9.25" style="57" customWidth="1"/>
    <col min="4891" max="5120" width="7.75" style="57"/>
    <col min="5121" max="5121" width="2.5" style="57" customWidth="1"/>
    <col min="5122" max="5122" width="6.83203125" style="57" customWidth="1"/>
    <col min="5123" max="5125" width="3.1640625" style="57" customWidth="1"/>
    <col min="5126" max="5126" width="4.5" style="57" customWidth="1"/>
    <col min="5127" max="5130" width="3.1640625" style="57" customWidth="1"/>
    <col min="5131" max="5139" width="4.75" style="57" customWidth="1"/>
    <col min="5140" max="5140" width="3.1640625" style="57" customWidth="1"/>
    <col min="5141" max="5141" width="9.25" style="57" customWidth="1"/>
    <col min="5142" max="5142" width="26.75" style="57" customWidth="1"/>
    <col min="5143" max="5146" width="9.25" style="57" customWidth="1"/>
    <col min="5147" max="5376" width="7.75" style="57"/>
    <col min="5377" max="5377" width="2.5" style="57" customWidth="1"/>
    <col min="5378" max="5378" width="6.83203125" style="57" customWidth="1"/>
    <col min="5379" max="5381" width="3.1640625" style="57" customWidth="1"/>
    <col min="5382" max="5382" width="4.5" style="57" customWidth="1"/>
    <col min="5383" max="5386" width="3.1640625" style="57" customWidth="1"/>
    <col min="5387" max="5395" width="4.75" style="57" customWidth="1"/>
    <col min="5396" max="5396" width="3.1640625" style="57" customWidth="1"/>
    <col min="5397" max="5397" width="9.25" style="57" customWidth="1"/>
    <col min="5398" max="5398" width="26.75" style="57" customWidth="1"/>
    <col min="5399" max="5402" width="9.25" style="57" customWidth="1"/>
    <col min="5403" max="5632" width="7.75" style="57"/>
    <col min="5633" max="5633" width="2.5" style="57" customWidth="1"/>
    <col min="5634" max="5634" width="6.83203125" style="57" customWidth="1"/>
    <col min="5635" max="5637" width="3.1640625" style="57" customWidth="1"/>
    <col min="5638" max="5638" width="4.5" style="57" customWidth="1"/>
    <col min="5639" max="5642" width="3.1640625" style="57" customWidth="1"/>
    <col min="5643" max="5651" width="4.75" style="57" customWidth="1"/>
    <col min="5652" max="5652" width="3.1640625" style="57" customWidth="1"/>
    <col min="5653" max="5653" width="9.25" style="57" customWidth="1"/>
    <col min="5654" max="5654" width="26.75" style="57" customWidth="1"/>
    <col min="5655" max="5658" width="9.25" style="57" customWidth="1"/>
    <col min="5659" max="5888" width="7.75" style="57"/>
    <col min="5889" max="5889" width="2.5" style="57" customWidth="1"/>
    <col min="5890" max="5890" width="6.83203125" style="57" customWidth="1"/>
    <col min="5891" max="5893" width="3.1640625" style="57" customWidth="1"/>
    <col min="5894" max="5894" width="4.5" style="57" customWidth="1"/>
    <col min="5895" max="5898" width="3.1640625" style="57" customWidth="1"/>
    <col min="5899" max="5907" width="4.75" style="57" customWidth="1"/>
    <col min="5908" max="5908" width="3.1640625" style="57" customWidth="1"/>
    <col min="5909" max="5909" width="9.25" style="57" customWidth="1"/>
    <col min="5910" max="5910" width="26.75" style="57" customWidth="1"/>
    <col min="5911" max="5914" width="9.25" style="57" customWidth="1"/>
    <col min="5915" max="6144" width="7.75" style="57"/>
    <col min="6145" max="6145" width="2.5" style="57" customWidth="1"/>
    <col min="6146" max="6146" width="6.83203125" style="57" customWidth="1"/>
    <col min="6147" max="6149" width="3.1640625" style="57" customWidth="1"/>
    <col min="6150" max="6150" width="4.5" style="57" customWidth="1"/>
    <col min="6151" max="6154" width="3.1640625" style="57" customWidth="1"/>
    <col min="6155" max="6163" width="4.75" style="57" customWidth="1"/>
    <col min="6164" max="6164" width="3.1640625" style="57" customWidth="1"/>
    <col min="6165" max="6165" width="9.25" style="57" customWidth="1"/>
    <col min="6166" max="6166" width="26.75" style="57" customWidth="1"/>
    <col min="6167" max="6170" width="9.25" style="57" customWidth="1"/>
    <col min="6171" max="6400" width="7.75" style="57"/>
    <col min="6401" max="6401" width="2.5" style="57" customWidth="1"/>
    <col min="6402" max="6402" width="6.83203125" style="57" customWidth="1"/>
    <col min="6403" max="6405" width="3.1640625" style="57" customWidth="1"/>
    <col min="6406" max="6406" width="4.5" style="57" customWidth="1"/>
    <col min="6407" max="6410" width="3.1640625" style="57" customWidth="1"/>
    <col min="6411" max="6419" width="4.75" style="57" customWidth="1"/>
    <col min="6420" max="6420" width="3.1640625" style="57" customWidth="1"/>
    <col min="6421" max="6421" width="9.25" style="57" customWidth="1"/>
    <col min="6422" max="6422" width="26.75" style="57" customWidth="1"/>
    <col min="6423" max="6426" width="9.25" style="57" customWidth="1"/>
    <col min="6427" max="6656" width="7.75" style="57"/>
    <col min="6657" max="6657" width="2.5" style="57" customWidth="1"/>
    <col min="6658" max="6658" width="6.83203125" style="57" customWidth="1"/>
    <col min="6659" max="6661" width="3.1640625" style="57" customWidth="1"/>
    <col min="6662" max="6662" width="4.5" style="57" customWidth="1"/>
    <col min="6663" max="6666" width="3.1640625" style="57" customWidth="1"/>
    <col min="6667" max="6675" width="4.75" style="57" customWidth="1"/>
    <col min="6676" max="6676" width="3.1640625" style="57" customWidth="1"/>
    <col min="6677" max="6677" width="9.25" style="57" customWidth="1"/>
    <col min="6678" max="6678" width="26.75" style="57" customWidth="1"/>
    <col min="6679" max="6682" width="9.25" style="57" customWidth="1"/>
    <col min="6683" max="6912" width="7.75" style="57"/>
    <col min="6913" max="6913" width="2.5" style="57" customWidth="1"/>
    <col min="6914" max="6914" width="6.83203125" style="57" customWidth="1"/>
    <col min="6915" max="6917" width="3.1640625" style="57" customWidth="1"/>
    <col min="6918" max="6918" width="4.5" style="57" customWidth="1"/>
    <col min="6919" max="6922" width="3.1640625" style="57" customWidth="1"/>
    <col min="6923" max="6931" width="4.75" style="57" customWidth="1"/>
    <col min="6932" max="6932" width="3.1640625" style="57" customWidth="1"/>
    <col min="6933" max="6933" width="9.25" style="57" customWidth="1"/>
    <col min="6934" max="6934" width="26.75" style="57" customWidth="1"/>
    <col min="6935" max="6938" width="9.25" style="57" customWidth="1"/>
    <col min="6939" max="7168" width="7.75" style="57"/>
    <col min="7169" max="7169" width="2.5" style="57" customWidth="1"/>
    <col min="7170" max="7170" width="6.83203125" style="57" customWidth="1"/>
    <col min="7171" max="7173" width="3.1640625" style="57" customWidth="1"/>
    <col min="7174" max="7174" width="4.5" style="57" customWidth="1"/>
    <col min="7175" max="7178" width="3.1640625" style="57" customWidth="1"/>
    <col min="7179" max="7187" width="4.75" style="57" customWidth="1"/>
    <col min="7188" max="7188" width="3.1640625" style="57" customWidth="1"/>
    <col min="7189" max="7189" width="9.25" style="57" customWidth="1"/>
    <col min="7190" max="7190" width="26.75" style="57" customWidth="1"/>
    <col min="7191" max="7194" width="9.25" style="57" customWidth="1"/>
    <col min="7195" max="7424" width="7.75" style="57"/>
    <col min="7425" max="7425" width="2.5" style="57" customWidth="1"/>
    <col min="7426" max="7426" width="6.83203125" style="57" customWidth="1"/>
    <col min="7427" max="7429" width="3.1640625" style="57" customWidth="1"/>
    <col min="7430" max="7430" width="4.5" style="57" customWidth="1"/>
    <col min="7431" max="7434" width="3.1640625" style="57" customWidth="1"/>
    <col min="7435" max="7443" width="4.75" style="57" customWidth="1"/>
    <col min="7444" max="7444" width="3.1640625" style="57" customWidth="1"/>
    <col min="7445" max="7445" width="9.25" style="57" customWidth="1"/>
    <col min="7446" max="7446" width="26.75" style="57" customWidth="1"/>
    <col min="7447" max="7450" width="9.25" style="57" customWidth="1"/>
    <col min="7451" max="7680" width="7.75" style="57"/>
    <col min="7681" max="7681" width="2.5" style="57" customWidth="1"/>
    <col min="7682" max="7682" width="6.83203125" style="57" customWidth="1"/>
    <col min="7683" max="7685" width="3.1640625" style="57" customWidth="1"/>
    <col min="7686" max="7686" width="4.5" style="57" customWidth="1"/>
    <col min="7687" max="7690" width="3.1640625" style="57" customWidth="1"/>
    <col min="7691" max="7699" width="4.75" style="57" customWidth="1"/>
    <col min="7700" max="7700" width="3.1640625" style="57" customWidth="1"/>
    <col min="7701" max="7701" width="9.25" style="57" customWidth="1"/>
    <col min="7702" max="7702" width="26.75" style="57" customWidth="1"/>
    <col min="7703" max="7706" width="9.25" style="57" customWidth="1"/>
    <col min="7707" max="7936" width="7.75" style="57"/>
    <col min="7937" max="7937" width="2.5" style="57" customWidth="1"/>
    <col min="7938" max="7938" width="6.83203125" style="57" customWidth="1"/>
    <col min="7939" max="7941" width="3.1640625" style="57" customWidth="1"/>
    <col min="7942" max="7942" width="4.5" style="57" customWidth="1"/>
    <col min="7943" max="7946" width="3.1640625" style="57" customWidth="1"/>
    <col min="7947" max="7955" width="4.75" style="57" customWidth="1"/>
    <col min="7956" max="7956" width="3.1640625" style="57" customWidth="1"/>
    <col min="7957" max="7957" width="9.25" style="57" customWidth="1"/>
    <col min="7958" max="7958" width="26.75" style="57" customWidth="1"/>
    <col min="7959" max="7962" width="9.25" style="57" customWidth="1"/>
    <col min="7963" max="8192" width="7.75" style="57"/>
    <col min="8193" max="8193" width="2.5" style="57" customWidth="1"/>
    <col min="8194" max="8194" width="6.83203125" style="57" customWidth="1"/>
    <col min="8195" max="8197" width="3.1640625" style="57" customWidth="1"/>
    <col min="8198" max="8198" width="4.5" style="57" customWidth="1"/>
    <col min="8199" max="8202" width="3.1640625" style="57" customWidth="1"/>
    <col min="8203" max="8211" width="4.75" style="57" customWidth="1"/>
    <col min="8212" max="8212" width="3.1640625" style="57" customWidth="1"/>
    <col min="8213" max="8213" width="9.25" style="57" customWidth="1"/>
    <col min="8214" max="8214" width="26.75" style="57" customWidth="1"/>
    <col min="8215" max="8218" width="9.25" style="57" customWidth="1"/>
    <col min="8219" max="8448" width="7.75" style="57"/>
    <col min="8449" max="8449" width="2.5" style="57" customWidth="1"/>
    <col min="8450" max="8450" width="6.83203125" style="57" customWidth="1"/>
    <col min="8451" max="8453" width="3.1640625" style="57" customWidth="1"/>
    <col min="8454" max="8454" width="4.5" style="57" customWidth="1"/>
    <col min="8455" max="8458" width="3.1640625" style="57" customWidth="1"/>
    <col min="8459" max="8467" width="4.75" style="57" customWidth="1"/>
    <col min="8468" max="8468" width="3.1640625" style="57" customWidth="1"/>
    <col min="8469" max="8469" width="9.25" style="57" customWidth="1"/>
    <col min="8470" max="8470" width="26.75" style="57" customWidth="1"/>
    <col min="8471" max="8474" width="9.25" style="57" customWidth="1"/>
    <col min="8475" max="8704" width="7.75" style="57"/>
    <col min="8705" max="8705" width="2.5" style="57" customWidth="1"/>
    <col min="8706" max="8706" width="6.83203125" style="57" customWidth="1"/>
    <col min="8707" max="8709" width="3.1640625" style="57" customWidth="1"/>
    <col min="8710" max="8710" width="4.5" style="57" customWidth="1"/>
    <col min="8711" max="8714" width="3.1640625" style="57" customWidth="1"/>
    <col min="8715" max="8723" width="4.75" style="57" customWidth="1"/>
    <col min="8724" max="8724" width="3.1640625" style="57" customWidth="1"/>
    <col min="8725" max="8725" width="9.25" style="57" customWidth="1"/>
    <col min="8726" max="8726" width="26.75" style="57" customWidth="1"/>
    <col min="8727" max="8730" width="9.25" style="57" customWidth="1"/>
    <col min="8731" max="8960" width="7.75" style="57"/>
    <col min="8961" max="8961" width="2.5" style="57" customWidth="1"/>
    <col min="8962" max="8962" width="6.83203125" style="57" customWidth="1"/>
    <col min="8963" max="8965" width="3.1640625" style="57" customWidth="1"/>
    <col min="8966" max="8966" width="4.5" style="57" customWidth="1"/>
    <col min="8967" max="8970" width="3.1640625" style="57" customWidth="1"/>
    <col min="8971" max="8979" width="4.75" style="57" customWidth="1"/>
    <col min="8980" max="8980" width="3.1640625" style="57" customWidth="1"/>
    <col min="8981" max="8981" width="9.25" style="57" customWidth="1"/>
    <col min="8982" max="8982" width="26.75" style="57" customWidth="1"/>
    <col min="8983" max="8986" width="9.25" style="57" customWidth="1"/>
    <col min="8987" max="9216" width="7.75" style="57"/>
    <col min="9217" max="9217" width="2.5" style="57" customWidth="1"/>
    <col min="9218" max="9218" width="6.83203125" style="57" customWidth="1"/>
    <col min="9219" max="9221" width="3.1640625" style="57" customWidth="1"/>
    <col min="9222" max="9222" width="4.5" style="57" customWidth="1"/>
    <col min="9223" max="9226" width="3.1640625" style="57" customWidth="1"/>
    <col min="9227" max="9235" width="4.75" style="57" customWidth="1"/>
    <col min="9236" max="9236" width="3.1640625" style="57" customWidth="1"/>
    <col min="9237" max="9237" width="9.25" style="57" customWidth="1"/>
    <col min="9238" max="9238" width="26.75" style="57" customWidth="1"/>
    <col min="9239" max="9242" width="9.25" style="57" customWidth="1"/>
    <col min="9243" max="9472" width="7.75" style="57"/>
    <col min="9473" max="9473" width="2.5" style="57" customWidth="1"/>
    <col min="9474" max="9474" width="6.83203125" style="57" customWidth="1"/>
    <col min="9475" max="9477" width="3.1640625" style="57" customWidth="1"/>
    <col min="9478" max="9478" width="4.5" style="57" customWidth="1"/>
    <col min="9479" max="9482" width="3.1640625" style="57" customWidth="1"/>
    <col min="9483" max="9491" width="4.75" style="57" customWidth="1"/>
    <col min="9492" max="9492" width="3.1640625" style="57" customWidth="1"/>
    <col min="9493" max="9493" width="9.25" style="57" customWidth="1"/>
    <col min="9494" max="9494" width="26.75" style="57" customWidth="1"/>
    <col min="9495" max="9498" width="9.25" style="57" customWidth="1"/>
    <col min="9499" max="9728" width="7.75" style="57"/>
    <col min="9729" max="9729" width="2.5" style="57" customWidth="1"/>
    <col min="9730" max="9730" width="6.83203125" style="57" customWidth="1"/>
    <col min="9731" max="9733" width="3.1640625" style="57" customWidth="1"/>
    <col min="9734" max="9734" width="4.5" style="57" customWidth="1"/>
    <col min="9735" max="9738" width="3.1640625" style="57" customWidth="1"/>
    <col min="9739" max="9747" width="4.75" style="57" customWidth="1"/>
    <col min="9748" max="9748" width="3.1640625" style="57" customWidth="1"/>
    <col min="9749" max="9749" width="9.25" style="57" customWidth="1"/>
    <col min="9750" max="9750" width="26.75" style="57" customWidth="1"/>
    <col min="9751" max="9754" width="9.25" style="57" customWidth="1"/>
    <col min="9755" max="9984" width="7.75" style="57"/>
    <col min="9985" max="9985" width="2.5" style="57" customWidth="1"/>
    <col min="9986" max="9986" width="6.83203125" style="57" customWidth="1"/>
    <col min="9987" max="9989" width="3.1640625" style="57" customWidth="1"/>
    <col min="9990" max="9990" width="4.5" style="57" customWidth="1"/>
    <col min="9991" max="9994" width="3.1640625" style="57" customWidth="1"/>
    <col min="9995" max="10003" width="4.75" style="57" customWidth="1"/>
    <col min="10004" max="10004" width="3.1640625" style="57" customWidth="1"/>
    <col min="10005" max="10005" width="9.25" style="57" customWidth="1"/>
    <col min="10006" max="10006" width="26.75" style="57" customWidth="1"/>
    <col min="10007" max="10010" width="9.25" style="57" customWidth="1"/>
    <col min="10011" max="10240" width="7.75" style="57"/>
    <col min="10241" max="10241" width="2.5" style="57" customWidth="1"/>
    <col min="10242" max="10242" width="6.83203125" style="57" customWidth="1"/>
    <col min="10243" max="10245" width="3.1640625" style="57" customWidth="1"/>
    <col min="10246" max="10246" width="4.5" style="57" customWidth="1"/>
    <col min="10247" max="10250" width="3.1640625" style="57" customWidth="1"/>
    <col min="10251" max="10259" width="4.75" style="57" customWidth="1"/>
    <col min="10260" max="10260" width="3.1640625" style="57" customWidth="1"/>
    <col min="10261" max="10261" width="9.25" style="57" customWidth="1"/>
    <col min="10262" max="10262" width="26.75" style="57" customWidth="1"/>
    <col min="10263" max="10266" width="9.25" style="57" customWidth="1"/>
    <col min="10267" max="10496" width="7.75" style="57"/>
    <col min="10497" max="10497" width="2.5" style="57" customWidth="1"/>
    <col min="10498" max="10498" width="6.83203125" style="57" customWidth="1"/>
    <col min="10499" max="10501" width="3.1640625" style="57" customWidth="1"/>
    <col min="10502" max="10502" width="4.5" style="57" customWidth="1"/>
    <col min="10503" max="10506" width="3.1640625" style="57" customWidth="1"/>
    <col min="10507" max="10515" width="4.75" style="57" customWidth="1"/>
    <col min="10516" max="10516" width="3.1640625" style="57" customWidth="1"/>
    <col min="10517" max="10517" width="9.25" style="57" customWidth="1"/>
    <col min="10518" max="10518" width="26.75" style="57" customWidth="1"/>
    <col min="10519" max="10522" width="9.25" style="57" customWidth="1"/>
    <col min="10523" max="10752" width="7.75" style="57"/>
    <col min="10753" max="10753" width="2.5" style="57" customWidth="1"/>
    <col min="10754" max="10754" width="6.83203125" style="57" customWidth="1"/>
    <col min="10755" max="10757" width="3.1640625" style="57" customWidth="1"/>
    <col min="10758" max="10758" width="4.5" style="57" customWidth="1"/>
    <col min="10759" max="10762" width="3.1640625" style="57" customWidth="1"/>
    <col min="10763" max="10771" width="4.75" style="57" customWidth="1"/>
    <col min="10772" max="10772" width="3.1640625" style="57" customWidth="1"/>
    <col min="10773" max="10773" width="9.25" style="57" customWidth="1"/>
    <col min="10774" max="10774" width="26.75" style="57" customWidth="1"/>
    <col min="10775" max="10778" width="9.25" style="57" customWidth="1"/>
    <col min="10779" max="11008" width="7.75" style="57"/>
    <col min="11009" max="11009" width="2.5" style="57" customWidth="1"/>
    <col min="11010" max="11010" width="6.83203125" style="57" customWidth="1"/>
    <col min="11011" max="11013" width="3.1640625" style="57" customWidth="1"/>
    <col min="11014" max="11014" width="4.5" style="57" customWidth="1"/>
    <col min="11015" max="11018" width="3.1640625" style="57" customWidth="1"/>
    <col min="11019" max="11027" width="4.75" style="57" customWidth="1"/>
    <col min="11028" max="11028" width="3.1640625" style="57" customWidth="1"/>
    <col min="11029" max="11029" width="9.25" style="57" customWidth="1"/>
    <col min="11030" max="11030" width="26.75" style="57" customWidth="1"/>
    <col min="11031" max="11034" width="9.25" style="57" customWidth="1"/>
    <col min="11035" max="11264" width="7.75" style="57"/>
    <col min="11265" max="11265" width="2.5" style="57" customWidth="1"/>
    <col min="11266" max="11266" width="6.83203125" style="57" customWidth="1"/>
    <col min="11267" max="11269" width="3.1640625" style="57" customWidth="1"/>
    <col min="11270" max="11270" width="4.5" style="57" customWidth="1"/>
    <col min="11271" max="11274" width="3.1640625" style="57" customWidth="1"/>
    <col min="11275" max="11283" width="4.75" style="57" customWidth="1"/>
    <col min="11284" max="11284" width="3.1640625" style="57" customWidth="1"/>
    <col min="11285" max="11285" width="9.25" style="57" customWidth="1"/>
    <col min="11286" max="11286" width="26.75" style="57" customWidth="1"/>
    <col min="11287" max="11290" width="9.25" style="57" customWidth="1"/>
    <col min="11291" max="11520" width="7.75" style="57"/>
    <col min="11521" max="11521" width="2.5" style="57" customWidth="1"/>
    <col min="11522" max="11522" width="6.83203125" style="57" customWidth="1"/>
    <col min="11523" max="11525" width="3.1640625" style="57" customWidth="1"/>
    <col min="11526" max="11526" width="4.5" style="57" customWidth="1"/>
    <col min="11527" max="11530" width="3.1640625" style="57" customWidth="1"/>
    <col min="11531" max="11539" width="4.75" style="57" customWidth="1"/>
    <col min="11540" max="11540" width="3.1640625" style="57" customWidth="1"/>
    <col min="11541" max="11541" width="9.25" style="57" customWidth="1"/>
    <col min="11542" max="11542" width="26.75" style="57" customWidth="1"/>
    <col min="11543" max="11546" width="9.25" style="57" customWidth="1"/>
    <col min="11547" max="11776" width="7.75" style="57"/>
    <col min="11777" max="11777" width="2.5" style="57" customWidth="1"/>
    <col min="11778" max="11778" width="6.83203125" style="57" customWidth="1"/>
    <col min="11779" max="11781" width="3.1640625" style="57" customWidth="1"/>
    <col min="11782" max="11782" width="4.5" style="57" customWidth="1"/>
    <col min="11783" max="11786" width="3.1640625" style="57" customWidth="1"/>
    <col min="11787" max="11795" width="4.75" style="57" customWidth="1"/>
    <col min="11796" max="11796" width="3.1640625" style="57" customWidth="1"/>
    <col min="11797" max="11797" width="9.25" style="57" customWidth="1"/>
    <col min="11798" max="11798" width="26.75" style="57" customWidth="1"/>
    <col min="11799" max="11802" width="9.25" style="57" customWidth="1"/>
    <col min="11803" max="12032" width="7.75" style="57"/>
    <col min="12033" max="12033" width="2.5" style="57" customWidth="1"/>
    <col min="12034" max="12034" width="6.83203125" style="57" customWidth="1"/>
    <col min="12035" max="12037" width="3.1640625" style="57" customWidth="1"/>
    <col min="12038" max="12038" width="4.5" style="57" customWidth="1"/>
    <col min="12039" max="12042" width="3.1640625" style="57" customWidth="1"/>
    <col min="12043" max="12051" width="4.75" style="57" customWidth="1"/>
    <col min="12052" max="12052" width="3.1640625" style="57" customWidth="1"/>
    <col min="12053" max="12053" width="9.25" style="57" customWidth="1"/>
    <col min="12054" max="12054" width="26.75" style="57" customWidth="1"/>
    <col min="12055" max="12058" width="9.25" style="57" customWidth="1"/>
    <col min="12059" max="12288" width="7.75" style="57"/>
    <col min="12289" max="12289" width="2.5" style="57" customWidth="1"/>
    <col min="12290" max="12290" width="6.83203125" style="57" customWidth="1"/>
    <col min="12291" max="12293" width="3.1640625" style="57" customWidth="1"/>
    <col min="12294" max="12294" width="4.5" style="57" customWidth="1"/>
    <col min="12295" max="12298" width="3.1640625" style="57" customWidth="1"/>
    <col min="12299" max="12307" width="4.75" style="57" customWidth="1"/>
    <col min="12308" max="12308" width="3.1640625" style="57" customWidth="1"/>
    <col min="12309" max="12309" width="9.25" style="57" customWidth="1"/>
    <col min="12310" max="12310" width="26.75" style="57" customWidth="1"/>
    <col min="12311" max="12314" width="9.25" style="57" customWidth="1"/>
    <col min="12315" max="12544" width="7.75" style="57"/>
    <col min="12545" max="12545" width="2.5" style="57" customWidth="1"/>
    <col min="12546" max="12546" width="6.83203125" style="57" customWidth="1"/>
    <col min="12547" max="12549" width="3.1640625" style="57" customWidth="1"/>
    <col min="12550" max="12550" width="4.5" style="57" customWidth="1"/>
    <col min="12551" max="12554" width="3.1640625" style="57" customWidth="1"/>
    <col min="12555" max="12563" width="4.75" style="57" customWidth="1"/>
    <col min="12564" max="12564" width="3.1640625" style="57" customWidth="1"/>
    <col min="12565" max="12565" width="9.25" style="57" customWidth="1"/>
    <col min="12566" max="12566" width="26.75" style="57" customWidth="1"/>
    <col min="12567" max="12570" width="9.25" style="57" customWidth="1"/>
    <col min="12571" max="12800" width="7.75" style="57"/>
    <col min="12801" max="12801" width="2.5" style="57" customWidth="1"/>
    <col min="12802" max="12802" width="6.83203125" style="57" customWidth="1"/>
    <col min="12803" max="12805" width="3.1640625" style="57" customWidth="1"/>
    <col min="12806" max="12806" width="4.5" style="57" customWidth="1"/>
    <col min="12807" max="12810" width="3.1640625" style="57" customWidth="1"/>
    <col min="12811" max="12819" width="4.75" style="57" customWidth="1"/>
    <col min="12820" max="12820" width="3.1640625" style="57" customWidth="1"/>
    <col min="12821" max="12821" width="9.25" style="57" customWidth="1"/>
    <col min="12822" max="12822" width="26.75" style="57" customWidth="1"/>
    <col min="12823" max="12826" width="9.25" style="57" customWidth="1"/>
    <col min="12827" max="13056" width="7.75" style="57"/>
    <col min="13057" max="13057" width="2.5" style="57" customWidth="1"/>
    <col min="13058" max="13058" width="6.83203125" style="57" customWidth="1"/>
    <col min="13059" max="13061" width="3.1640625" style="57" customWidth="1"/>
    <col min="13062" max="13062" width="4.5" style="57" customWidth="1"/>
    <col min="13063" max="13066" width="3.1640625" style="57" customWidth="1"/>
    <col min="13067" max="13075" width="4.75" style="57" customWidth="1"/>
    <col min="13076" max="13076" width="3.1640625" style="57" customWidth="1"/>
    <col min="13077" max="13077" width="9.25" style="57" customWidth="1"/>
    <col min="13078" max="13078" width="26.75" style="57" customWidth="1"/>
    <col min="13079" max="13082" width="9.25" style="57" customWidth="1"/>
    <col min="13083" max="13312" width="7.75" style="57"/>
    <col min="13313" max="13313" width="2.5" style="57" customWidth="1"/>
    <col min="13314" max="13314" width="6.83203125" style="57" customWidth="1"/>
    <col min="13315" max="13317" width="3.1640625" style="57" customWidth="1"/>
    <col min="13318" max="13318" width="4.5" style="57" customWidth="1"/>
    <col min="13319" max="13322" width="3.1640625" style="57" customWidth="1"/>
    <col min="13323" max="13331" width="4.75" style="57" customWidth="1"/>
    <col min="13332" max="13332" width="3.1640625" style="57" customWidth="1"/>
    <col min="13333" max="13333" width="9.25" style="57" customWidth="1"/>
    <col min="13334" max="13334" width="26.75" style="57" customWidth="1"/>
    <col min="13335" max="13338" width="9.25" style="57" customWidth="1"/>
    <col min="13339" max="13568" width="7.75" style="57"/>
    <col min="13569" max="13569" width="2.5" style="57" customWidth="1"/>
    <col min="13570" max="13570" width="6.83203125" style="57" customWidth="1"/>
    <col min="13571" max="13573" width="3.1640625" style="57" customWidth="1"/>
    <col min="13574" max="13574" width="4.5" style="57" customWidth="1"/>
    <col min="13575" max="13578" width="3.1640625" style="57" customWidth="1"/>
    <col min="13579" max="13587" width="4.75" style="57" customWidth="1"/>
    <col min="13588" max="13588" width="3.1640625" style="57" customWidth="1"/>
    <col min="13589" max="13589" width="9.25" style="57" customWidth="1"/>
    <col min="13590" max="13590" width="26.75" style="57" customWidth="1"/>
    <col min="13591" max="13594" width="9.25" style="57" customWidth="1"/>
    <col min="13595" max="13824" width="7.75" style="57"/>
    <col min="13825" max="13825" width="2.5" style="57" customWidth="1"/>
    <col min="13826" max="13826" width="6.83203125" style="57" customWidth="1"/>
    <col min="13827" max="13829" width="3.1640625" style="57" customWidth="1"/>
    <col min="13830" max="13830" width="4.5" style="57" customWidth="1"/>
    <col min="13831" max="13834" width="3.1640625" style="57" customWidth="1"/>
    <col min="13835" max="13843" width="4.75" style="57" customWidth="1"/>
    <col min="13844" max="13844" width="3.1640625" style="57" customWidth="1"/>
    <col min="13845" max="13845" width="9.25" style="57" customWidth="1"/>
    <col min="13846" max="13846" width="26.75" style="57" customWidth="1"/>
    <col min="13847" max="13850" width="9.25" style="57" customWidth="1"/>
    <col min="13851" max="14080" width="7.75" style="57"/>
    <col min="14081" max="14081" width="2.5" style="57" customWidth="1"/>
    <col min="14082" max="14082" width="6.83203125" style="57" customWidth="1"/>
    <col min="14083" max="14085" width="3.1640625" style="57" customWidth="1"/>
    <col min="14086" max="14086" width="4.5" style="57" customWidth="1"/>
    <col min="14087" max="14090" width="3.1640625" style="57" customWidth="1"/>
    <col min="14091" max="14099" width="4.75" style="57" customWidth="1"/>
    <col min="14100" max="14100" width="3.1640625" style="57" customWidth="1"/>
    <col min="14101" max="14101" width="9.25" style="57" customWidth="1"/>
    <col min="14102" max="14102" width="26.75" style="57" customWidth="1"/>
    <col min="14103" max="14106" width="9.25" style="57" customWidth="1"/>
    <col min="14107" max="14336" width="7.75" style="57"/>
    <col min="14337" max="14337" width="2.5" style="57" customWidth="1"/>
    <col min="14338" max="14338" width="6.83203125" style="57" customWidth="1"/>
    <col min="14339" max="14341" width="3.1640625" style="57" customWidth="1"/>
    <col min="14342" max="14342" width="4.5" style="57" customWidth="1"/>
    <col min="14343" max="14346" width="3.1640625" style="57" customWidth="1"/>
    <col min="14347" max="14355" width="4.75" style="57" customWidth="1"/>
    <col min="14356" max="14356" width="3.1640625" style="57" customWidth="1"/>
    <col min="14357" max="14357" width="9.25" style="57" customWidth="1"/>
    <col min="14358" max="14358" width="26.75" style="57" customWidth="1"/>
    <col min="14359" max="14362" width="9.25" style="57" customWidth="1"/>
    <col min="14363" max="14592" width="7.75" style="57"/>
    <col min="14593" max="14593" width="2.5" style="57" customWidth="1"/>
    <col min="14594" max="14594" width="6.83203125" style="57" customWidth="1"/>
    <col min="14595" max="14597" width="3.1640625" style="57" customWidth="1"/>
    <col min="14598" max="14598" width="4.5" style="57" customWidth="1"/>
    <col min="14599" max="14602" width="3.1640625" style="57" customWidth="1"/>
    <col min="14603" max="14611" width="4.75" style="57" customWidth="1"/>
    <col min="14612" max="14612" width="3.1640625" style="57" customWidth="1"/>
    <col min="14613" max="14613" width="9.25" style="57" customWidth="1"/>
    <col min="14614" max="14614" width="26.75" style="57" customWidth="1"/>
    <col min="14615" max="14618" width="9.25" style="57" customWidth="1"/>
    <col min="14619" max="14848" width="7.75" style="57"/>
    <col min="14849" max="14849" width="2.5" style="57" customWidth="1"/>
    <col min="14850" max="14850" width="6.83203125" style="57" customWidth="1"/>
    <col min="14851" max="14853" width="3.1640625" style="57" customWidth="1"/>
    <col min="14854" max="14854" width="4.5" style="57" customWidth="1"/>
    <col min="14855" max="14858" width="3.1640625" style="57" customWidth="1"/>
    <col min="14859" max="14867" width="4.75" style="57" customWidth="1"/>
    <col min="14868" max="14868" width="3.1640625" style="57" customWidth="1"/>
    <col min="14869" max="14869" width="9.25" style="57" customWidth="1"/>
    <col min="14870" max="14870" width="26.75" style="57" customWidth="1"/>
    <col min="14871" max="14874" width="9.25" style="57" customWidth="1"/>
    <col min="14875" max="15104" width="7.75" style="57"/>
    <col min="15105" max="15105" width="2.5" style="57" customWidth="1"/>
    <col min="15106" max="15106" width="6.83203125" style="57" customWidth="1"/>
    <col min="15107" max="15109" width="3.1640625" style="57" customWidth="1"/>
    <col min="15110" max="15110" width="4.5" style="57" customWidth="1"/>
    <col min="15111" max="15114" width="3.1640625" style="57" customWidth="1"/>
    <col min="15115" max="15123" width="4.75" style="57" customWidth="1"/>
    <col min="15124" max="15124" width="3.1640625" style="57" customWidth="1"/>
    <col min="15125" max="15125" width="9.25" style="57" customWidth="1"/>
    <col min="15126" max="15126" width="26.75" style="57" customWidth="1"/>
    <col min="15127" max="15130" width="9.25" style="57" customWidth="1"/>
    <col min="15131" max="15360" width="7.75" style="57"/>
    <col min="15361" max="15361" width="2.5" style="57" customWidth="1"/>
    <col min="15362" max="15362" width="6.83203125" style="57" customWidth="1"/>
    <col min="15363" max="15365" width="3.1640625" style="57" customWidth="1"/>
    <col min="15366" max="15366" width="4.5" style="57" customWidth="1"/>
    <col min="15367" max="15370" width="3.1640625" style="57" customWidth="1"/>
    <col min="15371" max="15379" width="4.75" style="57" customWidth="1"/>
    <col min="15380" max="15380" width="3.1640625" style="57" customWidth="1"/>
    <col min="15381" max="15381" width="9.25" style="57" customWidth="1"/>
    <col min="15382" max="15382" width="26.75" style="57" customWidth="1"/>
    <col min="15383" max="15386" width="9.25" style="57" customWidth="1"/>
    <col min="15387" max="15616" width="7.75" style="57"/>
    <col min="15617" max="15617" width="2.5" style="57" customWidth="1"/>
    <col min="15618" max="15618" width="6.83203125" style="57" customWidth="1"/>
    <col min="15619" max="15621" width="3.1640625" style="57" customWidth="1"/>
    <col min="15622" max="15622" width="4.5" style="57" customWidth="1"/>
    <col min="15623" max="15626" width="3.1640625" style="57" customWidth="1"/>
    <col min="15627" max="15635" width="4.75" style="57" customWidth="1"/>
    <col min="15636" max="15636" width="3.1640625" style="57" customWidth="1"/>
    <col min="15637" max="15637" width="9.25" style="57" customWidth="1"/>
    <col min="15638" max="15638" width="26.75" style="57" customWidth="1"/>
    <col min="15639" max="15642" width="9.25" style="57" customWidth="1"/>
    <col min="15643" max="15872" width="7.75" style="57"/>
    <col min="15873" max="15873" width="2.5" style="57" customWidth="1"/>
    <col min="15874" max="15874" width="6.83203125" style="57" customWidth="1"/>
    <col min="15875" max="15877" width="3.1640625" style="57" customWidth="1"/>
    <col min="15878" max="15878" width="4.5" style="57" customWidth="1"/>
    <col min="15879" max="15882" width="3.1640625" style="57" customWidth="1"/>
    <col min="15883" max="15891" width="4.75" style="57" customWidth="1"/>
    <col min="15892" max="15892" width="3.1640625" style="57" customWidth="1"/>
    <col min="15893" max="15893" width="9.25" style="57" customWidth="1"/>
    <col min="15894" max="15894" width="26.75" style="57" customWidth="1"/>
    <col min="15895" max="15898" width="9.25" style="57" customWidth="1"/>
    <col min="15899" max="16128" width="7.75" style="57"/>
    <col min="16129" max="16129" width="2.5" style="57" customWidth="1"/>
    <col min="16130" max="16130" width="6.83203125" style="57" customWidth="1"/>
    <col min="16131" max="16133" width="3.1640625" style="57" customWidth="1"/>
    <col min="16134" max="16134" width="4.5" style="57" customWidth="1"/>
    <col min="16135" max="16138" width="3.1640625" style="57" customWidth="1"/>
    <col min="16139" max="16147" width="4.75" style="57" customWidth="1"/>
    <col min="16148" max="16148" width="3.1640625" style="57" customWidth="1"/>
    <col min="16149" max="16149" width="9.25" style="57" customWidth="1"/>
    <col min="16150" max="16150" width="26.75" style="57" customWidth="1"/>
    <col min="16151" max="16154" width="9.25" style="57" customWidth="1"/>
    <col min="16155" max="16384" width="7.75" style="57"/>
  </cols>
  <sheetData>
    <row r="1" spans="1:26" s="55" customFormat="1" ht="15" customHeight="1">
      <c r="B1" s="246"/>
      <c r="C1" s="247"/>
      <c r="D1" s="66"/>
      <c r="E1" s="66"/>
      <c r="F1" s="66"/>
      <c r="G1" s="66"/>
      <c r="H1" s="66"/>
      <c r="I1" s="66"/>
      <c r="J1" s="66"/>
      <c r="K1" s="66"/>
      <c r="L1" s="66"/>
      <c r="M1" s="66"/>
      <c r="N1" s="66"/>
      <c r="O1" s="66"/>
      <c r="P1" s="66"/>
      <c r="Q1" s="66"/>
      <c r="R1" s="66"/>
      <c r="S1" s="66"/>
      <c r="T1" s="66"/>
      <c r="V1" s="66" t="s">
        <v>372</v>
      </c>
    </row>
    <row r="2" spans="1:26" s="69" customFormat="1" ht="15" customHeight="1">
      <c r="A2" s="70" t="s">
        <v>718</v>
      </c>
      <c r="B2" s="61"/>
      <c r="C2" s="61"/>
      <c r="D2" s="61"/>
      <c r="E2" s="61"/>
      <c r="F2" s="61"/>
      <c r="G2" s="61"/>
      <c r="H2" s="61"/>
      <c r="I2" s="61"/>
      <c r="J2" s="61"/>
      <c r="K2" s="61"/>
      <c r="L2" s="61"/>
      <c r="M2" s="61"/>
      <c r="N2" s="61"/>
      <c r="O2" s="61"/>
      <c r="P2" s="61"/>
      <c r="Q2" s="206" t="str">
        <f>'SP3-1'!L2</f>
        <v>Spreadsheet release date 14-Apr-2023</v>
      </c>
      <c r="R2" s="61"/>
      <c r="S2" s="61"/>
      <c r="T2" s="61"/>
      <c r="V2" s="207" t="s">
        <v>373</v>
      </c>
    </row>
    <row r="3" spans="1:26" s="62" customFormat="1" ht="15" customHeight="1">
      <c r="A3" s="68" t="s">
        <v>434</v>
      </c>
      <c r="B3" s="61"/>
      <c r="C3" s="61"/>
      <c r="D3" s="61"/>
      <c r="E3" s="61"/>
      <c r="F3" s="61"/>
      <c r="G3" s="61"/>
      <c r="H3" s="61"/>
      <c r="I3" s="61"/>
      <c r="J3" s="61"/>
      <c r="K3" s="61"/>
      <c r="L3" s="61"/>
      <c r="M3" s="61"/>
      <c r="N3" s="61"/>
      <c r="O3" s="61"/>
      <c r="P3" s="61"/>
      <c r="Q3" s="61"/>
      <c r="R3" s="61"/>
      <c r="S3" s="61"/>
      <c r="T3" s="138"/>
      <c r="U3" s="61"/>
    </row>
    <row r="4" spans="1:26" s="55" customFormat="1" ht="15" customHeight="1">
      <c r="A4" s="67"/>
      <c r="B4" s="505" t="s">
        <v>761</v>
      </c>
      <c r="C4" s="505"/>
      <c r="D4" s="505"/>
      <c r="E4" s="505"/>
      <c r="F4" s="505"/>
      <c r="G4" s="505"/>
      <c r="H4" s="505"/>
      <c r="I4" s="505"/>
      <c r="J4" s="505"/>
      <c r="K4" s="505"/>
      <c r="L4" s="505"/>
      <c r="M4" s="505"/>
      <c r="N4" s="505"/>
      <c r="O4" s="505"/>
      <c r="P4" s="505"/>
      <c r="Q4" s="505"/>
      <c r="R4" s="505"/>
      <c r="S4" s="505"/>
      <c r="T4" s="66"/>
      <c r="U4" s="66"/>
    </row>
    <row r="5" spans="1:26" s="55" customFormat="1" ht="19.5" customHeight="1">
      <c r="A5" s="67"/>
      <c r="B5" s="505"/>
      <c r="C5" s="505"/>
      <c r="D5" s="505"/>
      <c r="E5" s="505"/>
      <c r="F5" s="505"/>
      <c r="G5" s="505"/>
      <c r="H5" s="505"/>
      <c r="I5" s="505"/>
      <c r="J5" s="505"/>
      <c r="K5" s="505"/>
      <c r="L5" s="505"/>
      <c r="M5" s="505"/>
      <c r="N5" s="505"/>
      <c r="O5" s="505"/>
      <c r="P5" s="505"/>
      <c r="Q5" s="505"/>
      <c r="R5" s="505"/>
      <c r="S5" s="505"/>
      <c r="T5" s="66"/>
      <c r="U5" s="66"/>
    </row>
    <row r="6" spans="1:26" s="62" customFormat="1" ht="11.25" customHeight="1" thickBot="1">
      <c r="A6" s="138"/>
      <c r="B6" s="61"/>
      <c r="C6" s="61"/>
      <c r="D6" s="61"/>
      <c r="E6" s="61"/>
      <c r="F6" s="61"/>
      <c r="G6" s="61"/>
      <c r="H6" s="61"/>
      <c r="I6" s="61"/>
      <c r="J6" s="61"/>
      <c r="K6" s="61"/>
      <c r="L6" s="61"/>
      <c r="M6" s="61"/>
      <c r="N6" s="61"/>
      <c r="O6" s="61"/>
      <c r="P6" s="61"/>
      <c r="Q6" s="61"/>
      <c r="R6" s="61"/>
      <c r="S6" s="61"/>
      <c r="T6" s="138"/>
      <c r="U6" s="61"/>
      <c r="V6" s="61"/>
    </row>
    <row r="7" spans="1:26" s="62" customFormat="1" ht="19.5" customHeight="1" thickTop="1" thickBot="1">
      <c r="A7" s="209"/>
      <c r="B7" s="248" t="s">
        <v>762</v>
      </c>
      <c r="C7" s="209"/>
      <c r="D7" s="209"/>
      <c r="E7" s="209"/>
      <c r="F7" s="209"/>
      <c r="G7" s="209"/>
      <c r="H7" s="209"/>
      <c r="I7" s="209"/>
      <c r="J7" s="209"/>
      <c r="K7" s="209"/>
      <c r="L7" s="506"/>
      <c r="M7" s="506"/>
      <c r="N7" s="506"/>
      <c r="O7" s="506"/>
      <c r="P7" s="506"/>
      <c r="Q7" s="506"/>
      <c r="R7" s="506"/>
      <c r="S7" s="506"/>
      <c r="T7" s="209"/>
      <c r="U7" s="61"/>
      <c r="V7" s="61"/>
    </row>
    <row r="8" spans="1:26" s="62" customFormat="1" ht="19.5" customHeight="1" thickTop="1" thickBot="1">
      <c r="A8" s="211">
        <v>1</v>
      </c>
      <c r="B8" s="436" t="s">
        <v>435</v>
      </c>
      <c r="C8" s="436"/>
      <c r="D8" s="436"/>
      <c r="E8" s="436"/>
      <c r="F8" s="436"/>
      <c r="G8" s="436"/>
      <c r="H8" s="436"/>
      <c r="I8" s="436"/>
      <c r="J8" s="436"/>
      <c r="K8" s="436"/>
      <c r="L8" s="436"/>
      <c r="M8" s="436"/>
      <c r="N8" s="436"/>
      <c r="O8" s="436"/>
      <c r="P8" s="210"/>
      <c r="Q8" s="210"/>
      <c r="R8" s="210"/>
      <c r="S8" s="210"/>
      <c r="T8" s="209"/>
      <c r="U8" s="61"/>
      <c r="V8" s="61"/>
    </row>
    <row r="9" spans="1:26" s="62" customFormat="1" ht="19.5" customHeight="1" thickTop="1" thickBot="1">
      <c r="A9" s="209"/>
      <c r="B9" s="210"/>
      <c r="C9" s="210"/>
      <c r="D9" s="210"/>
      <c r="E9" s="210"/>
      <c r="F9" s="210"/>
      <c r="G9" s="222"/>
      <c r="H9" s="222"/>
      <c r="I9" s="222"/>
      <c r="J9" s="222" t="s">
        <v>267</v>
      </c>
      <c r="K9" s="443"/>
      <c r="L9" s="443"/>
      <c r="M9" s="443"/>
      <c r="N9" s="210" t="s">
        <v>418</v>
      </c>
      <c r="O9" s="210">
        <f>Tables!K321</f>
        <v>0.96150000000000002</v>
      </c>
      <c r="P9" s="222" t="s">
        <v>763</v>
      </c>
      <c r="Q9" s="453">
        <f>K9*O9</f>
        <v>0</v>
      </c>
      <c r="R9" s="453"/>
      <c r="S9" s="453"/>
      <c r="T9" s="211" t="s">
        <v>419</v>
      </c>
      <c r="U9" s="61"/>
      <c r="V9" s="61"/>
    </row>
    <row r="10" spans="1:26" s="62" customFormat="1" ht="19.5" customHeight="1" thickTop="1" thickBot="1">
      <c r="A10" s="211">
        <v>2</v>
      </c>
      <c r="B10" s="436" t="s">
        <v>437</v>
      </c>
      <c r="C10" s="436"/>
      <c r="D10" s="436"/>
      <c r="E10" s="436"/>
      <c r="F10" s="436"/>
      <c r="G10" s="436"/>
      <c r="H10" s="210"/>
      <c r="I10" s="210"/>
      <c r="J10" s="210"/>
      <c r="K10" s="210"/>
      <c r="L10" s="210"/>
      <c r="M10" s="210"/>
      <c r="N10" s="210"/>
      <c r="O10" s="210"/>
      <c r="P10" s="222" t="s">
        <v>267</v>
      </c>
      <c r="Q10" s="443"/>
      <c r="R10" s="443"/>
      <c r="S10" s="443"/>
      <c r="T10" s="211" t="s">
        <v>429</v>
      </c>
      <c r="U10" s="61"/>
      <c r="V10" s="61"/>
    </row>
    <row r="11" spans="1:26" s="62" customFormat="1" ht="19.5" customHeight="1" thickTop="1" thickBot="1">
      <c r="A11" s="211">
        <v>3</v>
      </c>
      <c r="B11" s="436" t="s">
        <v>417</v>
      </c>
      <c r="C11" s="436"/>
      <c r="D11" s="436"/>
      <c r="E11" s="436"/>
      <c r="F11" s="436"/>
      <c r="G11" s="436"/>
      <c r="H11" s="436"/>
      <c r="I11" s="436"/>
      <c r="J11" s="436"/>
      <c r="K11" s="436"/>
      <c r="L11" s="436"/>
      <c r="M11" s="436"/>
      <c r="N11" s="436"/>
      <c r="O11" s="210"/>
      <c r="P11" s="210"/>
      <c r="Q11" s="210"/>
      <c r="R11" s="210"/>
      <c r="S11" s="210"/>
      <c r="T11" s="211"/>
      <c r="U11" s="61"/>
      <c r="V11" s="61"/>
    </row>
    <row r="12" spans="1:26" s="62" customFormat="1" ht="19.5" customHeight="1" thickTop="1" thickBot="1">
      <c r="A12" s="209"/>
      <c r="B12" s="210"/>
      <c r="C12" s="210"/>
      <c r="D12" s="210"/>
      <c r="E12" s="210"/>
      <c r="F12" s="222" t="s">
        <v>438</v>
      </c>
      <c r="G12" s="222">
        <f>'SP3-1'!I24</f>
        <v>0</v>
      </c>
      <c r="H12" s="222"/>
      <c r="I12" s="222"/>
      <c r="J12" s="222" t="s">
        <v>439</v>
      </c>
      <c r="K12" s="443"/>
      <c r="L12" s="443"/>
      <c r="M12" s="443"/>
      <c r="N12" s="210" t="s">
        <v>418</v>
      </c>
      <c r="O12" s="237">
        <f>Tables!K320-Tables!K319</f>
        <v>-0.98064352657801512</v>
      </c>
      <c r="P12" s="222" t="s">
        <v>436</v>
      </c>
      <c r="Q12" s="453">
        <f>K12*O12</f>
        <v>0</v>
      </c>
      <c r="R12" s="453"/>
      <c r="S12" s="453"/>
      <c r="T12" s="211" t="s">
        <v>430</v>
      </c>
      <c r="U12" s="61"/>
      <c r="V12" s="435" t="s">
        <v>916</v>
      </c>
      <c r="W12" s="435"/>
      <c r="X12" s="435"/>
      <c r="Y12" s="435"/>
      <c r="Z12" s="435"/>
    </row>
    <row r="13" spans="1:26" s="62" customFormat="1" ht="19.5" customHeight="1" thickTop="1" thickBot="1">
      <c r="A13" s="211">
        <v>4</v>
      </c>
      <c r="B13" s="436" t="s">
        <v>440</v>
      </c>
      <c r="C13" s="436"/>
      <c r="D13" s="436"/>
      <c r="E13" s="436"/>
      <c r="F13" s="436"/>
      <c r="G13" s="436"/>
      <c r="H13" s="436"/>
      <c r="I13" s="210"/>
      <c r="J13" s="210"/>
      <c r="K13" s="210"/>
      <c r="L13" s="210"/>
      <c r="M13" s="210"/>
      <c r="N13" s="210"/>
      <c r="O13" s="210"/>
      <c r="P13" s="210"/>
      <c r="Q13" s="210"/>
      <c r="R13" s="210"/>
      <c r="S13" s="210"/>
      <c r="T13" s="209"/>
      <c r="U13" s="61"/>
      <c r="V13" s="61"/>
      <c r="W13" s="61"/>
      <c r="X13" s="61"/>
      <c r="Y13" s="61"/>
    </row>
    <row r="14" spans="1:26" s="62" customFormat="1" ht="19.5" customHeight="1" thickTop="1" thickBot="1">
      <c r="A14" s="209"/>
      <c r="B14" s="235" t="s">
        <v>420</v>
      </c>
      <c r="C14" s="235"/>
      <c r="D14" s="235"/>
      <c r="E14" s="235"/>
      <c r="F14" s="235"/>
      <c r="G14" s="235"/>
      <c r="H14" s="235"/>
      <c r="I14" s="235"/>
      <c r="J14" s="235"/>
      <c r="K14" s="235"/>
      <c r="L14" s="235"/>
      <c r="M14" s="235"/>
      <c r="N14" s="235"/>
      <c r="O14" s="235"/>
      <c r="P14" s="239" t="s">
        <v>421</v>
      </c>
      <c r="Q14" s="492">
        <f>'SP3-1'!I22</f>
        <v>0</v>
      </c>
      <c r="R14" s="492"/>
      <c r="S14" s="492"/>
      <c r="T14" s="209"/>
      <c r="U14" s="61"/>
      <c r="V14" s="61"/>
      <c r="W14" s="61"/>
      <c r="X14" s="61"/>
      <c r="Y14" s="61"/>
    </row>
    <row r="15" spans="1:26" s="62" customFormat="1" ht="19.5" customHeight="1" thickTop="1" thickBot="1">
      <c r="A15" s="249"/>
      <c r="B15" s="250" t="s">
        <v>423</v>
      </c>
      <c r="C15" s="495" t="s">
        <v>424</v>
      </c>
      <c r="D15" s="495"/>
      <c r="E15" s="495"/>
      <c r="F15" s="495"/>
      <c r="G15" s="495"/>
      <c r="H15" s="495"/>
      <c r="I15" s="495"/>
      <c r="J15" s="495"/>
      <c r="K15" s="495" t="s">
        <v>425</v>
      </c>
      <c r="L15" s="495"/>
      <c r="M15" s="495"/>
      <c r="N15" s="495" t="s">
        <v>426</v>
      </c>
      <c r="O15" s="495"/>
      <c r="P15" s="495"/>
      <c r="Q15" s="495" t="s">
        <v>280</v>
      </c>
      <c r="R15" s="495"/>
      <c r="S15" s="495"/>
      <c r="T15" s="251"/>
      <c r="U15" s="61"/>
      <c r="V15" s="61"/>
      <c r="W15" s="61"/>
      <c r="X15" s="61"/>
      <c r="Y15" s="61"/>
    </row>
    <row r="16" spans="1:26" s="62" customFormat="1" ht="19.5" customHeight="1" thickTop="1" thickBot="1">
      <c r="A16" s="249"/>
      <c r="B16" s="241"/>
      <c r="C16" s="506"/>
      <c r="D16" s="506"/>
      <c r="E16" s="506"/>
      <c r="F16" s="506"/>
      <c r="G16" s="506"/>
      <c r="H16" s="506"/>
      <c r="I16" s="506"/>
      <c r="J16" s="506"/>
      <c r="K16" s="507"/>
      <c r="L16" s="507"/>
      <c r="M16" s="507"/>
      <c r="N16" s="499" t="str">
        <f>Tables!T323</f>
        <v/>
      </c>
      <c r="O16" s="499"/>
      <c r="P16" s="499"/>
      <c r="Q16" s="500" t="str">
        <f>IF(N16="","",K16*N16)</f>
        <v/>
      </c>
      <c r="R16" s="500"/>
      <c r="S16" s="500"/>
      <c r="T16" s="251"/>
      <c r="U16" s="61"/>
      <c r="V16" s="435" t="s">
        <v>917</v>
      </c>
      <c r="W16" s="435"/>
      <c r="X16" s="435"/>
      <c r="Y16" s="435"/>
      <c r="Z16" s="435"/>
    </row>
    <row r="17" spans="1:26" s="62" customFormat="1" ht="19.5" customHeight="1" thickTop="1" thickBot="1">
      <c r="A17" s="249"/>
      <c r="B17" s="241"/>
      <c r="C17" s="506"/>
      <c r="D17" s="506"/>
      <c r="E17" s="506"/>
      <c r="F17" s="506"/>
      <c r="G17" s="506"/>
      <c r="H17" s="506"/>
      <c r="I17" s="506"/>
      <c r="J17" s="506"/>
      <c r="K17" s="507"/>
      <c r="L17" s="507"/>
      <c r="M17" s="507"/>
      <c r="N17" s="499" t="str">
        <f>Tables!T324</f>
        <v/>
      </c>
      <c r="O17" s="499"/>
      <c r="P17" s="499"/>
      <c r="Q17" s="500" t="str">
        <f t="shared" ref="Q17:Q24" si="0">IF(N17="","",K17*N17)</f>
        <v/>
      </c>
      <c r="R17" s="500"/>
      <c r="S17" s="500"/>
      <c r="T17" s="251"/>
      <c r="U17" s="61"/>
      <c r="V17" s="435"/>
      <c r="W17" s="435"/>
      <c r="X17" s="435"/>
      <c r="Y17" s="435"/>
      <c r="Z17" s="435"/>
    </row>
    <row r="18" spans="1:26" s="62" customFormat="1" ht="19.5" customHeight="1" thickTop="1" thickBot="1">
      <c r="A18" s="249"/>
      <c r="B18" s="241"/>
      <c r="C18" s="506"/>
      <c r="D18" s="506"/>
      <c r="E18" s="506"/>
      <c r="F18" s="506"/>
      <c r="G18" s="506"/>
      <c r="H18" s="506"/>
      <c r="I18" s="506"/>
      <c r="J18" s="506"/>
      <c r="K18" s="507"/>
      <c r="L18" s="507"/>
      <c r="M18" s="507"/>
      <c r="N18" s="499" t="str">
        <f>Tables!T325</f>
        <v/>
      </c>
      <c r="O18" s="499"/>
      <c r="P18" s="499"/>
      <c r="Q18" s="500" t="str">
        <f>IF(N18="","",K18*N18)</f>
        <v/>
      </c>
      <c r="R18" s="500"/>
      <c r="S18" s="500"/>
      <c r="T18" s="251"/>
      <c r="U18" s="61"/>
      <c r="V18" s="435"/>
      <c r="W18" s="435"/>
      <c r="X18" s="435"/>
      <c r="Y18" s="435"/>
      <c r="Z18" s="435"/>
    </row>
    <row r="19" spans="1:26" s="62" customFormat="1" ht="19.5" customHeight="1" thickTop="1" thickBot="1">
      <c r="A19" s="249"/>
      <c r="B19" s="241"/>
      <c r="C19" s="506"/>
      <c r="D19" s="506"/>
      <c r="E19" s="506"/>
      <c r="F19" s="506"/>
      <c r="G19" s="506"/>
      <c r="H19" s="506"/>
      <c r="I19" s="506"/>
      <c r="J19" s="506"/>
      <c r="K19" s="507"/>
      <c r="L19" s="507"/>
      <c r="M19" s="507"/>
      <c r="N19" s="499" t="str">
        <f>Tables!T326</f>
        <v/>
      </c>
      <c r="O19" s="499"/>
      <c r="P19" s="499"/>
      <c r="Q19" s="500" t="str">
        <f>IF(N19="","",K19*N19)</f>
        <v/>
      </c>
      <c r="R19" s="500"/>
      <c r="S19" s="500"/>
      <c r="T19" s="251"/>
      <c r="U19" s="61"/>
      <c r="V19" s="435"/>
      <c r="W19" s="435"/>
      <c r="X19" s="435"/>
      <c r="Y19" s="435"/>
      <c r="Z19" s="435"/>
    </row>
    <row r="20" spans="1:26" s="62" customFormat="1" ht="19.5" customHeight="1" thickTop="1" thickBot="1">
      <c r="A20" s="249"/>
      <c r="B20" s="241"/>
      <c r="C20" s="506"/>
      <c r="D20" s="506"/>
      <c r="E20" s="506"/>
      <c r="F20" s="506"/>
      <c r="G20" s="506"/>
      <c r="H20" s="506"/>
      <c r="I20" s="506"/>
      <c r="J20" s="506"/>
      <c r="K20" s="507"/>
      <c r="L20" s="507"/>
      <c r="M20" s="507"/>
      <c r="N20" s="499" t="str">
        <f>Tables!T327</f>
        <v/>
      </c>
      <c r="O20" s="499"/>
      <c r="P20" s="499"/>
      <c r="Q20" s="500" t="str">
        <f t="shared" si="0"/>
        <v/>
      </c>
      <c r="R20" s="500"/>
      <c r="S20" s="500"/>
      <c r="T20" s="251"/>
      <c r="U20" s="61"/>
      <c r="V20" s="435"/>
      <c r="W20" s="435"/>
      <c r="X20" s="435"/>
      <c r="Y20" s="435"/>
      <c r="Z20" s="435"/>
    </row>
    <row r="21" spans="1:26" s="62" customFormat="1" ht="19.5" customHeight="1" thickTop="1" thickBot="1">
      <c r="A21" s="249"/>
      <c r="B21" s="241"/>
      <c r="C21" s="506"/>
      <c r="D21" s="506"/>
      <c r="E21" s="506"/>
      <c r="F21" s="506"/>
      <c r="G21" s="506"/>
      <c r="H21" s="506"/>
      <c r="I21" s="506"/>
      <c r="J21" s="506"/>
      <c r="K21" s="507"/>
      <c r="L21" s="507"/>
      <c r="M21" s="507"/>
      <c r="N21" s="499" t="str">
        <f>Tables!T328</f>
        <v/>
      </c>
      <c r="O21" s="499"/>
      <c r="P21" s="499"/>
      <c r="Q21" s="500" t="str">
        <f t="shared" si="0"/>
        <v/>
      </c>
      <c r="R21" s="500"/>
      <c r="S21" s="500"/>
      <c r="T21" s="251"/>
      <c r="U21" s="61"/>
      <c r="V21" s="435"/>
      <c r="W21" s="435"/>
      <c r="X21" s="435"/>
      <c r="Y21" s="435"/>
      <c r="Z21" s="435"/>
    </row>
    <row r="22" spans="1:26" s="62" customFormat="1" ht="19.5" customHeight="1" thickTop="1" thickBot="1">
      <c r="A22" s="249"/>
      <c r="B22" s="241"/>
      <c r="C22" s="506"/>
      <c r="D22" s="506"/>
      <c r="E22" s="506"/>
      <c r="F22" s="506"/>
      <c r="G22" s="506"/>
      <c r="H22" s="506"/>
      <c r="I22" s="506"/>
      <c r="J22" s="506"/>
      <c r="K22" s="507"/>
      <c r="L22" s="507"/>
      <c r="M22" s="507"/>
      <c r="N22" s="499" t="str">
        <f>Tables!T329</f>
        <v/>
      </c>
      <c r="O22" s="499"/>
      <c r="P22" s="499"/>
      <c r="Q22" s="500" t="str">
        <f t="shared" si="0"/>
        <v/>
      </c>
      <c r="R22" s="500"/>
      <c r="S22" s="500"/>
      <c r="T22" s="251"/>
      <c r="U22" s="61"/>
      <c r="V22" s="435"/>
      <c r="W22" s="435"/>
      <c r="X22" s="435"/>
      <c r="Y22" s="435"/>
      <c r="Z22" s="435"/>
    </row>
    <row r="23" spans="1:26" s="62" customFormat="1" ht="19.5" customHeight="1" thickTop="1" thickBot="1">
      <c r="A23" s="249"/>
      <c r="B23" s="241"/>
      <c r="C23" s="506"/>
      <c r="D23" s="506"/>
      <c r="E23" s="506"/>
      <c r="F23" s="506"/>
      <c r="G23" s="506"/>
      <c r="H23" s="506"/>
      <c r="I23" s="506"/>
      <c r="J23" s="506"/>
      <c r="K23" s="507"/>
      <c r="L23" s="507"/>
      <c r="M23" s="507"/>
      <c r="N23" s="499" t="str">
        <f>Tables!T330</f>
        <v/>
      </c>
      <c r="O23" s="499"/>
      <c r="P23" s="499"/>
      <c r="Q23" s="500" t="str">
        <f t="shared" si="0"/>
        <v/>
      </c>
      <c r="R23" s="500"/>
      <c r="S23" s="500"/>
      <c r="T23" s="251"/>
      <c r="U23" s="61"/>
      <c r="V23" s="435"/>
      <c r="W23" s="435"/>
      <c r="X23" s="435"/>
      <c r="Y23" s="435"/>
      <c r="Z23" s="435"/>
    </row>
    <row r="24" spans="1:26" s="62" customFormat="1" ht="19.5" customHeight="1" thickTop="1" thickBot="1">
      <c r="A24" s="249"/>
      <c r="B24" s="241"/>
      <c r="C24" s="506"/>
      <c r="D24" s="506"/>
      <c r="E24" s="506"/>
      <c r="F24" s="506"/>
      <c r="G24" s="506"/>
      <c r="H24" s="506"/>
      <c r="I24" s="506"/>
      <c r="J24" s="506"/>
      <c r="K24" s="507"/>
      <c r="L24" s="507"/>
      <c r="M24" s="507"/>
      <c r="N24" s="499" t="str">
        <f>Tables!T331</f>
        <v/>
      </c>
      <c r="O24" s="499"/>
      <c r="P24" s="499"/>
      <c r="Q24" s="500" t="str">
        <f t="shared" si="0"/>
        <v/>
      </c>
      <c r="R24" s="500"/>
      <c r="S24" s="500"/>
      <c r="T24" s="251"/>
      <c r="U24" s="61"/>
      <c r="V24" s="435"/>
      <c r="W24" s="435"/>
      <c r="X24" s="435"/>
      <c r="Y24" s="435"/>
      <c r="Z24" s="435"/>
    </row>
    <row r="25" spans="1:26" s="62" customFormat="1" ht="19.5" customHeight="1" thickTop="1" thickBot="1">
      <c r="A25" s="209"/>
      <c r="B25" s="244"/>
      <c r="C25" s="244"/>
      <c r="D25" s="244"/>
      <c r="E25" s="244"/>
      <c r="F25" s="244"/>
      <c r="G25" s="244"/>
      <c r="H25" s="244"/>
      <c r="I25" s="244"/>
      <c r="J25" s="244"/>
      <c r="K25" s="244"/>
      <c r="L25" s="244"/>
      <c r="M25" s="244"/>
      <c r="N25" s="244"/>
      <c r="O25" s="244"/>
      <c r="P25" s="245" t="s">
        <v>441</v>
      </c>
      <c r="Q25" s="508">
        <f>SUM(Q16:S24)</f>
        <v>0</v>
      </c>
      <c r="R25" s="508"/>
      <c r="S25" s="508"/>
      <c r="T25" s="211" t="s">
        <v>442</v>
      </c>
      <c r="U25" s="61"/>
      <c r="V25" s="61"/>
      <c r="W25" s="61"/>
      <c r="X25" s="61"/>
      <c r="Y25" s="61"/>
    </row>
    <row r="26" spans="1:26" s="62" customFormat="1" ht="19.5" customHeight="1" thickTop="1" thickBot="1">
      <c r="A26" s="211">
        <v>5</v>
      </c>
      <c r="B26" s="436" t="s">
        <v>443</v>
      </c>
      <c r="C26" s="436"/>
      <c r="D26" s="436"/>
      <c r="E26" s="436"/>
      <c r="F26" s="436"/>
      <c r="G26" s="436"/>
      <c r="H26" s="436"/>
      <c r="I26" s="436"/>
      <c r="J26" s="436"/>
      <c r="K26" s="252"/>
      <c r="L26" s="210"/>
      <c r="M26" s="210"/>
      <c r="N26" s="210"/>
      <c r="O26" s="210"/>
      <c r="P26" s="210"/>
      <c r="Q26" s="210"/>
      <c r="R26" s="210"/>
      <c r="S26" s="210"/>
      <c r="T26" s="209"/>
      <c r="U26" s="61"/>
      <c r="V26" s="61"/>
      <c r="W26" s="61"/>
      <c r="X26" s="61"/>
      <c r="Y26" s="61"/>
    </row>
    <row r="27" spans="1:26" s="62" customFormat="1" ht="19.5" customHeight="1" thickTop="1" thickBot="1">
      <c r="A27" s="209"/>
      <c r="B27" s="210"/>
      <c r="C27" s="210"/>
      <c r="D27" s="210"/>
      <c r="E27" s="210"/>
      <c r="F27" s="210"/>
      <c r="G27" s="222"/>
      <c r="H27" s="222"/>
      <c r="I27" s="222"/>
      <c r="J27" s="222" t="s">
        <v>267</v>
      </c>
      <c r="K27" s="443"/>
      <c r="L27" s="443"/>
      <c r="M27" s="443"/>
      <c r="N27" s="210" t="s">
        <v>418</v>
      </c>
      <c r="O27" s="237">
        <f>Tables!K320-Tables!K319</f>
        <v>-0.98064352657801512</v>
      </c>
      <c r="P27" s="222" t="s">
        <v>436</v>
      </c>
      <c r="Q27" s="453">
        <f>K27*O27</f>
        <v>0</v>
      </c>
      <c r="R27" s="453"/>
      <c r="S27" s="453"/>
      <c r="T27" s="211" t="s">
        <v>444</v>
      </c>
      <c r="U27" s="61"/>
      <c r="V27" s="435" t="s">
        <v>918</v>
      </c>
      <c r="W27" s="435"/>
      <c r="X27" s="435"/>
      <c r="Y27" s="435"/>
      <c r="Z27" s="435"/>
    </row>
    <row r="28" spans="1:26" s="62" customFormat="1" ht="19.5" customHeight="1" thickTop="1" thickBot="1">
      <c r="A28" s="211">
        <v>6</v>
      </c>
      <c r="B28" s="436" t="s">
        <v>764</v>
      </c>
      <c r="C28" s="436"/>
      <c r="D28" s="436"/>
      <c r="E28" s="436"/>
      <c r="F28" s="436"/>
      <c r="G28" s="210"/>
      <c r="H28" s="210"/>
      <c r="I28" s="210"/>
      <c r="J28" s="210"/>
      <c r="K28" s="210"/>
      <c r="L28" s="210"/>
      <c r="M28" s="210"/>
      <c r="N28" s="210"/>
      <c r="O28" s="210"/>
      <c r="P28" s="210"/>
      <c r="Q28" s="210"/>
      <c r="R28" s="210"/>
      <c r="S28" s="210"/>
      <c r="T28" s="209"/>
      <c r="U28" s="61"/>
      <c r="V28" s="61"/>
    </row>
    <row r="29" spans="1:26" s="62" customFormat="1" ht="19.5" customHeight="1" thickTop="1" thickBot="1">
      <c r="A29" s="209"/>
      <c r="B29" s="210"/>
      <c r="C29" s="210"/>
      <c r="D29" s="210"/>
      <c r="E29" s="210"/>
      <c r="F29" s="210"/>
      <c r="G29" s="210"/>
      <c r="H29" s="210"/>
      <c r="I29" s="210"/>
      <c r="J29" s="210"/>
      <c r="K29" s="252"/>
      <c r="L29" s="210"/>
      <c r="M29" s="210"/>
      <c r="N29" s="210"/>
      <c r="O29" s="210"/>
      <c r="P29" s="222" t="s">
        <v>765</v>
      </c>
      <c r="Q29" s="453">
        <f>Q9+Q10+Q12+Q25+Q27</f>
        <v>0</v>
      </c>
      <c r="R29" s="453"/>
      <c r="S29" s="453"/>
      <c r="T29" s="211" t="s">
        <v>395</v>
      </c>
      <c r="U29" s="61"/>
      <c r="V29" s="435" t="s">
        <v>445</v>
      </c>
      <c r="W29" s="435"/>
      <c r="X29" s="435"/>
      <c r="Y29" s="435"/>
      <c r="Z29" s="435"/>
    </row>
    <row r="30" spans="1:26" s="62" customFormat="1" ht="19.5" customHeight="1" thickTop="1">
      <c r="A30" s="138"/>
      <c r="B30" s="61"/>
      <c r="C30" s="61"/>
      <c r="D30" s="61"/>
      <c r="E30" s="61"/>
      <c r="F30" s="61"/>
      <c r="G30" s="61"/>
      <c r="H30" s="61"/>
      <c r="I30" s="61"/>
      <c r="J30" s="61"/>
      <c r="K30" s="61"/>
      <c r="L30" s="61"/>
      <c r="M30" s="61"/>
      <c r="N30" s="61"/>
      <c r="O30" s="61"/>
      <c r="P30" s="61"/>
      <c r="Q30" s="61"/>
      <c r="R30" s="61"/>
      <c r="S30" s="61"/>
      <c r="T30" s="138"/>
      <c r="U30" s="61"/>
      <c r="V30" s="61"/>
    </row>
    <row r="31" spans="1:26" s="62" customFormat="1" ht="14.25" customHeight="1">
      <c r="A31" s="138"/>
      <c r="B31" s="61"/>
      <c r="C31" s="61"/>
      <c r="D31" s="61"/>
      <c r="E31" s="61"/>
      <c r="F31" s="61"/>
      <c r="G31" s="61"/>
      <c r="H31" s="61"/>
      <c r="I31" s="61"/>
      <c r="J31" s="61"/>
      <c r="K31" s="61"/>
      <c r="L31" s="61"/>
      <c r="M31" s="61"/>
      <c r="N31" s="61"/>
      <c r="O31" s="61"/>
      <c r="P31" s="61"/>
      <c r="Q31" s="61"/>
      <c r="R31" s="61"/>
      <c r="S31" s="61"/>
      <c r="T31" s="138"/>
      <c r="U31" s="61"/>
      <c r="V31" s="61"/>
    </row>
    <row r="32" spans="1:26" s="62" customFormat="1" ht="14.25" customHeight="1">
      <c r="A32" s="138"/>
      <c r="B32" s="61"/>
      <c r="C32" s="61"/>
      <c r="D32" s="61"/>
      <c r="E32" s="61"/>
      <c r="F32" s="61"/>
      <c r="G32" s="61"/>
      <c r="H32" s="61"/>
      <c r="I32" s="61"/>
      <c r="J32" s="61"/>
      <c r="K32" s="61"/>
      <c r="L32" s="61"/>
      <c r="M32" s="61"/>
      <c r="N32" s="61"/>
      <c r="O32" s="61"/>
      <c r="P32" s="61"/>
      <c r="Q32" s="61"/>
      <c r="R32" s="61"/>
      <c r="S32" s="61"/>
      <c r="T32" s="138"/>
      <c r="U32" s="61"/>
      <c r="V32" s="61"/>
    </row>
    <row r="33" spans="1:22" s="62" customFormat="1" ht="14.25" customHeight="1">
      <c r="A33" s="138"/>
      <c r="B33" s="61"/>
      <c r="C33" s="61"/>
      <c r="D33" s="61"/>
      <c r="E33" s="61"/>
      <c r="F33" s="61"/>
      <c r="G33" s="61"/>
      <c r="H33" s="61"/>
      <c r="I33" s="61"/>
      <c r="J33" s="61"/>
      <c r="K33" s="61"/>
      <c r="L33" s="61"/>
      <c r="M33" s="61"/>
      <c r="N33" s="61"/>
      <c r="O33" s="61"/>
      <c r="P33" s="61"/>
      <c r="Q33" s="61"/>
      <c r="R33" s="61"/>
      <c r="S33" s="61"/>
      <c r="T33" s="138"/>
      <c r="U33" s="61"/>
      <c r="V33" s="61"/>
    </row>
    <row r="34" spans="1:22" s="62" customFormat="1" ht="14.25" customHeight="1">
      <c r="A34" s="138"/>
      <c r="B34" s="61"/>
      <c r="C34" s="61"/>
      <c r="D34" s="71"/>
      <c r="E34" s="61"/>
      <c r="F34" s="61"/>
      <c r="G34" s="61"/>
      <c r="H34" s="61"/>
      <c r="I34" s="61"/>
      <c r="J34" s="61"/>
      <c r="K34" s="61"/>
      <c r="L34" s="61"/>
      <c r="M34" s="61"/>
      <c r="N34" s="61"/>
      <c r="O34" s="61"/>
      <c r="P34" s="89"/>
      <c r="Q34" s="61"/>
      <c r="R34" s="61"/>
      <c r="S34" s="61"/>
      <c r="T34" s="138"/>
      <c r="U34" s="61"/>
      <c r="V34" s="61"/>
    </row>
    <row r="35" spans="1:22" s="62" customFormat="1" ht="14.25" customHeight="1">
      <c r="A35" s="138"/>
      <c r="B35" s="61"/>
      <c r="C35" s="61"/>
      <c r="D35" s="71"/>
      <c r="E35" s="61"/>
      <c r="F35" s="61"/>
      <c r="G35" s="61"/>
      <c r="H35" s="61"/>
      <c r="I35" s="61"/>
      <c r="J35" s="61"/>
      <c r="K35" s="61"/>
      <c r="L35" s="61"/>
      <c r="M35" s="61"/>
      <c r="N35" s="61"/>
      <c r="O35" s="61"/>
      <c r="P35" s="89"/>
      <c r="Q35" s="61"/>
      <c r="R35" s="61"/>
      <c r="S35" s="61"/>
      <c r="T35" s="138"/>
      <c r="U35" s="61"/>
      <c r="V35" s="61"/>
    </row>
    <row r="36" spans="1:22" s="62" customFormat="1" ht="14.25" customHeight="1">
      <c r="A36" s="138"/>
      <c r="B36" s="61"/>
      <c r="C36" s="61"/>
      <c r="D36" s="71"/>
      <c r="E36" s="61"/>
      <c r="F36" s="61"/>
      <c r="G36" s="61"/>
      <c r="H36" s="61"/>
      <c r="I36" s="61"/>
      <c r="J36" s="61"/>
      <c r="K36" s="61"/>
      <c r="L36" s="61"/>
      <c r="M36" s="61"/>
      <c r="N36" s="61"/>
      <c r="O36" s="61"/>
      <c r="P36" s="89"/>
      <c r="Q36" s="61"/>
      <c r="R36" s="61"/>
      <c r="S36" s="61"/>
      <c r="T36" s="138"/>
      <c r="U36" s="61"/>
      <c r="V36" s="61"/>
    </row>
    <row r="37" spans="1:22" s="62" customFormat="1" ht="14.25" customHeight="1">
      <c r="A37" s="61"/>
      <c r="B37" s="61"/>
      <c r="C37" s="61"/>
      <c r="D37" s="61"/>
      <c r="E37" s="61"/>
      <c r="F37" s="61"/>
      <c r="G37" s="61"/>
      <c r="H37" s="61"/>
      <c r="I37" s="61"/>
      <c r="J37" s="61"/>
      <c r="K37" s="61"/>
      <c r="L37" s="61"/>
      <c r="M37" s="61"/>
      <c r="N37" s="61"/>
      <c r="O37" s="61"/>
      <c r="P37" s="61"/>
      <c r="Q37" s="61"/>
      <c r="R37" s="61"/>
      <c r="S37" s="61"/>
      <c r="T37" s="138"/>
      <c r="U37" s="61"/>
      <c r="V37" s="61"/>
    </row>
    <row r="38" spans="1:22" s="62" customFormat="1" ht="14.25" customHeight="1">
      <c r="A38" s="61"/>
      <c r="B38" s="61"/>
      <c r="C38" s="61"/>
      <c r="D38" s="61"/>
      <c r="E38" s="61"/>
      <c r="F38" s="61"/>
      <c r="G38" s="61"/>
      <c r="H38" s="61"/>
      <c r="I38" s="61"/>
      <c r="J38" s="61"/>
      <c r="K38" s="61"/>
      <c r="L38" s="61"/>
      <c r="M38" s="61"/>
      <c r="N38" s="61"/>
      <c r="O38" s="61"/>
      <c r="P38" s="61"/>
      <c r="Q38" s="61"/>
      <c r="R38" s="61"/>
      <c r="S38" s="61"/>
      <c r="T38" s="138"/>
      <c r="U38" s="61"/>
      <c r="V38" s="61"/>
    </row>
    <row r="39" spans="1:22" s="62" customFormat="1" ht="14.25" customHeight="1">
      <c r="A39" s="61"/>
      <c r="B39" s="61"/>
      <c r="C39" s="61"/>
      <c r="D39" s="61"/>
      <c r="E39" s="61"/>
      <c r="F39" s="61"/>
      <c r="G39" s="61"/>
      <c r="H39" s="61"/>
      <c r="I39" s="61"/>
      <c r="J39" s="61"/>
      <c r="K39" s="61"/>
      <c r="L39" s="61"/>
      <c r="M39" s="61"/>
      <c r="N39" s="61"/>
      <c r="O39" s="61"/>
      <c r="P39" s="61"/>
      <c r="Q39" s="90"/>
      <c r="R39" s="90"/>
      <c r="S39" s="90"/>
      <c r="T39" s="138"/>
      <c r="U39" s="61"/>
      <c r="V39" s="61"/>
    </row>
    <row r="40" spans="1:22" s="62" customFormat="1" ht="14.25" customHeight="1">
      <c r="A40" s="61"/>
      <c r="B40" s="61"/>
      <c r="C40" s="61"/>
      <c r="D40" s="61"/>
      <c r="E40" s="61"/>
      <c r="F40" s="61"/>
      <c r="G40" s="61"/>
      <c r="H40" s="61"/>
      <c r="I40" s="61"/>
      <c r="J40" s="61"/>
      <c r="K40" s="61"/>
      <c r="L40" s="61"/>
      <c r="M40" s="61"/>
      <c r="N40" s="61"/>
      <c r="O40" s="61"/>
      <c r="P40" s="61"/>
      <c r="Q40" s="90"/>
      <c r="R40" s="90"/>
      <c r="S40" s="90"/>
      <c r="T40" s="138"/>
      <c r="U40" s="61"/>
      <c r="V40" s="61"/>
    </row>
    <row r="41" spans="1:22" s="62" customFormat="1" ht="11.5" hidden="1">
      <c r="A41" s="61"/>
      <c r="B41" s="61"/>
      <c r="C41" s="61"/>
      <c r="D41" s="61"/>
      <c r="E41" s="61"/>
      <c r="F41" s="61"/>
      <c r="G41" s="61"/>
      <c r="H41" s="61"/>
      <c r="I41" s="61"/>
      <c r="J41" s="61"/>
      <c r="K41" s="61"/>
      <c r="L41" s="61"/>
      <c r="M41" s="61"/>
      <c r="N41" s="61"/>
      <c r="O41" s="61"/>
      <c r="P41" s="61"/>
      <c r="Q41" s="61"/>
      <c r="R41" s="61"/>
      <c r="S41" s="61"/>
      <c r="T41" s="138"/>
      <c r="U41" s="61"/>
      <c r="V41" s="61"/>
    </row>
    <row r="42" spans="1:22" s="69" customFormat="1" hidden="1">
      <c r="A42" s="61">
        <v>0</v>
      </c>
      <c r="B42" s="61"/>
      <c r="C42" s="61"/>
      <c r="D42" s="61"/>
      <c r="E42" s="61"/>
      <c r="F42" s="61"/>
      <c r="G42" s="61"/>
      <c r="H42" s="61"/>
      <c r="I42" s="61"/>
      <c r="J42" s="61"/>
      <c r="K42" s="61"/>
      <c r="L42" s="61"/>
      <c r="M42" s="61"/>
      <c r="N42" s="61"/>
      <c r="O42" s="61"/>
      <c r="P42" s="61"/>
      <c r="Q42" s="61"/>
      <c r="R42" s="61"/>
      <c r="S42" s="61"/>
      <c r="T42" s="138"/>
      <c r="U42" s="61"/>
      <c r="V42" s="61"/>
    </row>
    <row r="43" spans="1:22" s="69" customFormat="1" hidden="1">
      <c r="A43" s="61">
        <v>1</v>
      </c>
      <c r="B43" s="61"/>
      <c r="C43" s="61"/>
      <c r="D43" s="61"/>
      <c r="E43" s="61"/>
      <c r="F43" s="61"/>
      <c r="G43" s="61"/>
      <c r="H43" s="61"/>
      <c r="I43" s="61"/>
      <c r="J43" s="61"/>
      <c r="K43" s="61"/>
      <c r="L43" s="61"/>
      <c r="M43" s="61"/>
      <c r="N43" s="61"/>
      <c r="O43" s="61"/>
      <c r="P43" s="61"/>
      <c r="Q43" s="61"/>
      <c r="R43" s="61"/>
      <c r="S43" s="61"/>
      <c r="T43" s="138"/>
      <c r="U43" s="61"/>
      <c r="V43" s="61"/>
    </row>
    <row r="44" spans="1:22" s="69" customFormat="1" hidden="1">
      <c r="A44" s="61">
        <v>2</v>
      </c>
      <c r="B44" s="61"/>
      <c r="C44" s="61"/>
      <c r="D44" s="61"/>
      <c r="E44" s="61"/>
      <c r="F44" s="61"/>
      <c r="G44" s="61"/>
      <c r="H44" s="61"/>
      <c r="I44" s="61"/>
      <c r="J44" s="61"/>
      <c r="K44" s="61"/>
      <c r="L44" s="61"/>
      <c r="M44" s="61"/>
      <c r="N44" s="61"/>
      <c r="O44" s="61"/>
      <c r="P44" s="61"/>
      <c r="Q44" s="61"/>
      <c r="R44" s="61"/>
      <c r="S44" s="61"/>
      <c r="T44" s="138"/>
      <c r="U44" s="61"/>
      <c r="V44" s="61"/>
    </row>
    <row r="45" spans="1:22" s="69" customFormat="1" hidden="1">
      <c r="A45" s="61">
        <v>3</v>
      </c>
      <c r="B45" s="61"/>
      <c r="C45" s="61"/>
      <c r="D45" s="61"/>
      <c r="E45" s="61"/>
      <c r="F45" s="61"/>
      <c r="G45" s="61"/>
      <c r="H45" s="61"/>
      <c r="I45" s="61"/>
      <c r="J45" s="61"/>
      <c r="K45" s="61"/>
      <c r="L45" s="61"/>
      <c r="M45" s="61"/>
      <c r="N45" s="61"/>
      <c r="O45" s="61"/>
      <c r="P45" s="61"/>
      <c r="Q45" s="61"/>
      <c r="R45" s="61"/>
      <c r="S45" s="61"/>
      <c r="T45" s="138"/>
      <c r="U45" s="61"/>
      <c r="V45" s="61"/>
    </row>
    <row r="46" spans="1:22" s="69" customFormat="1" hidden="1">
      <c r="A46" s="61">
        <v>4</v>
      </c>
      <c r="B46" s="61"/>
      <c r="C46" s="61"/>
      <c r="D46" s="61"/>
      <c r="E46" s="61"/>
      <c r="F46" s="61"/>
      <c r="G46" s="61"/>
      <c r="H46" s="61"/>
      <c r="I46" s="61"/>
      <c r="J46" s="61"/>
      <c r="K46" s="61"/>
      <c r="L46" s="61"/>
      <c r="M46" s="61"/>
      <c r="N46" s="61"/>
      <c r="O46" s="61"/>
      <c r="P46" s="61"/>
      <c r="Q46" s="61"/>
      <c r="R46" s="61"/>
      <c r="S46" s="61"/>
      <c r="T46" s="138"/>
      <c r="U46" s="61"/>
      <c r="V46" s="61"/>
    </row>
    <row r="47" spans="1:22" s="69" customFormat="1" hidden="1">
      <c r="A47" s="61">
        <v>5</v>
      </c>
      <c r="B47" s="61"/>
      <c r="C47" s="61"/>
      <c r="D47" s="61"/>
      <c r="E47" s="61"/>
      <c r="F47" s="61"/>
      <c r="G47" s="61"/>
      <c r="H47" s="61"/>
      <c r="I47" s="61"/>
      <c r="J47" s="61"/>
      <c r="K47" s="61"/>
      <c r="L47" s="61"/>
      <c r="M47" s="61"/>
      <c r="N47" s="61"/>
      <c r="O47" s="61"/>
      <c r="P47" s="61"/>
      <c r="Q47" s="61"/>
      <c r="R47" s="61"/>
      <c r="S47" s="61"/>
      <c r="T47" s="138"/>
      <c r="U47" s="61"/>
      <c r="V47" s="61"/>
    </row>
    <row r="48" spans="1:22" s="69" customFormat="1" hidden="1">
      <c r="A48" s="61">
        <v>6</v>
      </c>
      <c r="B48" s="61"/>
      <c r="C48" s="61"/>
      <c r="D48" s="61"/>
      <c r="E48" s="61"/>
      <c r="F48" s="61"/>
      <c r="G48" s="61"/>
      <c r="H48" s="61"/>
      <c r="I48" s="61"/>
      <c r="J48" s="61"/>
      <c r="K48" s="61"/>
      <c r="L48" s="61"/>
      <c r="M48" s="61"/>
      <c r="N48" s="61"/>
      <c r="O48" s="61"/>
      <c r="P48" s="61"/>
      <c r="Q48" s="61"/>
      <c r="R48" s="61"/>
      <c r="S48" s="61"/>
      <c r="T48" s="138"/>
      <c r="U48" s="61"/>
      <c r="V48" s="61"/>
    </row>
    <row r="49" spans="1:22" s="69" customFormat="1" hidden="1">
      <c r="A49" s="61">
        <v>7</v>
      </c>
      <c r="B49" s="61"/>
      <c r="C49" s="61"/>
      <c r="D49" s="61"/>
      <c r="E49" s="61"/>
      <c r="F49" s="61"/>
      <c r="G49" s="61"/>
      <c r="H49" s="61"/>
      <c r="I49" s="61"/>
      <c r="J49" s="61"/>
      <c r="K49" s="61"/>
      <c r="L49" s="61"/>
      <c r="M49" s="61"/>
      <c r="N49" s="61"/>
      <c r="O49" s="61"/>
      <c r="P49" s="61"/>
      <c r="Q49" s="61"/>
      <c r="R49" s="61"/>
      <c r="S49" s="61"/>
      <c r="T49" s="138"/>
      <c r="U49" s="61"/>
      <c r="V49" s="61"/>
    </row>
    <row r="50" spans="1:22" s="69" customFormat="1" hidden="1">
      <c r="A50" s="61">
        <v>8</v>
      </c>
      <c r="B50" s="61"/>
      <c r="C50" s="61"/>
      <c r="D50" s="61"/>
      <c r="E50" s="61"/>
      <c r="F50" s="61"/>
      <c r="G50" s="61"/>
      <c r="H50" s="61"/>
      <c r="I50" s="61"/>
      <c r="J50" s="61"/>
      <c r="K50" s="61"/>
      <c r="L50" s="61"/>
      <c r="M50" s="61"/>
      <c r="N50" s="61"/>
      <c r="O50" s="61"/>
      <c r="P50" s="61"/>
      <c r="Q50" s="61"/>
      <c r="R50" s="61"/>
      <c r="S50" s="61"/>
      <c r="T50" s="138"/>
      <c r="U50" s="61"/>
      <c r="V50" s="61"/>
    </row>
    <row r="51" spans="1:22" s="69" customFormat="1" hidden="1">
      <c r="A51" s="61">
        <v>9</v>
      </c>
      <c r="B51" s="61"/>
      <c r="C51" s="61"/>
      <c r="D51" s="61"/>
      <c r="E51" s="61"/>
      <c r="F51" s="61"/>
      <c r="G51" s="61"/>
      <c r="H51" s="61"/>
      <c r="I51" s="61"/>
      <c r="J51" s="61"/>
      <c r="K51" s="61"/>
      <c r="L51" s="61"/>
      <c r="M51" s="61"/>
      <c r="N51" s="61"/>
      <c r="O51" s="61"/>
      <c r="P51" s="61"/>
      <c r="Q51" s="61"/>
      <c r="R51" s="61"/>
      <c r="S51" s="61"/>
      <c r="T51" s="138"/>
      <c r="U51" s="61"/>
      <c r="V51" s="61"/>
    </row>
    <row r="52" spans="1:22" s="69" customFormat="1" hidden="1">
      <c r="A52" s="61">
        <v>10</v>
      </c>
      <c r="B52" s="61"/>
      <c r="C52" s="61"/>
      <c r="D52" s="61"/>
      <c r="E52" s="61"/>
      <c r="F52" s="61"/>
      <c r="G52" s="61"/>
      <c r="H52" s="61"/>
      <c r="I52" s="61"/>
      <c r="J52" s="61"/>
      <c r="K52" s="61"/>
      <c r="L52" s="61"/>
      <c r="M52" s="61"/>
      <c r="N52" s="61"/>
      <c r="O52" s="61"/>
      <c r="P52" s="61"/>
      <c r="Q52" s="61"/>
      <c r="R52" s="61"/>
      <c r="S52" s="61"/>
      <c r="T52" s="138"/>
      <c r="U52" s="61"/>
      <c r="V52" s="61"/>
    </row>
    <row r="53" spans="1:22" s="69" customFormat="1" hidden="1">
      <c r="A53" s="61">
        <v>11</v>
      </c>
      <c r="B53" s="61"/>
      <c r="C53" s="61"/>
      <c r="D53" s="61"/>
      <c r="E53" s="61"/>
      <c r="F53" s="61"/>
      <c r="G53" s="61"/>
      <c r="H53" s="61"/>
      <c r="I53" s="61"/>
      <c r="J53" s="61"/>
      <c r="K53" s="61"/>
      <c r="L53" s="61"/>
      <c r="M53" s="61"/>
      <c r="N53" s="61"/>
      <c r="O53" s="61"/>
      <c r="P53" s="61"/>
      <c r="Q53" s="61"/>
      <c r="R53" s="61"/>
      <c r="S53" s="61"/>
      <c r="T53" s="138"/>
      <c r="U53" s="61"/>
      <c r="V53" s="61"/>
    </row>
    <row r="54" spans="1:22" s="69" customFormat="1" hidden="1">
      <c r="A54" s="61">
        <v>12</v>
      </c>
      <c r="B54" s="61"/>
      <c r="C54" s="61"/>
      <c r="D54" s="61"/>
      <c r="E54" s="61"/>
      <c r="F54" s="61"/>
      <c r="G54" s="61"/>
      <c r="H54" s="61"/>
      <c r="I54" s="61"/>
      <c r="J54" s="61"/>
      <c r="K54" s="61"/>
      <c r="L54" s="61"/>
      <c r="M54" s="61"/>
      <c r="N54" s="61"/>
      <c r="O54" s="61"/>
      <c r="P54" s="61"/>
      <c r="Q54" s="61"/>
      <c r="R54" s="61"/>
      <c r="S54" s="61"/>
      <c r="T54" s="138"/>
      <c r="U54" s="61"/>
      <c r="V54" s="61"/>
    </row>
    <row r="55" spans="1:22" s="69" customFormat="1" hidden="1">
      <c r="A55" s="61">
        <v>13</v>
      </c>
      <c r="B55" s="61"/>
      <c r="C55" s="61"/>
      <c r="D55" s="61"/>
      <c r="E55" s="61"/>
      <c r="F55" s="61"/>
      <c r="G55" s="61"/>
      <c r="H55" s="61"/>
      <c r="I55" s="61"/>
      <c r="J55" s="61"/>
      <c r="K55" s="61"/>
      <c r="L55" s="61"/>
      <c r="M55" s="61"/>
      <c r="N55" s="61"/>
      <c r="O55" s="61"/>
      <c r="P55" s="61"/>
      <c r="Q55" s="61"/>
      <c r="R55" s="61"/>
      <c r="S55" s="61"/>
      <c r="T55" s="138"/>
      <c r="U55" s="61"/>
      <c r="V55" s="61"/>
    </row>
    <row r="56" spans="1:22" s="69" customFormat="1" hidden="1">
      <c r="A56" s="61">
        <v>14</v>
      </c>
      <c r="B56" s="61"/>
      <c r="C56" s="61"/>
      <c r="D56" s="61"/>
      <c r="E56" s="61"/>
      <c r="F56" s="61"/>
      <c r="G56" s="61"/>
      <c r="H56" s="61"/>
      <c r="I56" s="61"/>
      <c r="J56" s="61"/>
      <c r="K56" s="61"/>
      <c r="L56" s="61"/>
      <c r="M56" s="61"/>
      <c r="N56" s="61"/>
      <c r="O56" s="61"/>
      <c r="P56" s="61"/>
      <c r="Q56" s="61"/>
      <c r="R56" s="61"/>
      <c r="S56" s="61"/>
      <c r="T56" s="138"/>
      <c r="U56" s="61"/>
      <c r="V56" s="61"/>
    </row>
    <row r="57" spans="1:22" s="69" customFormat="1" hidden="1">
      <c r="A57" s="61">
        <v>15</v>
      </c>
      <c r="B57" s="61"/>
      <c r="C57" s="61"/>
      <c r="D57" s="61"/>
      <c r="E57" s="61"/>
      <c r="F57" s="61"/>
      <c r="G57" s="61"/>
      <c r="H57" s="61"/>
      <c r="I57" s="61"/>
      <c r="J57" s="61"/>
      <c r="K57" s="61"/>
      <c r="L57" s="61"/>
      <c r="M57" s="61"/>
      <c r="N57" s="61"/>
      <c r="O57" s="61"/>
      <c r="P57" s="61"/>
      <c r="Q57" s="61"/>
      <c r="R57" s="61"/>
      <c r="S57" s="61"/>
      <c r="T57" s="138"/>
      <c r="U57" s="61"/>
      <c r="V57" s="61"/>
    </row>
    <row r="58" spans="1:22" s="69" customFormat="1" hidden="1">
      <c r="A58" s="61">
        <v>16</v>
      </c>
      <c r="B58" s="61"/>
      <c r="C58" s="61"/>
      <c r="D58" s="61"/>
      <c r="E58" s="61"/>
      <c r="F58" s="61"/>
      <c r="G58" s="61"/>
      <c r="H58" s="61"/>
      <c r="I58" s="61"/>
      <c r="J58" s="61"/>
      <c r="K58" s="61"/>
      <c r="L58" s="61"/>
      <c r="M58" s="61"/>
      <c r="N58" s="61"/>
      <c r="O58" s="61"/>
      <c r="P58" s="61"/>
      <c r="Q58" s="61"/>
      <c r="R58" s="61"/>
      <c r="S58" s="61"/>
      <c r="T58" s="138"/>
      <c r="U58" s="61"/>
      <c r="V58" s="61"/>
    </row>
    <row r="59" spans="1:22" s="69" customFormat="1" hidden="1">
      <c r="A59" s="61">
        <v>17</v>
      </c>
      <c r="B59" s="61"/>
      <c r="C59" s="61"/>
      <c r="D59" s="61"/>
      <c r="E59" s="61"/>
      <c r="F59" s="61"/>
      <c r="G59" s="61"/>
      <c r="H59" s="61"/>
      <c r="I59" s="61"/>
      <c r="J59" s="61"/>
      <c r="K59" s="61"/>
      <c r="L59" s="61"/>
      <c r="M59" s="61"/>
      <c r="N59" s="61"/>
      <c r="O59" s="61"/>
      <c r="P59" s="61"/>
      <c r="Q59" s="61"/>
      <c r="R59" s="61"/>
      <c r="S59" s="61"/>
      <c r="T59" s="138"/>
      <c r="U59" s="61"/>
      <c r="V59" s="61"/>
    </row>
    <row r="60" spans="1:22" s="69" customFormat="1" hidden="1">
      <c r="A60" s="61">
        <v>18</v>
      </c>
      <c r="B60" s="61"/>
      <c r="C60" s="61"/>
      <c r="D60" s="61"/>
      <c r="E60" s="61"/>
      <c r="F60" s="61"/>
      <c r="G60" s="61"/>
      <c r="H60" s="61"/>
      <c r="I60" s="61"/>
      <c r="J60" s="61"/>
      <c r="K60" s="61"/>
      <c r="L60" s="61"/>
      <c r="M60" s="61"/>
      <c r="N60" s="61"/>
      <c r="O60" s="61"/>
      <c r="P60" s="61"/>
      <c r="Q60" s="61"/>
      <c r="R60" s="61"/>
      <c r="S60" s="61"/>
      <c r="T60" s="138"/>
      <c r="U60" s="61"/>
      <c r="V60" s="61"/>
    </row>
    <row r="61" spans="1:22" s="69" customFormat="1" hidden="1">
      <c r="A61" s="61">
        <v>19</v>
      </c>
      <c r="B61" s="61"/>
      <c r="C61" s="61"/>
      <c r="D61" s="61"/>
      <c r="E61" s="61"/>
      <c r="F61" s="61"/>
      <c r="G61" s="61"/>
      <c r="H61" s="61"/>
      <c r="I61" s="61"/>
      <c r="J61" s="61"/>
      <c r="K61" s="61"/>
      <c r="L61" s="61"/>
      <c r="M61" s="61"/>
      <c r="N61" s="61"/>
      <c r="O61" s="61"/>
      <c r="P61" s="61"/>
      <c r="Q61" s="61"/>
      <c r="R61" s="61"/>
      <c r="S61" s="61"/>
      <c r="T61" s="138"/>
      <c r="U61" s="61"/>
      <c r="V61" s="61"/>
    </row>
    <row r="62" spans="1:22" s="69" customFormat="1" hidden="1">
      <c r="A62" s="61">
        <v>20</v>
      </c>
      <c r="B62" s="61"/>
      <c r="C62" s="61"/>
      <c r="D62" s="61"/>
      <c r="E62" s="61"/>
      <c r="F62" s="61"/>
      <c r="G62" s="61"/>
      <c r="H62" s="61"/>
      <c r="I62" s="61"/>
      <c r="J62" s="61"/>
      <c r="K62" s="61"/>
      <c r="L62" s="61"/>
      <c r="M62" s="61"/>
      <c r="N62" s="61"/>
      <c r="O62" s="61"/>
      <c r="P62" s="61"/>
      <c r="Q62" s="61"/>
      <c r="R62" s="61"/>
      <c r="S62" s="61"/>
      <c r="T62" s="138"/>
      <c r="U62" s="61"/>
      <c r="V62" s="61"/>
    </row>
    <row r="63" spans="1:22" s="69" customFormat="1" hidden="1">
      <c r="A63" s="61">
        <v>21</v>
      </c>
      <c r="B63" s="61"/>
      <c r="C63" s="61"/>
      <c r="D63" s="61"/>
      <c r="E63" s="61"/>
      <c r="F63" s="61"/>
      <c r="G63" s="61"/>
      <c r="H63" s="61"/>
      <c r="I63" s="61"/>
      <c r="J63" s="61"/>
      <c r="K63" s="61"/>
      <c r="L63" s="61"/>
      <c r="M63" s="61"/>
      <c r="N63" s="61"/>
      <c r="O63" s="61"/>
      <c r="P63" s="61"/>
      <c r="Q63" s="61"/>
      <c r="R63" s="61"/>
      <c r="S63" s="61"/>
      <c r="T63" s="138"/>
      <c r="U63" s="61"/>
      <c r="V63" s="61"/>
    </row>
    <row r="64" spans="1:22" s="69" customFormat="1" hidden="1">
      <c r="A64" s="61">
        <v>22</v>
      </c>
      <c r="B64" s="61"/>
      <c r="C64" s="61"/>
      <c r="D64" s="61"/>
      <c r="E64" s="61"/>
      <c r="F64" s="61"/>
      <c r="G64" s="61"/>
      <c r="H64" s="61"/>
      <c r="I64" s="61"/>
      <c r="J64" s="61"/>
      <c r="K64" s="61"/>
      <c r="L64" s="61"/>
      <c r="M64" s="61"/>
      <c r="N64" s="61"/>
      <c r="O64" s="61"/>
      <c r="P64" s="61"/>
      <c r="Q64" s="61"/>
      <c r="R64" s="61"/>
      <c r="S64" s="61"/>
      <c r="T64" s="138"/>
      <c r="U64" s="61"/>
      <c r="V64" s="61"/>
    </row>
    <row r="65" spans="1:22" hidden="1">
      <c r="A65" s="61">
        <v>23</v>
      </c>
      <c r="B65" s="59"/>
      <c r="C65" s="59"/>
      <c r="D65" s="59"/>
      <c r="E65" s="59"/>
      <c r="F65" s="59"/>
      <c r="G65" s="59"/>
      <c r="H65" s="59"/>
      <c r="I65" s="59"/>
      <c r="J65" s="59"/>
      <c r="K65" s="59"/>
      <c r="L65" s="59"/>
      <c r="M65" s="59"/>
      <c r="N65" s="59"/>
      <c r="O65" s="59"/>
      <c r="P65" s="59"/>
      <c r="Q65" s="59"/>
      <c r="R65" s="59"/>
      <c r="S65" s="59"/>
      <c r="T65" s="60"/>
      <c r="U65" s="59"/>
      <c r="V65" s="59"/>
    </row>
    <row r="66" spans="1:22" hidden="1">
      <c r="A66" s="61">
        <v>24</v>
      </c>
      <c r="B66" s="59"/>
      <c r="C66" s="59"/>
      <c r="D66" s="59"/>
      <c r="E66" s="59"/>
      <c r="F66" s="59"/>
      <c r="G66" s="59"/>
      <c r="H66" s="59"/>
      <c r="I66" s="59"/>
      <c r="J66" s="59"/>
      <c r="K66" s="59"/>
      <c r="L66" s="59"/>
      <c r="M66" s="59"/>
      <c r="N66" s="59"/>
      <c r="O66" s="59"/>
      <c r="P66" s="59"/>
      <c r="Q66" s="59"/>
      <c r="R66" s="59"/>
      <c r="S66" s="59"/>
      <c r="T66" s="60"/>
      <c r="U66" s="59"/>
      <c r="V66" s="59"/>
    </row>
    <row r="67" spans="1:22" hidden="1">
      <c r="A67" s="61">
        <v>25</v>
      </c>
      <c r="B67" s="59"/>
      <c r="C67" s="59"/>
      <c r="D67" s="59"/>
      <c r="E67" s="59"/>
      <c r="F67" s="59"/>
      <c r="G67" s="59"/>
      <c r="H67" s="59"/>
      <c r="I67" s="59"/>
      <c r="J67" s="59"/>
      <c r="K67" s="59"/>
      <c r="L67" s="59"/>
      <c r="M67" s="59"/>
      <c r="N67" s="59"/>
      <c r="O67" s="59"/>
      <c r="P67" s="59"/>
      <c r="Q67" s="59"/>
      <c r="R67" s="59"/>
      <c r="S67" s="59"/>
      <c r="T67" s="60"/>
      <c r="U67" s="59"/>
      <c r="V67" s="59"/>
    </row>
    <row r="68" spans="1:22" hidden="1">
      <c r="A68" s="61">
        <v>26</v>
      </c>
      <c r="B68" s="59"/>
      <c r="C68" s="59"/>
      <c r="D68" s="59"/>
      <c r="E68" s="59"/>
      <c r="F68" s="59"/>
      <c r="G68" s="59"/>
      <c r="H68" s="59"/>
      <c r="I68" s="59"/>
      <c r="J68" s="59"/>
      <c r="K68" s="59"/>
      <c r="L68" s="59"/>
      <c r="M68" s="59"/>
      <c r="N68" s="59"/>
      <c r="O68" s="59"/>
      <c r="P68" s="59"/>
      <c r="Q68" s="59"/>
      <c r="R68" s="59"/>
      <c r="S68" s="59"/>
      <c r="T68" s="60"/>
      <c r="U68" s="59"/>
      <c r="V68" s="59"/>
    </row>
    <row r="69" spans="1:22" hidden="1">
      <c r="A69" s="61">
        <v>27</v>
      </c>
      <c r="B69" s="59"/>
      <c r="C69" s="59"/>
      <c r="D69" s="59"/>
      <c r="E69" s="59"/>
      <c r="F69" s="59"/>
      <c r="G69" s="59"/>
      <c r="H69" s="59"/>
      <c r="I69" s="59"/>
      <c r="J69" s="59"/>
      <c r="K69" s="59"/>
      <c r="L69" s="59"/>
      <c r="M69" s="59"/>
      <c r="N69" s="59"/>
      <c r="O69" s="59"/>
      <c r="P69" s="59"/>
      <c r="Q69" s="59"/>
      <c r="R69" s="59"/>
      <c r="S69" s="59"/>
      <c r="T69" s="60"/>
      <c r="U69" s="59"/>
      <c r="V69" s="59"/>
    </row>
    <row r="70" spans="1:22" hidden="1">
      <c r="A70" s="61">
        <v>28</v>
      </c>
      <c r="B70" s="59"/>
      <c r="C70" s="59"/>
      <c r="D70" s="59"/>
      <c r="E70" s="59"/>
      <c r="F70" s="59"/>
      <c r="G70" s="59"/>
      <c r="H70" s="59"/>
      <c r="I70" s="59"/>
      <c r="J70" s="59"/>
      <c r="K70" s="59"/>
      <c r="L70" s="59"/>
      <c r="M70" s="59"/>
      <c r="N70" s="59"/>
      <c r="O70" s="59"/>
      <c r="P70" s="59"/>
      <c r="Q70" s="59"/>
      <c r="R70" s="59"/>
      <c r="S70" s="59"/>
      <c r="T70" s="60"/>
      <c r="U70" s="59"/>
      <c r="V70" s="59"/>
    </row>
    <row r="71" spans="1:22" hidden="1">
      <c r="A71" s="61">
        <v>29</v>
      </c>
      <c r="B71" s="59"/>
      <c r="C71" s="59"/>
      <c r="D71" s="59"/>
      <c r="E71" s="59"/>
      <c r="F71" s="59"/>
      <c r="G71" s="59"/>
      <c r="H71" s="59"/>
      <c r="I71" s="59"/>
      <c r="J71" s="59"/>
      <c r="K71" s="59"/>
      <c r="L71" s="59"/>
      <c r="M71" s="59"/>
      <c r="N71" s="59"/>
      <c r="O71" s="59"/>
      <c r="P71" s="59"/>
      <c r="Q71" s="59"/>
      <c r="R71" s="59"/>
      <c r="S71" s="59"/>
      <c r="T71" s="60"/>
      <c r="U71" s="59"/>
      <c r="V71" s="59"/>
    </row>
    <row r="72" spans="1:22" hidden="1">
      <c r="A72" s="61">
        <v>30</v>
      </c>
      <c r="B72" s="59"/>
      <c r="C72" s="59"/>
      <c r="D72" s="59"/>
      <c r="E72" s="59"/>
      <c r="F72" s="59"/>
      <c r="G72" s="59"/>
      <c r="H72" s="59"/>
      <c r="I72" s="59"/>
      <c r="J72" s="59"/>
      <c r="K72" s="59"/>
      <c r="L72" s="59"/>
      <c r="M72" s="59"/>
      <c r="N72" s="59"/>
      <c r="O72" s="59"/>
      <c r="P72" s="59"/>
      <c r="Q72" s="59"/>
      <c r="R72" s="59"/>
      <c r="S72" s="59"/>
      <c r="T72" s="60"/>
      <c r="U72" s="59"/>
      <c r="V72" s="59"/>
    </row>
    <row r="73" spans="1:22" hidden="1">
      <c r="A73" s="61">
        <v>31</v>
      </c>
      <c r="B73" s="59"/>
      <c r="C73" s="59"/>
      <c r="D73" s="59"/>
      <c r="E73" s="59"/>
      <c r="F73" s="59"/>
      <c r="G73" s="59"/>
      <c r="H73" s="59"/>
      <c r="I73" s="59"/>
      <c r="J73" s="59"/>
      <c r="K73" s="59"/>
      <c r="L73" s="59"/>
      <c r="M73" s="59"/>
      <c r="N73" s="59"/>
      <c r="O73" s="59"/>
      <c r="P73" s="59"/>
      <c r="Q73" s="59"/>
      <c r="R73" s="59"/>
      <c r="S73" s="59"/>
      <c r="T73" s="60"/>
      <c r="U73" s="59"/>
      <c r="V73" s="59"/>
    </row>
    <row r="74" spans="1:22" hidden="1">
      <c r="A74" s="61">
        <v>32</v>
      </c>
      <c r="B74" s="59"/>
      <c r="C74" s="59"/>
      <c r="D74" s="59"/>
      <c r="E74" s="59"/>
      <c r="F74" s="59"/>
      <c r="G74" s="59"/>
      <c r="H74" s="59"/>
      <c r="I74" s="59"/>
      <c r="J74" s="59"/>
      <c r="K74" s="59"/>
      <c r="L74" s="59"/>
      <c r="M74" s="59"/>
      <c r="N74" s="59"/>
      <c r="O74" s="59"/>
      <c r="P74" s="59"/>
      <c r="Q74" s="59"/>
      <c r="R74" s="59"/>
      <c r="S74" s="59"/>
      <c r="T74" s="60"/>
      <c r="U74" s="59"/>
      <c r="V74" s="59"/>
    </row>
    <row r="75" spans="1:22" hidden="1">
      <c r="A75" s="61">
        <v>33</v>
      </c>
      <c r="B75" s="59"/>
      <c r="C75" s="59"/>
      <c r="D75" s="59"/>
      <c r="E75" s="59"/>
      <c r="F75" s="59"/>
      <c r="G75" s="59"/>
      <c r="H75" s="59"/>
      <c r="I75" s="59"/>
      <c r="J75" s="59"/>
      <c r="K75" s="59"/>
      <c r="L75" s="59"/>
      <c r="M75" s="59"/>
      <c r="N75" s="59"/>
      <c r="O75" s="59"/>
      <c r="P75" s="59"/>
      <c r="Q75" s="59"/>
      <c r="R75" s="59"/>
      <c r="S75" s="59"/>
      <c r="T75" s="60"/>
      <c r="U75" s="59"/>
      <c r="V75" s="59"/>
    </row>
    <row r="76" spans="1:22" hidden="1">
      <c r="A76" s="61">
        <v>34</v>
      </c>
      <c r="B76" s="59"/>
      <c r="C76" s="59"/>
      <c r="D76" s="59"/>
      <c r="E76" s="59"/>
      <c r="F76" s="59"/>
      <c r="G76" s="59"/>
      <c r="H76" s="59"/>
      <c r="I76" s="59"/>
      <c r="J76" s="59"/>
      <c r="K76" s="59"/>
      <c r="L76" s="59"/>
      <c r="M76" s="59"/>
      <c r="N76" s="59"/>
      <c r="O76" s="59"/>
      <c r="P76" s="59"/>
      <c r="Q76" s="59"/>
      <c r="R76" s="59"/>
      <c r="S76" s="59"/>
      <c r="T76" s="60"/>
      <c r="U76" s="59"/>
      <c r="V76" s="59"/>
    </row>
    <row r="77" spans="1:22" hidden="1">
      <c r="A77" s="61">
        <v>35</v>
      </c>
      <c r="B77" s="59"/>
      <c r="C77" s="59"/>
      <c r="D77" s="59"/>
      <c r="E77" s="59"/>
      <c r="F77" s="59"/>
      <c r="G77" s="59"/>
      <c r="H77" s="59"/>
      <c r="I77" s="59"/>
      <c r="J77" s="59"/>
      <c r="K77" s="59"/>
      <c r="L77" s="59"/>
      <c r="M77" s="59"/>
      <c r="N77" s="59"/>
      <c r="O77" s="59"/>
      <c r="P77" s="59"/>
      <c r="Q77" s="59"/>
      <c r="R77" s="59"/>
      <c r="S77" s="59"/>
      <c r="T77" s="60"/>
      <c r="U77" s="59"/>
      <c r="V77" s="59"/>
    </row>
    <row r="78" spans="1:22" hidden="1">
      <c r="A78" s="61">
        <v>36</v>
      </c>
    </row>
    <row r="79" spans="1:22" hidden="1">
      <c r="A79" s="61">
        <v>37</v>
      </c>
    </row>
    <row r="80" spans="1:22" hidden="1">
      <c r="A80" s="61">
        <v>38</v>
      </c>
    </row>
    <row r="81" spans="1:1" hidden="1">
      <c r="A81" s="61">
        <v>39</v>
      </c>
    </row>
    <row r="82" spans="1:1" hidden="1">
      <c r="A82" s="61">
        <v>40</v>
      </c>
    </row>
    <row r="83" spans="1:1" hidden="1">
      <c r="A83" s="61">
        <v>41</v>
      </c>
    </row>
    <row r="84" spans="1:1" hidden="1">
      <c r="A84" s="61">
        <v>42</v>
      </c>
    </row>
    <row r="85" spans="1:1" hidden="1">
      <c r="A85" s="61">
        <v>43</v>
      </c>
    </row>
    <row r="86" spans="1:1" hidden="1">
      <c r="A86" s="61">
        <v>44</v>
      </c>
    </row>
    <row r="87" spans="1:1" hidden="1">
      <c r="A87" s="61">
        <v>45</v>
      </c>
    </row>
    <row r="88" spans="1:1" hidden="1">
      <c r="A88" s="61">
        <v>46</v>
      </c>
    </row>
    <row r="89" spans="1:1" hidden="1">
      <c r="A89" s="61">
        <v>47</v>
      </c>
    </row>
    <row r="90" spans="1:1" hidden="1">
      <c r="A90" s="61">
        <v>48</v>
      </c>
    </row>
    <row r="91" spans="1:1" hidden="1">
      <c r="A91" s="61">
        <v>49</v>
      </c>
    </row>
  </sheetData>
  <sheetProtection algorithmName="SHA-512" hashValue="/BRpjnD/66brTRA3sWsNPFw1rYkGBYg1Y5zh/qvsPRoNHjdvSuxtXADPhRB2p3jQWZ5Pr4k0DOceWLot3cEflg==" saltValue="Z26vi3sAKPAb0cgxbWAw0w==" spinCount="100000" sheet="1" selectLockedCells="1"/>
  <protectedRanges>
    <protectedRange sqref="E34:F36" name="Range15"/>
    <protectedRange sqref="N34:O36" name="Range14"/>
    <protectedRange sqref="G9:M9 Q9 T27 T25 R8:T9 E8:M8 N8:N9 O8:Q8 C8:D9 T10:T12" name="Range1"/>
    <protectedRange sqref="T17:T20" name="Range3"/>
    <protectedRange sqref="F25:O25 T22:T24" name="Range5"/>
    <protectedRange sqref="K30:K31" name="Range9"/>
    <protectedRange sqref="E33:I33" name="Range10"/>
    <protectedRange sqref="R33:S33" name="Range11"/>
    <protectedRange sqref="P25" name="Range5_4"/>
    <protectedRange sqref="Q16:S24" name="Range5_1"/>
    <protectedRange sqref="N16:P24" name="Range5_2"/>
    <protectedRange sqref="P27 P12" name="Range1_1"/>
    <protectedRange sqref="P9" name="Range1_2"/>
    <protectedRange sqref="A7:K7" name="Range1_3"/>
  </protectedRanges>
  <mergeCells count="62">
    <mergeCell ref="Q29:S29"/>
    <mergeCell ref="V29:Z29"/>
    <mergeCell ref="Q25:S25"/>
    <mergeCell ref="B26:J26"/>
    <mergeCell ref="K27:M27"/>
    <mergeCell ref="Q27:S27"/>
    <mergeCell ref="V27:Z27"/>
    <mergeCell ref="B28:F28"/>
    <mergeCell ref="C23:J23"/>
    <mergeCell ref="K23:M23"/>
    <mergeCell ref="N23:P23"/>
    <mergeCell ref="Q23:S23"/>
    <mergeCell ref="C24:J24"/>
    <mergeCell ref="K24:M24"/>
    <mergeCell ref="N24:P24"/>
    <mergeCell ref="Q24:S24"/>
    <mergeCell ref="C21:J21"/>
    <mergeCell ref="K21:M21"/>
    <mergeCell ref="N21:P21"/>
    <mergeCell ref="Q21:S21"/>
    <mergeCell ref="C22:J22"/>
    <mergeCell ref="K22:M22"/>
    <mergeCell ref="N22:P22"/>
    <mergeCell ref="Q22:S22"/>
    <mergeCell ref="Q19:S19"/>
    <mergeCell ref="C20:J20"/>
    <mergeCell ref="K20:M20"/>
    <mergeCell ref="N20:P20"/>
    <mergeCell ref="Q20:S20"/>
    <mergeCell ref="C16:J16"/>
    <mergeCell ref="K16:M16"/>
    <mergeCell ref="N16:P16"/>
    <mergeCell ref="Q16:S16"/>
    <mergeCell ref="V16:Z24"/>
    <mergeCell ref="C17:J17"/>
    <mergeCell ref="K17:M17"/>
    <mergeCell ref="N17:P17"/>
    <mergeCell ref="Q17:S17"/>
    <mergeCell ref="C18:J18"/>
    <mergeCell ref="K18:M18"/>
    <mergeCell ref="N18:P18"/>
    <mergeCell ref="Q18:S18"/>
    <mergeCell ref="C19:J19"/>
    <mergeCell ref="K19:M19"/>
    <mergeCell ref="N19:P19"/>
    <mergeCell ref="V12:Z12"/>
    <mergeCell ref="B13:H13"/>
    <mergeCell ref="C15:J15"/>
    <mergeCell ref="K15:M15"/>
    <mergeCell ref="N15:P15"/>
    <mergeCell ref="Q15:S15"/>
    <mergeCell ref="Q14:S14"/>
    <mergeCell ref="B4:S5"/>
    <mergeCell ref="L7:S7"/>
    <mergeCell ref="B8:O8"/>
    <mergeCell ref="K9:M9"/>
    <mergeCell ref="Q9:S9"/>
    <mergeCell ref="B10:G10"/>
    <mergeCell ref="Q10:S10"/>
    <mergeCell ref="B11:N11"/>
    <mergeCell ref="K12:M12"/>
    <mergeCell ref="Q12:S12"/>
  </mergeCells>
  <dataValidations count="1">
    <dataValidation type="list" allowBlank="1" showErrorMessage="1" errorTitle="Incorrect input" error="Please select the year by pushing the drop-down arrow and clicking the correct year" prompt="Select the year" sqref="B16:B24 IX16:IX24 ST16:ST24 ACP16:ACP24 AML16:AML24 AWH16:AWH24 BGD16:BGD24 BPZ16:BPZ24 BZV16:BZV24 CJR16:CJR24 CTN16:CTN24 DDJ16:DDJ24 DNF16:DNF24 DXB16:DXB24 EGX16:EGX24 EQT16:EQT24 FAP16:FAP24 FKL16:FKL24 FUH16:FUH24 GED16:GED24 GNZ16:GNZ24 GXV16:GXV24 HHR16:HHR24 HRN16:HRN24 IBJ16:IBJ24 ILF16:ILF24 IVB16:IVB24 JEX16:JEX24 JOT16:JOT24 JYP16:JYP24 KIL16:KIL24 KSH16:KSH24 LCD16:LCD24 LLZ16:LLZ24 LVV16:LVV24 MFR16:MFR24 MPN16:MPN24 MZJ16:MZJ24 NJF16:NJF24 NTB16:NTB24 OCX16:OCX24 OMT16:OMT24 OWP16:OWP24 PGL16:PGL24 PQH16:PQH24 QAD16:QAD24 QJZ16:QJZ24 QTV16:QTV24 RDR16:RDR24 RNN16:RNN24 RXJ16:RXJ24 SHF16:SHF24 SRB16:SRB24 TAX16:TAX24 TKT16:TKT24 TUP16:TUP24 UEL16:UEL24 UOH16:UOH24 UYD16:UYD24 VHZ16:VHZ24 VRV16:VRV24 WBR16:WBR24 WLN16:WLN24 WVJ16:WVJ24 B65552:B65560 IX65552:IX65560 ST65552:ST65560 ACP65552:ACP65560 AML65552:AML65560 AWH65552:AWH65560 BGD65552:BGD65560 BPZ65552:BPZ65560 BZV65552:BZV65560 CJR65552:CJR65560 CTN65552:CTN65560 DDJ65552:DDJ65560 DNF65552:DNF65560 DXB65552:DXB65560 EGX65552:EGX65560 EQT65552:EQT65560 FAP65552:FAP65560 FKL65552:FKL65560 FUH65552:FUH65560 GED65552:GED65560 GNZ65552:GNZ65560 GXV65552:GXV65560 HHR65552:HHR65560 HRN65552:HRN65560 IBJ65552:IBJ65560 ILF65552:ILF65560 IVB65552:IVB65560 JEX65552:JEX65560 JOT65552:JOT65560 JYP65552:JYP65560 KIL65552:KIL65560 KSH65552:KSH65560 LCD65552:LCD65560 LLZ65552:LLZ65560 LVV65552:LVV65560 MFR65552:MFR65560 MPN65552:MPN65560 MZJ65552:MZJ65560 NJF65552:NJF65560 NTB65552:NTB65560 OCX65552:OCX65560 OMT65552:OMT65560 OWP65552:OWP65560 PGL65552:PGL65560 PQH65552:PQH65560 QAD65552:QAD65560 QJZ65552:QJZ65560 QTV65552:QTV65560 RDR65552:RDR65560 RNN65552:RNN65560 RXJ65552:RXJ65560 SHF65552:SHF65560 SRB65552:SRB65560 TAX65552:TAX65560 TKT65552:TKT65560 TUP65552:TUP65560 UEL65552:UEL65560 UOH65552:UOH65560 UYD65552:UYD65560 VHZ65552:VHZ65560 VRV65552:VRV65560 WBR65552:WBR65560 WLN65552:WLN65560 WVJ65552:WVJ65560 B131088:B131096 IX131088:IX131096 ST131088:ST131096 ACP131088:ACP131096 AML131088:AML131096 AWH131088:AWH131096 BGD131088:BGD131096 BPZ131088:BPZ131096 BZV131088:BZV131096 CJR131088:CJR131096 CTN131088:CTN131096 DDJ131088:DDJ131096 DNF131088:DNF131096 DXB131088:DXB131096 EGX131088:EGX131096 EQT131088:EQT131096 FAP131088:FAP131096 FKL131088:FKL131096 FUH131088:FUH131096 GED131088:GED131096 GNZ131088:GNZ131096 GXV131088:GXV131096 HHR131088:HHR131096 HRN131088:HRN131096 IBJ131088:IBJ131096 ILF131088:ILF131096 IVB131088:IVB131096 JEX131088:JEX131096 JOT131088:JOT131096 JYP131088:JYP131096 KIL131088:KIL131096 KSH131088:KSH131096 LCD131088:LCD131096 LLZ131088:LLZ131096 LVV131088:LVV131096 MFR131088:MFR131096 MPN131088:MPN131096 MZJ131088:MZJ131096 NJF131088:NJF131096 NTB131088:NTB131096 OCX131088:OCX131096 OMT131088:OMT131096 OWP131088:OWP131096 PGL131088:PGL131096 PQH131088:PQH131096 QAD131088:QAD131096 QJZ131088:QJZ131096 QTV131088:QTV131096 RDR131088:RDR131096 RNN131088:RNN131096 RXJ131088:RXJ131096 SHF131088:SHF131096 SRB131088:SRB131096 TAX131088:TAX131096 TKT131088:TKT131096 TUP131088:TUP131096 UEL131088:UEL131096 UOH131088:UOH131096 UYD131088:UYD131096 VHZ131088:VHZ131096 VRV131088:VRV131096 WBR131088:WBR131096 WLN131088:WLN131096 WVJ131088:WVJ131096 B196624:B196632 IX196624:IX196632 ST196624:ST196632 ACP196624:ACP196632 AML196624:AML196632 AWH196624:AWH196632 BGD196624:BGD196632 BPZ196624:BPZ196632 BZV196624:BZV196632 CJR196624:CJR196632 CTN196624:CTN196632 DDJ196624:DDJ196632 DNF196624:DNF196632 DXB196624:DXB196632 EGX196624:EGX196632 EQT196624:EQT196632 FAP196624:FAP196632 FKL196624:FKL196632 FUH196624:FUH196632 GED196624:GED196632 GNZ196624:GNZ196632 GXV196624:GXV196632 HHR196624:HHR196632 HRN196624:HRN196632 IBJ196624:IBJ196632 ILF196624:ILF196632 IVB196624:IVB196632 JEX196624:JEX196632 JOT196624:JOT196632 JYP196624:JYP196632 KIL196624:KIL196632 KSH196624:KSH196632 LCD196624:LCD196632 LLZ196624:LLZ196632 LVV196624:LVV196632 MFR196624:MFR196632 MPN196624:MPN196632 MZJ196624:MZJ196632 NJF196624:NJF196632 NTB196624:NTB196632 OCX196624:OCX196632 OMT196624:OMT196632 OWP196624:OWP196632 PGL196624:PGL196632 PQH196624:PQH196632 QAD196624:QAD196632 QJZ196624:QJZ196632 QTV196624:QTV196632 RDR196624:RDR196632 RNN196624:RNN196632 RXJ196624:RXJ196632 SHF196624:SHF196632 SRB196624:SRB196632 TAX196624:TAX196632 TKT196624:TKT196632 TUP196624:TUP196632 UEL196624:UEL196632 UOH196624:UOH196632 UYD196624:UYD196632 VHZ196624:VHZ196632 VRV196624:VRV196632 WBR196624:WBR196632 WLN196624:WLN196632 WVJ196624:WVJ196632 B262160:B262168 IX262160:IX262168 ST262160:ST262168 ACP262160:ACP262168 AML262160:AML262168 AWH262160:AWH262168 BGD262160:BGD262168 BPZ262160:BPZ262168 BZV262160:BZV262168 CJR262160:CJR262168 CTN262160:CTN262168 DDJ262160:DDJ262168 DNF262160:DNF262168 DXB262160:DXB262168 EGX262160:EGX262168 EQT262160:EQT262168 FAP262160:FAP262168 FKL262160:FKL262168 FUH262160:FUH262168 GED262160:GED262168 GNZ262160:GNZ262168 GXV262160:GXV262168 HHR262160:HHR262168 HRN262160:HRN262168 IBJ262160:IBJ262168 ILF262160:ILF262168 IVB262160:IVB262168 JEX262160:JEX262168 JOT262160:JOT262168 JYP262160:JYP262168 KIL262160:KIL262168 KSH262160:KSH262168 LCD262160:LCD262168 LLZ262160:LLZ262168 LVV262160:LVV262168 MFR262160:MFR262168 MPN262160:MPN262168 MZJ262160:MZJ262168 NJF262160:NJF262168 NTB262160:NTB262168 OCX262160:OCX262168 OMT262160:OMT262168 OWP262160:OWP262168 PGL262160:PGL262168 PQH262160:PQH262168 QAD262160:QAD262168 QJZ262160:QJZ262168 QTV262160:QTV262168 RDR262160:RDR262168 RNN262160:RNN262168 RXJ262160:RXJ262168 SHF262160:SHF262168 SRB262160:SRB262168 TAX262160:TAX262168 TKT262160:TKT262168 TUP262160:TUP262168 UEL262160:UEL262168 UOH262160:UOH262168 UYD262160:UYD262168 VHZ262160:VHZ262168 VRV262160:VRV262168 WBR262160:WBR262168 WLN262160:WLN262168 WVJ262160:WVJ262168 B327696:B327704 IX327696:IX327704 ST327696:ST327704 ACP327696:ACP327704 AML327696:AML327704 AWH327696:AWH327704 BGD327696:BGD327704 BPZ327696:BPZ327704 BZV327696:BZV327704 CJR327696:CJR327704 CTN327696:CTN327704 DDJ327696:DDJ327704 DNF327696:DNF327704 DXB327696:DXB327704 EGX327696:EGX327704 EQT327696:EQT327704 FAP327696:FAP327704 FKL327696:FKL327704 FUH327696:FUH327704 GED327696:GED327704 GNZ327696:GNZ327704 GXV327696:GXV327704 HHR327696:HHR327704 HRN327696:HRN327704 IBJ327696:IBJ327704 ILF327696:ILF327704 IVB327696:IVB327704 JEX327696:JEX327704 JOT327696:JOT327704 JYP327696:JYP327704 KIL327696:KIL327704 KSH327696:KSH327704 LCD327696:LCD327704 LLZ327696:LLZ327704 LVV327696:LVV327704 MFR327696:MFR327704 MPN327696:MPN327704 MZJ327696:MZJ327704 NJF327696:NJF327704 NTB327696:NTB327704 OCX327696:OCX327704 OMT327696:OMT327704 OWP327696:OWP327704 PGL327696:PGL327704 PQH327696:PQH327704 QAD327696:QAD327704 QJZ327696:QJZ327704 QTV327696:QTV327704 RDR327696:RDR327704 RNN327696:RNN327704 RXJ327696:RXJ327704 SHF327696:SHF327704 SRB327696:SRB327704 TAX327696:TAX327704 TKT327696:TKT327704 TUP327696:TUP327704 UEL327696:UEL327704 UOH327696:UOH327704 UYD327696:UYD327704 VHZ327696:VHZ327704 VRV327696:VRV327704 WBR327696:WBR327704 WLN327696:WLN327704 WVJ327696:WVJ327704 B393232:B393240 IX393232:IX393240 ST393232:ST393240 ACP393232:ACP393240 AML393232:AML393240 AWH393232:AWH393240 BGD393232:BGD393240 BPZ393232:BPZ393240 BZV393232:BZV393240 CJR393232:CJR393240 CTN393232:CTN393240 DDJ393232:DDJ393240 DNF393232:DNF393240 DXB393232:DXB393240 EGX393232:EGX393240 EQT393232:EQT393240 FAP393232:FAP393240 FKL393232:FKL393240 FUH393232:FUH393240 GED393232:GED393240 GNZ393232:GNZ393240 GXV393232:GXV393240 HHR393232:HHR393240 HRN393232:HRN393240 IBJ393232:IBJ393240 ILF393232:ILF393240 IVB393232:IVB393240 JEX393232:JEX393240 JOT393232:JOT393240 JYP393232:JYP393240 KIL393232:KIL393240 KSH393232:KSH393240 LCD393232:LCD393240 LLZ393232:LLZ393240 LVV393232:LVV393240 MFR393232:MFR393240 MPN393232:MPN393240 MZJ393232:MZJ393240 NJF393232:NJF393240 NTB393232:NTB393240 OCX393232:OCX393240 OMT393232:OMT393240 OWP393232:OWP393240 PGL393232:PGL393240 PQH393232:PQH393240 QAD393232:QAD393240 QJZ393232:QJZ393240 QTV393232:QTV393240 RDR393232:RDR393240 RNN393232:RNN393240 RXJ393232:RXJ393240 SHF393232:SHF393240 SRB393232:SRB393240 TAX393232:TAX393240 TKT393232:TKT393240 TUP393232:TUP393240 UEL393232:UEL393240 UOH393232:UOH393240 UYD393232:UYD393240 VHZ393232:VHZ393240 VRV393232:VRV393240 WBR393232:WBR393240 WLN393232:WLN393240 WVJ393232:WVJ393240 B458768:B458776 IX458768:IX458776 ST458768:ST458776 ACP458768:ACP458776 AML458768:AML458776 AWH458768:AWH458776 BGD458768:BGD458776 BPZ458768:BPZ458776 BZV458768:BZV458776 CJR458768:CJR458776 CTN458768:CTN458776 DDJ458768:DDJ458776 DNF458768:DNF458776 DXB458768:DXB458776 EGX458768:EGX458776 EQT458768:EQT458776 FAP458768:FAP458776 FKL458768:FKL458776 FUH458768:FUH458776 GED458768:GED458776 GNZ458768:GNZ458776 GXV458768:GXV458776 HHR458768:HHR458776 HRN458768:HRN458776 IBJ458768:IBJ458776 ILF458768:ILF458776 IVB458768:IVB458776 JEX458768:JEX458776 JOT458768:JOT458776 JYP458768:JYP458776 KIL458768:KIL458776 KSH458768:KSH458776 LCD458768:LCD458776 LLZ458768:LLZ458776 LVV458768:LVV458776 MFR458768:MFR458776 MPN458768:MPN458776 MZJ458768:MZJ458776 NJF458768:NJF458776 NTB458768:NTB458776 OCX458768:OCX458776 OMT458768:OMT458776 OWP458768:OWP458776 PGL458768:PGL458776 PQH458768:PQH458776 QAD458768:QAD458776 QJZ458768:QJZ458776 QTV458768:QTV458776 RDR458768:RDR458776 RNN458768:RNN458776 RXJ458768:RXJ458776 SHF458768:SHF458776 SRB458768:SRB458776 TAX458768:TAX458776 TKT458768:TKT458776 TUP458768:TUP458776 UEL458768:UEL458776 UOH458768:UOH458776 UYD458768:UYD458776 VHZ458768:VHZ458776 VRV458768:VRV458776 WBR458768:WBR458776 WLN458768:WLN458776 WVJ458768:WVJ458776 B524304:B524312 IX524304:IX524312 ST524304:ST524312 ACP524304:ACP524312 AML524304:AML524312 AWH524304:AWH524312 BGD524304:BGD524312 BPZ524304:BPZ524312 BZV524304:BZV524312 CJR524304:CJR524312 CTN524304:CTN524312 DDJ524304:DDJ524312 DNF524304:DNF524312 DXB524304:DXB524312 EGX524304:EGX524312 EQT524304:EQT524312 FAP524304:FAP524312 FKL524304:FKL524312 FUH524304:FUH524312 GED524304:GED524312 GNZ524304:GNZ524312 GXV524304:GXV524312 HHR524304:HHR524312 HRN524304:HRN524312 IBJ524304:IBJ524312 ILF524304:ILF524312 IVB524304:IVB524312 JEX524304:JEX524312 JOT524304:JOT524312 JYP524304:JYP524312 KIL524304:KIL524312 KSH524304:KSH524312 LCD524304:LCD524312 LLZ524304:LLZ524312 LVV524304:LVV524312 MFR524304:MFR524312 MPN524304:MPN524312 MZJ524304:MZJ524312 NJF524304:NJF524312 NTB524304:NTB524312 OCX524304:OCX524312 OMT524304:OMT524312 OWP524304:OWP524312 PGL524304:PGL524312 PQH524304:PQH524312 QAD524304:QAD524312 QJZ524304:QJZ524312 QTV524304:QTV524312 RDR524304:RDR524312 RNN524304:RNN524312 RXJ524304:RXJ524312 SHF524304:SHF524312 SRB524304:SRB524312 TAX524304:TAX524312 TKT524304:TKT524312 TUP524304:TUP524312 UEL524304:UEL524312 UOH524304:UOH524312 UYD524304:UYD524312 VHZ524304:VHZ524312 VRV524304:VRV524312 WBR524304:WBR524312 WLN524304:WLN524312 WVJ524304:WVJ524312 B589840:B589848 IX589840:IX589848 ST589840:ST589848 ACP589840:ACP589848 AML589840:AML589848 AWH589840:AWH589848 BGD589840:BGD589848 BPZ589840:BPZ589848 BZV589840:BZV589848 CJR589840:CJR589848 CTN589840:CTN589848 DDJ589840:DDJ589848 DNF589840:DNF589848 DXB589840:DXB589848 EGX589840:EGX589848 EQT589840:EQT589848 FAP589840:FAP589848 FKL589840:FKL589848 FUH589840:FUH589848 GED589840:GED589848 GNZ589840:GNZ589848 GXV589840:GXV589848 HHR589840:HHR589848 HRN589840:HRN589848 IBJ589840:IBJ589848 ILF589840:ILF589848 IVB589840:IVB589848 JEX589840:JEX589848 JOT589840:JOT589848 JYP589840:JYP589848 KIL589840:KIL589848 KSH589840:KSH589848 LCD589840:LCD589848 LLZ589840:LLZ589848 LVV589840:LVV589848 MFR589840:MFR589848 MPN589840:MPN589848 MZJ589840:MZJ589848 NJF589840:NJF589848 NTB589840:NTB589848 OCX589840:OCX589848 OMT589840:OMT589848 OWP589840:OWP589848 PGL589840:PGL589848 PQH589840:PQH589848 QAD589840:QAD589848 QJZ589840:QJZ589848 QTV589840:QTV589848 RDR589840:RDR589848 RNN589840:RNN589848 RXJ589840:RXJ589848 SHF589840:SHF589848 SRB589840:SRB589848 TAX589840:TAX589848 TKT589840:TKT589848 TUP589840:TUP589848 UEL589840:UEL589848 UOH589840:UOH589848 UYD589840:UYD589848 VHZ589840:VHZ589848 VRV589840:VRV589848 WBR589840:WBR589848 WLN589840:WLN589848 WVJ589840:WVJ589848 B655376:B655384 IX655376:IX655384 ST655376:ST655384 ACP655376:ACP655384 AML655376:AML655384 AWH655376:AWH655384 BGD655376:BGD655384 BPZ655376:BPZ655384 BZV655376:BZV655384 CJR655376:CJR655384 CTN655376:CTN655384 DDJ655376:DDJ655384 DNF655376:DNF655384 DXB655376:DXB655384 EGX655376:EGX655384 EQT655376:EQT655384 FAP655376:FAP655384 FKL655376:FKL655384 FUH655376:FUH655384 GED655376:GED655384 GNZ655376:GNZ655384 GXV655376:GXV655384 HHR655376:HHR655384 HRN655376:HRN655384 IBJ655376:IBJ655384 ILF655376:ILF655384 IVB655376:IVB655384 JEX655376:JEX655384 JOT655376:JOT655384 JYP655376:JYP655384 KIL655376:KIL655384 KSH655376:KSH655384 LCD655376:LCD655384 LLZ655376:LLZ655384 LVV655376:LVV655384 MFR655376:MFR655384 MPN655376:MPN655384 MZJ655376:MZJ655384 NJF655376:NJF655384 NTB655376:NTB655384 OCX655376:OCX655384 OMT655376:OMT655384 OWP655376:OWP655384 PGL655376:PGL655384 PQH655376:PQH655384 QAD655376:QAD655384 QJZ655376:QJZ655384 QTV655376:QTV655384 RDR655376:RDR655384 RNN655376:RNN655384 RXJ655376:RXJ655384 SHF655376:SHF655384 SRB655376:SRB655384 TAX655376:TAX655384 TKT655376:TKT655384 TUP655376:TUP655384 UEL655376:UEL655384 UOH655376:UOH655384 UYD655376:UYD655384 VHZ655376:VHZ655384 VRV655376:VRV655384 WBR655376:WBR655384 WLN655376:WLN655384 WVJ655376:WVJ655384 B720912:B720920 IX720912:IX720920 ST720912:ST720920 ACP720912:ACP720920 AML720912:AML720920 AWH720912:AWH720920 BGD720912:BGD720920 BPZ720912:BPZ720920 BZV720912:BZV720920 CJR720912:CJR720920 CTN720912:CTN720920 DDJ720912:DDJ720920 DNF720912:DNF720920 DXB720912:DXB720920 EGX720912:EGX720920 EQT720912:EQT720920 FAP720912:FAP720920 FKL720912:FKL720920 FUH720912:FUH720920 GED720912:GED720920 GNZ720912:GNZ720920 GXV720912:GXV720920 HHR720912:HHR720920 HRN720912:HRN720920 IBJ720912:IBJ720920 ILF720912:ILF720920 IVB720912:IVB720920 JEX720912:JEX720920 JOT720912:JOT720920 JYP720912:JYP720920 KIL720912:KIL720920 KSH720912:KSH720920 LCD720912:LCD720920 LLZ720912:LLZ720920 LVV720912:LVV720920 MFR720912:MFR720920 MPN720912:MPN720920 MZJ720912:MZJ720920 NJF720912:NJF720920 NTB720912:NTB720920 OCX720912:OCX720920 OMT720912:OMT720920 OWP720912:OWP720920 PGL720912:PGL720920 PQH720912:PQH720920 QAD720912:QAD720920 QJZ720912:QJZ720920 QTV720912:QTV720920 RDR720912:RDR720920 RNN720912:RNN720920 RXJ720912:RXJ720920 SHF720912:SHF720920 SRB720912:SRB720920 TAX720912:TAX720920 TKT720912:TKT720920 TUP720912:TUP720920 UEL720912:UEL720920 UOH720912:UOH720920 UYD720912:UYD720920 VHZ720912:VHZ720920 VRV720912:VRV720920 WBR720912:WBR720920 WLN720912:WLN720920 WVJ720912:WVJ720920 B786448:B786456 IX786448:IX786456 ST786448:ST786456 ACP786448:ACP786456 AML786448:AML786456 AWH786448:AWH786456 BGD786448:BGD786456 BPZ786448:BPZ786456 BZV786448:BZV786456 CJR786448:CJR786456 CTN786448:CTN786456 DDJ786448:DDJ786456 DNF786448:DNF786456 DXB786448:DXB786456 EGX786448:EGX786456 EQT786448:EQT786456 FAP786448:FAP786456 FKL786448:FKL786456 FUH786448:FUH786456 GED786448:GED786456 GNZ786448:GNZ786456 GXV786448:GXV786456 HHR786448:HHR786456 HRN786448:HRN786456 IBJ786448:IBJ786456 ILF786448:ILF786456 IVB786448:IVB786456 JEX786448:JEX786456 JOT786448:JOT786456 JYP786448:JYP786456 KIL786448:KIL786456 KSH786448:KSH786456 LCD786448:LCD786456 LLZ786448:LLZ786456 LVV786448:LVV786456 MFR786448:MFR786456 MPN786448:MPN786456 MZJ786448:MZJ786456 NJF786448:NJF786456 NTB786448:NTB786456 OCX786448:OCX786456 OMT786448:OMT786456 OWP786448:OWP786456 PGL786448:PGL786456 PQH786448:PQH786456 QAD786448:QAD786456 QJZ786448:QJZ786456 QTV786448:QTV786456 RDR786448:RDR786456 RNN786448:RNN786456 RXJ786448:RXJ786456 SHF786448:SHF786456 SRB786448:SRB786456 TAX786448:TAX786456 TKT786448:TKT786456 TUP786448:TUP786456 UEL786448:UEL786456 UOH786448:UOH786456 UYD786448:UYD786456 VHZ786448:VHZ786456 VRV786448:VRV786456 WBR786448:WBR786456 WLN786448:WLN786456 WVJ786448:WVJ786456 B851984:B851992 IX851984:IX851992 ST851984:ST851992 ACP851984:ACP851992 AML851984:AML851992 AWH851984:AWH851992 BGD851984:BGD851992 BPZ851984:BPZ851992 BZV851984:BZV851992 CJR851984:CJR851992 CTN851984:CTN851992 DDJ851984:DDJ851992 DNF851984:DNF851992 DXB851984:DXB851992 EGX851984:EGX851992 EQT851984:EQT851992 FAP851984:FAP851992 FKL851984:FKL851992 FUH851984:FUH851992 GED851984:GED851992 GNZ851984:GNZ851992 GXV851984:GXV851992 HHR851984:HHR851992 HRN851984:HRN851992 IBJ851984:IBJ851992 ILF851984:ILF851992 IVB851984:IVB851992 JEX851984:JEX851992 JOT851984:JOT851992 JYP851984:JYP851992 KIL851984:KIL851992 KSH851984:KSH851992 LCD851984:LCD851992 LLZ851984:LLZ851992 LVV851984:LVV851992 MFR851984:MFR851992 MPN851984:MPN851992 MZJ851984:MZJ851992 NJF851984:NJF851992 NTB851984:NTB851992 OCX851984:OCX851992 OMT851984:OMT851992 OWP851984:OWP851992 PGL851984:PGL851992 PQH851984:PQH851992 QAD851984:QAD851992 QJZ851984:QJZ851992 QTV851984:QTV851992 RDR851984:RDR851992 RNN851984:RNN851992 RXJ851984:RXJ851992 SHF851984:SHF851992 SRB851984:SRB851992 TAX851984:TAX851992 TKT851984:TKT851992 TUP851984:TUP851992 UEL851984:UEL851992 UOH851984:UOH851992 UYD851984:UYD851992 VHZ851984:VHZ851992 VRV851984:VRV851992 WBR851984:WBR851992 WLN851984:WLN851992 WVJ851984:WVJ851992 B917520:B917528 IX917520:IX917528 ST917520:ST917528 ACP917520:ACP917528 AML917520:AML917528 AWH917520:AWH917528 BGD917520:BGD917528 BPZ917520:BPZ917528 BZV917520:BZV917528 CJR917520:CJR917528 CTN917520:CTN917528 DDJ917520:DDJ917528 DNF917520:DNF917528 DXB917520:DXB917528 EGX917520:EGX917528 EQT917520:EQT917528 FAP917520:FAP917528 FKL917520:FKL917528 FUH917520:FUH917528 GED917520:GED917528 GNZ917520:GNZ917528 GXV917520:GXV917528 HHR917520:HHR917528 HRN917520:HRN917528 IBJ917520:IBJ917528 ILF917520:ILF917528 IVB917520:IVB917528 JEX917520:JEX917528 JOT917520:JOT917528 JYP917520:JYP917528 KIL917520:KIL917528 KSH917520:KSH917528 LCD917520:LCD917528 LLZ917520:LLZ917528 LVV917520:LVV917528 MFR917520:MFR917528 MPN917520:MPN917528 MZJ917520:MZJ917528 NJF917520:NJF917528 NTB917520:NTB917528 OCX917520:OCX917528 OMT917520:OMT917528 OWP917520:OWP917528 PGL917520:PGL917528 PQH917520:PQH917528 QAD917520:QAD917528 QJZ917520:QJZ917528 QTV917520:QTV917528 RDR917520:RDR917528 RNN917520:RNN917528 RXJ917520:RXJ917528 SHF917520:SHF917528 SRB917520:SRB917528 TAX917520:TAX917528 TKT917520:TKT917528 TUP917520:TUP917528 UEL917520:UEL917528 UOH917520:UOH917528 UYD917520:UYD917528 VHZ917520:VHZ917528 VRV917520:VRV917528 WBR917520:WBR917528 WLN917520:WLN917528 WVJ917520:WVJ917528 B983056:B983064 IX983056:IX983064 ST983056:ST983064 ACP983056:ACP983064 AML983056:AML983064 AWH983056:AWH983064 BGD983056:BGD983064 BPZ983056:BPZ983064 BZV983056:BZV983064 CJR983056:CJR983064 CTN983056:CTN983064 DDJ983056:DDJ983064 DNF983056:DNF983064 DXB983056:DXB983064 EGX983056:EGX983064 EQT983056:EQT983064 FAP983056:FAP983064 FKL983056:FKL983064 FUH983056:FUH983064 GED983056:GED983064 GNZ983056:GNZ983064 GXV983056:GXV983064 HHR983056:HHR983064 HRN983056:HRN983064 IBJ983056:IBJ983064 ILF983056:ILF983064 IVB983056:IVB983064 JEX983056:JEX983064 JOT983056:JOT983064 JYP983056:JYP983064 KIL983056:KIL983064 KSH983056:KSH983064 LCD983056:LCD983064 LLZ983056:LLZ983064 LVV983056:LVV983064 MFR983056:MFR983064 MPN983056:MPN983064 MZJ983056:MZJ983064 NJF983056:NJF983064 NTB983056:NTB983064 OCX983056:OCX983064 OMT983056:OMT983064 OWP983056:OWP983064 PGL983056:PGL983064 PQH983056:PQH983064 QAD983056:QAD983064 QJZ983056:QJZ983064 QTV983056:QTV983064 RDR983056:RDR983064 RNN983056:RNN983064 RXJ983056:RXJ983064 SHF983056:SHF983064 SRB983056:SRB983064 TAX983056:TAX983064 TKT983056:TKT983064 TUP983056:TUP983064 UEL983056:UEL983064 UOH983056:UOH983064 UYD983056:UYD983064 VHZ983056:VHZ983064 VRV983056:VRV983064 WBR983056:WBR983064 WLN983056:WLN983064 WVJ983056:WVJ983064" xr:uid="{14BD167D-0C5D-4D86-BE1B-F8A3257A946C}">
      <formula1>$A$42:$A$91</formula1>
    </dataValidation>
  </dataValidations>
  <hyperlinks>
    <hyperlink ref="B4:S5" r:id="rId1" display="Worksheet 3 is used to calculate the PV costs of the different options. A separate Worksheet 3 is required for each option evaluated. To convert dollar values from different years to base date values, use the update factors on the MBCM webpage." xr:uid="{C55A609D-B75C-4D78-92D8-36D4B34D46CB}"/>
  </hyperlinks>
  <printOptions horizontalCentered="1"/>
  <pageMargins left="0.74803149606299213" right="0.70866141732283472" top="0.74803149606299213" bottom="0.9055118110236221" header="0.39370078740157483" footer="0.39370078740157483"/>
  <pageSetup paperSize="9" scale="95" orientation="portrait" r:id="rId2"/>
  <headerFooter scaleWithDoc="0" alignWithMargins="0">
    <oddHeader>&amp;L&amp;"-,Regular"&amp;8&amp;F&amp;R&amp;"-,Regular"&amp;8&amp;A
______________________________________________________________________________________________</oddHeader>
    <oddFooter>&amp;L&amp;"-,Regular"&amp;8______________________________________________________________________________________________
NZ Transport Agency’s Economic evaluation manual 
Effective from Jul 2013</oddFooter>
  </headerFooter>
  <colBreaks count="1" manualBreakCount="1">
    <brk id="20" max="1048575" man="1"/>
  </colBreak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7F943-439B-4228-B229-ADEA35E7C8EB}">
  <sheetPr codeName="Sheet9">
    <pageSetUpPr fitToPage="1"/>
  </sheetPr>
  <dimension ref="A1:AA91"/>
  <sheetViews>
    <sheetView zoomScaleNormal="100" zoomScaleSheetLayoutView="115" workbookViewId="0">
      <selection activeCell="L7" sqref="L7:S7"/>
    </sheetView>
  </sheetViews>
  <sheetFormatPr defaultColWidth="7.75" defaultRowHeight="13.5"/>
  <cols>
    <col min="1" max="1" width="2.5" style="57" customWidth="1"/>
    <col min="2" max="2" width="6.83203125" style="57" customWidth="1"/>
    <col min="3" max="5" width="3.1640625" style="57" customWidth="1"/>
    <col min="6" max="6" width="4.5" style="57" customWidth="1"/>
    <col min="7" max="10" width="3.1640625" style="57" customWidth="1"/>
    <col min="11" max="19" width="4.75" style="57" customWidth="1"/>
    <col min="20" max="20" width="3.1640625" style="58" customWidth="1"/>
    <col min="21" max="21" width="9.25" style="57" customWidth="1"/>
    <col min="22" max="22" width="26.75" style="57" customWidth="1"/>
    <col min="23" max="26" width="9.25" style="57" customWidth="1"/>
    <col min="27" max="256" width="7.75" style="57"/>
    <col min="257" max="257" width="2.5" style="57" customWidth="1"/>
    <col min="258" max="258" width="6.83203125" style="57" customWidth="1"/>
    <col min="259" max="261" width="3.1640625" style="57" customWidth="1"/>
    <col min="262" max="262" width="4.5" style="57" customWidth="1"/>
    <col min="263" max="266" width="3.1640625" style="57" customWidth="1"/>
    <col min="267" max="275" width="4.75" style="57" customWidth="1"/>
    <col min="276" max="276" width="3.1640625" style="57" customWidth="1"/>
    <col min="277" max="277" width="9.25" style="57" customWidth="1"/>
    <col min="278" max="278" width="26.75" style="57" customWidth="1"/>
    <col min="279" max="282" width="9.25" style="57" customWidth="1"/>
    <col min="283" max="512" width="7.75" style="57"/>
    <col min="513" max="513" width="2.5" style="57" customWidth="1"/>
    <col min="514" max="514" width="6.83203125" style="57" customWidth="1"/>
    <col min="515" max="517" width="3.1640625" style="57" customWidth="1"/>
    <col min="518" max="518" width="4.5" style="57" customWidth="1"/>
    <col min="519" max="522" width="3.1640625" style="57" customWidth="1"/>
    <col min="523" max="531" width="4.75" style="57" customWidth="1"/>
    <col min="532" max="532" width="3.1640625" style="57" customWidth="1"/>
    <col min="533" max="533" width="9.25" style="57" customWidth="1"/>
    <col min="534" max="534" width="26.75" style="57" customWidth="1"/>
    <col min="535" max="538" width="9.25" style="57" customWidth="1"/>
    <col min="539" max="768" width="7.75" style="57"/>
    <col min="769" max="769" width="2.5" style="57" customWidth="1"/>
    <col min="770" max="770" width="6.83203125" style="57" customWidth="1"/>
    <col min="771" max="773" width="3.1640625" style="57" customWidth="1"/>
    <col min="774" max="774" width="4.5" style="57" customWidth="1"/>
    <col min="775" max="778" width="3.1640625" style="57" customWidth="1"/>
    <col min="779" max="787" width="4.75" style="57" customWidth="1"/>
    <col min="788" max="788" width="3.1640625" style="57" customWidth="1"/>
    <col min="789" max="789" width="9.25" style="57" customWidth="1"/>
    <col min="790" max="790" width="26.75" style="57" customWidth="1"/>
    <col min="791" max="794" width="9.25" style="57" customWidth="1"/>
    <col min="795" max="1024" width="7.75" style="57"/>
    <col min="1025" max="1025" width="2.5" style="57" customWidth="1"/>
    <col min="1026" max="1026" width="6.83203125" style="57" customWidth="1"/>
    <col min="1027" max="1029" width="3.1640625" style="57" customWidth="1"/>
    <col min="1030" max="1030" width="4.5" style="57" customWidth="1"/>
    <col min="1031" max="1034" width="3.1640625" style="57" customWidth="1"/>
    <col min="1035" max="1043" width="4.75" style="57" customWidth="1"/>
    <col min="1044" max="1044" width="3.1640625" style="57" customWidth="1"/>
    <col min="1045" max="1045" width="9.25" style="57" customWidth="1"/>
    <col min="1046" max="1046" width="26.75" style="57" customWidth="1"/>
    <col min="1047" max="1050" width="9.25" style="57" customWidth="1"/>
    <col min="1051" max="1280" width="7.75" style="57"/>
    <col min="1281" max="1281" width="2.5" style="57" customWidth="1"/>
    <col min="1282" max="1282" width="6.83203125" style="57" customWidth="1"/>
    <col min="1283" max="1285" width="3.1640625" style="57" customWidth="1"/>
    <col min="1286" max="1286" width="4.5" style="57" customWidth="1"/>
    <col min="1287" max="1290" width="3.1640625" style="57" customWidth="1"/>
    <col min="1291" max="1299" width="4.75" style="57" customWidth="1"/>
    <col min="1300" max="1300" width="3.1640625" style="57" customWidth="1"/>
    <col min="1301" max="1301" width="9.25" style="57" customWidth="1"/>
    <col min="1302" max="1302" width="26.75" style="57" customWidth="1"/>
    <col min="1303" max="1306" width="9.25" style="57" customWidth="1"/>
    <col min="1307" max="1536" width="7.75" style="57"/>
    <col min="1537" max="1537" width="2.5" style="57" customWidth="1"/>
    <col min="1538" max="1538" width="6.83203125" style="57" customWidth="1"/>
    <col min="1539" max="1541" width="3.1640625" style="57" customWidth="1"/>
    <col min="1542" max="1542" width="4.5" style="57" customWidth="1"/>
    <col min="1543" max="1546" width="3.1640625" style="57" customWidth="1"/>
    <col min="1547" max="1555" width="4.75" style="57" customWidth="1"/>
    <col min="1556" max="1556" width="3.1640625" style="57" customWidth="1"/>
    <col min="1557" max="1557" width="9.25" style="57" customWidth="1"/>
    <col min="1558" max="1558" width="26.75" style="57" customWidth="1"/>
    <col min="1559" max="1562" width="9.25" style="57" customWidth="1"/>
    <col min="1563" max="1792" width="7.75" style="57"/>
    <col min="1793" max="1793" width="2.5" style="57" customWidth="1"/>
    <col min="1794" max="1794" width="6.83203125" style="57" customWidth="1"/>
    <col min="1795" max="1797" width="3.1640625" style="57" customWidth="1"/>
    <col min="1798" max="1798" width="4.5" style="57" customWidth="1"/>
    <col min="1799" max="1802" width="3.1640625" style="57" customWidth="1"/>
    <col min="1803" max="1811" width="4.75" style="57" customWidth="1"/>
    <col min="1812" max="1812" width="3.1640625" style="57" customWidth="1"/>
    <col min="1813" max="1813" width="9.25" style="57" customWidth="1"/>
    <col min="1814" max="1814" width="26.75" style="57" customWidth="1"/>
    <col min="1815" max="1818" width="9.25" style="57" customWidth="1"/>
    <col min="1819" max="2048" width="7.75" style="57"/>
    <col min="2049" max="2049" width="2.5" style="57" customWidth="1"/>
    <col min="2050" max="2050" width="6.83203125" style="57" customWidth="1"/>
    <col min="2051" max="2053" width="3.1640625" style="57" customWidth="1"/>
    <col min="2054" max="2054" width="4.5" style="57" customWidth="1"/>
    <col min="2055" max="2058" width="3.1640625" style="57" customWidth="1"/>
    <col min="2059" max="2067" width="4.75" style="57" customWidth="1"/>
    <col min="2068" max="2068" width="3.1640625" style="57" customWidth="1"/>
    <col min="2069" max="2069" width="9.25" style="57" customWidth="1"/>
    <col min="2070" max="2070" width="26.75" style="57" customWidth="1"/>
    <col min="2071" max="2074" width="9.25" style="57" customWidth="1"/>
    <col min="2075" max="2304" width="7.75" style="57"/>
    <col min="2305" max="2305" width="2.5" style="57" customWidth="1"/>
    <col min="2306" max="2306" width="6.83203125" style="57" customWidth="1"/>
    <col min="2307" max="2309" width="3.1640625" style="57" customWidth="1"/>
    <col min="2310" max="2310" width="4.5" style="57" customWidth="1"/>
    <col min="2311" max="2314" width="3.1640625" style="57" customWidth="1"/>
    <col min="2315" max="2323" width="4.75" style="57" customWidth="1"/>
    <col min="2324" max="2324" width="3.1640625" style="57" customWidth="1"/>
    <col min="2325" max="2325" width="9.25" style="57" customWidth="1"/>
    <col min="2326" max="2326" width="26.75" style="57" customWidth="1"/>
    <col min="2327" max="2330" width="9.25" style="57" customWidth="1"/>
    <col min="2331" max="2560" width="7.75" style="57"/>
    <col min="2561" max="2561" width="2.5" style="57" customWidth="1"/>
    <col min="2562" max="2562" width="6.83203125" style="57" customWidth="1"/>
    <col min="2563" max="2565" width="3.1640625" style="57" customWidth="1"/>
    <col min="2566" max="2566" width="4.5" style="57" customWidth="1"/>
    <col min="2567" max="2570" width="3.1640625" style="57" customWidth="1"/>
    <col min="2571" max="2579" width="4.75" style="57" customWidth="1"/>
    <col min="2580" max="2580" width="3.1640625" style="57" customWidth="1"/>
    <col min="2581" max="2581" width="9.25" style="57" customWidth="1"/>
    <col min="2582" max="2582" width="26.75" style="57" customWidth="1"/>
    <col min="2583" max="2586" width="9.25" style="57" customWidth="1"/>
    <col min="2587" max="2816" width="7.75" style="57"/>
    <col min="2817" max="2817" width="2.5" style="57" customWidth="1"/>
    <col min="2818" max="2818" width="6.83203125" style="57" customWidth="1"/>
    <col min="2819" max="2821" width="3.1640625" style="57" customWidth="1"/>
    <col min="2822" max="2822" width="4.5" style="57" customWidth="1"/>
    <col min="2823" max="2826" width="3.1640625" style="57" customWidth="1"/>
    <col min="2827" max="2835" width="4.75" style="57" customWidth="1"/>
    <col min="2836" max="2836" width="3.1640625" style="57" customWidth="1"/>
    <col min="2837" max="2837" width="9.25" style="57" customWidth="1"/>
    <col min="2838" max="2838" width="26.75" style="57" customWidth="1"/>
    <col min="2839" max="2842" width="9.25" style="57" customWidth="1"/>
    <col min="2843" max="3072" width="7.75" style="57"/>
    <col min="3073" max="3073" width="2.5" style="57" customWidth="1"/>
    <col min="3074" max="3074" width="6.83203125" style="57" customWidth="1"/>
    <col min="3075" max="3077" width="3.1640625" style="57" customWidth="1"/>
    <col min="3078" max="3078" width="4.5" style="57" customWidth="1"/>
    <col min="3079" max="3082" width="3.1640625" style="57" customWidth="1"/>
    <col min="3083" max="3091" width="4.75" style="57" customWidth="1"/>
    <col min="3092" max="3092" width="3.1640625" style="57" customWidth="1"/>
    <col min="3093" max="3093" width="9.25" style="57" customWidth="1"/>
    <col min="3094" max="3094" width="26.75" style="57" customWidth="1"/>
    <col min="3095" max="3098" width="9.25" style="57" customWidth="1"/>
    <col min="3099" max="3328" width="7.75" style="57"/>
    <col min="3329" max="3329" width="2.5" style="57" customWidth="1"/>
    <col min="3330" max="3330" width="6.83203125" style="57" customWidth="1"/>
    <col min="3331" max="3333" width="3.1640625" style="57" customWidth="1"/>
    <col min="3334" max="3334" width="4.5" style="57" customWidth="1"/>
    <col min="3335" max="3338" width="3.1640625" style="57" customWidth="1"/>
    <col min="3339" max="3347" width="4.75" style="57" customWidth="1"/>
    <col min="3348" max="3348" width="3.1640625" style="57" customWidth="1"/>
    <col min="3349" max="3349" width="9.25" style="57" customWidth="1"/>
    <col min="3350" max="3350" width="26.75" style="57" customWidth="1"/>
    <col min="3351" max="3354" width="9.25" style="57" customWidth="1"/>
    <col min="3355" max="3584" width="7.75" style="57"/>
    <col min="3585" max="3585" width="2.5" style="57" customWidth="1"/>
    <col min="3586" max="3586" width="6.83203125" style="57" customWidth="1"/>
    <col min="3587" max="3589" width="3.1640625" style="57" customWidth="1"/>
    <col min="3590" max="3590" width="4.5" style="57" customWidth="1"/>
    <col min="3591" max="3594" width="3.1640625" style="57" customWidth="1"/>
    <col min="3595" max="3603" width="4.75" style="57" customWidth="1"/>
    <col min="3604" max="3604" width="3.1640625" style="57" customWidth="1"/>
    <col min="3605" max="3605" width="9.25" style="57" customWidth="1"/>
    <col min="3606" max="3606" width="26.75" style="57" customWidth="1"/>
    <col min="3607" max="3610" width="9.25" style="57" customWidth="1"/>
    <col min="3611" max="3840" width="7.75" style="57"/>
    <col min="3841" max="3841" width="2.5" style="57" customWidth="1"/>
    <col min="3842" max="3842" width="6.83203125" style="57" customWidth="1"/>
    <col min="3843" max="3845" width="3.1640625" style="57" customWidth="1"/>
    <col min="3846" max="3846" width="4.5" style="57" customWidth="1"/>
    <col min="3847" max="3850" width="3.1640625" style="57" customWidth="1"/>
    <col min="3851" max="3859" width="4.75" style="57" customWidth="1"/>
    <col min="3860" max="3860" width="3.1640625" style="57" customWidth="1"/>
    <col min="3861" max="3861" width="9.25" style="57" customWidth="1"/>
    <col min="3862" max="3862" width="26.75" style="57" customWidth="1"/>
    <col min="3863" max="3866" width="9.25" style="57" customWidth="1"/>
    <col min="3867" max="4096" width="7.75" style="57"/>
    <col min="4097" max="4097" width="2.5" style="57" customWidth="1"/>
    <col min="4098" max="4098" width="6.83203125" style="57" customWidth="1"/>
    <col min="4099" max="4101" width="3.1640625" style="57" customWidth="1"/>
    <col min="4102" max="4102" width="4.5" style="57" customWidth="1"/>
    <col min="4103" max="4106" width="3.1640625" style="57" customWidth="1"/>
    <col min="4107" max="4115" width="4.75" style="57" customWidth="1"/>
    <col min="4116" max="4116" width="3.1640625" style="57" customWidth="1"/>
    <col min="4117" max="4117" width="9.25" style="57" customWidth="1"/>
    <col min="4118" max="4118" width="26.75" style="57" customWidth="1"/>
    <col min="4119" max="4122" width="9.25" style="57" customWidth="1"/>
    <col min="4123" max="4352" width="7.75" style="57"/>
    <col min="4353" max="4353" width="2.5" style="57" customWidth="1"/>
    <col min="4354" max="4354" width="6.83203125" style="57" customWidth="1"/>
    <col min="4355" max="4357" width="3.1640625" style="57" customWidth="1"/>
    <col min="4358" max="4358" width="4.5" style="57" customWidth="1"/>
    <col min="4359" max="4362" width="3.1640625" style="57" customWidth="1"/>
    <col min="4363" max="4371" width="4.75" style="57" customWidth="1"/>
    <col min="4372" max="4372" width="3.1640625" style="57" customWidth="1"/>
    <col min="4373" max="4373" width="9.25" style="57" customWidth="1"/>
    <col min="4374" max="4374" width="26.75" style="57" customWidth="1"/>
    <col min="4375" max="4378" width="9.25" style="57" customWidth="1"/>
    <col min="4379" max="4608" width="7.75" style="57"/>
    <col min="4609" max="4609" width="2.5" style="57" customWidth="1"/>
    <col min="4610" max="4610" width="6.83203125" style="57" customWidth="1"/>
    <col min="4611" max="4613" width="3.1640625" style="57" customWidth="1"/>
    <col min="4614" max="4614" width="4.5" style="57" customWidth="1"/>
    <col min="4615" max="4618" width="3.1640625" style="57" customWidth="1"/>
    <col min="4619" max="4627" width="4.75" style="57" customWidth="1"/>
    <col min="4628" max="4628" width="3.1640625" style="57" customWidth="1"/>
    <col min="4629" max="4629" width="9.25" style="57" customWidth="1"/>
    <col min="4630" max="4630" width="26.75" style="57" customWidth="1"/>
    <col min="4631" max="4634" width="9.25" style="57" customWidth="1"/>
    <col min="4635" max="4864" width="7.75" style="57"/>
    <col min="4865" max="4865" width="2.5" style="57" customWidth="1"/>
    <col min="4866" max="4866" width="6.83203125" style="57" customWidth="1"/>
    <col min="4867" max="4869" width="3.1640625" style="57" customWidth="1"/>
    <col min="4870" max="4870" width="4.5" style="57" customWidth="1"/>
    <col min="4871" max="4874" width="3.1640625" style="57" customWidth="1"/>
    <col min="4875" max="4883" width="4.75" style="57" customWidth="1"/>
    <col min="4884" max="4884" width="3.1640625" style="57" customWidth="1"/>
    <col min="4885" max="4885" width="9.25" style="57" customWidth="1"/>
    <col min="4886" max="4886" width="26.75" style="57" customWidth="1"/>
    <col min="4887" max="4890" width="9.25" style="57" customWidth="1"/>
    <col min="4891" max="5120" width="7.75" style="57"/>
    <col min="5121" max="5121" width="2.5" style="57" customWidth="1"/>
    <col min="5122" max="5122" width="6.83203125" style="57" customWidth="1"/>
    <col min="5123" max="5125" width="3.1640625" style="57" customWidth="1"/>
    <col min="5126" max="5126" width="4.5" style="57" customWidth="1"/>
    <col min="5127" max="5130" width="3.1640625" style="57" customWidth="1"/>
    <col min="5131" max="5139" width="4.75" style="57" customWidth="1"/>
    <col min="5140" max="5140" width="3.1640625" style="57" customWidth="1"/>
    <col min="5141" max="5141" width="9.25" style="57" customWidth="1"/>
    <col min="5142" max="5142" width="26.75" style="57" customWidth="1"/>
    <col min="5143" max="5146" width="9.25" style="57" customWidth="1"/>
    <col min="5147" max="5376" width="7.75" style="57"/>
    <col min="5377" max="5377" width="2.5" style="57" customWidth="1"/>
    <col min="5378" max="5378" width="6.83203125" style="57" customWidth="1"/>
    <col min="5379" max="5381" width="3.1640625" style="57" customWidth="1"/>
    <col min="5382" max="5382" width="4.5" style="57" customWidth="1"/>
    <col min="5383" max="5386" width="3.1640625" style="57" customWidth="1"/>
    <col min="5387" max="5395" width="4.75" style="57" customWidth="1"/>
    <col min="5396" max="5396" width="3.1640625" style="57" customWidth="1"/>
    <col min="5397" max="5397" width="9.25" style="57" customWidth="1"/>
    <col min="5398" max="5398" width="26.75" style="57" customWidth="1"/>
    <col min="5399" max="5402" width="9.25" style="57" customWidth="1"/>
    <col min="5403" max="5632" width="7.75" style="57"/>
    <col min="5633" max="5633" width="2.5" style="57" customWidth="1"/>
    <col min="5634" max="5634" width="6.83203125" style="57" customWidth="1"/>
    <col min="5635" max="5637" width="3.1640625" style="57" customWidth="1"/>
    <col min="5638" max="5638" width="4.5" style="57" customWidth="1"/>
    <col min="5639" max="5642" width="3.1640625" style="57" customWidth="1"/>
    <col min="5643" max="5651" width="4.75" style="57" customWidth="1"/>
    <col min="5652" max="5652" width="3.1640625" style="57" customWidth="1"/>
    <col min="5653" max="5653" width="9.25" style="57" customWidth="1"/>
    <col min="5654" max="5654" width="26.75" style="57" customWidth="1"/>
    <col min="5655" max="5658" width="9.25" style="57" customWidth="1"/>
    <col min="5659" max="5888" width="7.75" style="57"/>
    <col min="5889" max="5889" width="2.5" style="57" customWidth="1"/>
    <col min="5890" max="5890" width="6.83203125" style="57" customWidth="1"/>
    <col min="5891" max="5893" width="3.1640625" style="57" customWidth="1"/>
    <col min="5894" max="5894" width="4.5" style="57" customWidth="1"/>
    <col min="5895" max="5898" width="3.1640625" style="57" customWidth="1"/>
    <col min="5899" max="5907" width="4.75" style="57" customWidth="1"/>
    <col min="5908" max="5908" width="3.1640625" style="57" customWidth="1"/>
    <col min="5909" max="5909" width="9.25" style="57" customWidth="1"/>
    <col min="5910" max="5910" width="26.75" style="57" customWidth="1"/>
    <col min="5911" max="5914" width="9.25" style="57" customWidth="1"/>
    <col min="5915" max="6144" width="7.75" style="57"/>
    <col min="6145" max="6145" width="2.5" style="57" customWidth="1"/>
    <col min="6146" max="6146" width="6.83203125" style="57" customWidth="1"/>
    <col min="6147" max="6149" width="3.1640625" style="57" customWidth="1"/>
    <col min="6150" max="6150" width="4.5" style="57" customWidth="1"/>
    <col min="6151" max="6154" width="3.1640625" style="57" customWidth="1"/>
    <col min="6155" max="6163" width="4.75" style="57" customWidth="1"/>
    <col min="6164" max="6164" width="3.1640625" style="57" customWidth="1"/>
    <col min="6165" max="6165" width="9.25" style="57" customWidth="1"/>
    <col min="6166" max="6166" width="26.75" style="57" customWidth="1"/>
    <col min="6167" max="6170" width="9.25" style="57" customWidth="1"/>
    <col min="6171" max="6400" width="7.75" style="57"/>
    <col min="6401" max="6401" width="2.5" style="57" customWidth="1"/>
    <col min="6402" max="6402" width="6.83203125" style="57" customWidth="1"/>
    <col min="6403" max="6405" width="3.1640625" style="57" customWidth="1"/>
    <col min="6406" max="6406" width="4.5" style="57" customWidth="1"/>
    <col min="6407" max="6410" width="3.1640625" style="57" customWidth="1"/>
    <col min="6411" max="6419" width="4.75" style="57" customWidth="1"/>
    <col min="6420" max="6420" width="3.1640625" style="57" customWidth="1"/>
    <col min="6421" max="6421" width="9.25" style="57" customWidth="1"/>
    <col min="6422" max="6422" width="26.75" style="57" customWidth="1"/>
    <col min="6423" max="6426" width="9.25" style="57" customWidth="1"/>
    <col min="6427" max="6656" width="7.75" style="57"/>
    <col min="6657" max="6657" width="2.5" style="57" customWidth="1"/>
    <col min="6658" max="6658" width="6.83203125" style="57" customWidth="1"/>
    <col min="6659" max="6661" width="3.1640625" style="57" customWidth="1"/>
    <col min="6662" max="6662" width="4.5" style="57" customWidth="1"/>
    <col min="6663" max="6666" width="3.1640625" style="57" customWidth="1"/>
    <col min="6667" max="6675" width="4.75" style="57" customWidth="1"/>
    <col min="6676" max="6676" width="3.1640625" style="57" customWidth="1"/>
    <col min="6677" max="6677" width="9.25" style="57" customWidth="1"/>
    <col min="6678" max="6678" width="26.75" style="57" customWidth="1"/>
    <col min="6679" max="6682" width="9.25" style="57" customWidth="1"/>
    <col min="6683" max="6912" width="7.75" style="57"/>
    <col min="6913" max="6913" width="2.5" style="57" customWidth="1"/>
    <col min="6914" max="6914" width="6.83203125" style="57" customWidth="1"/>
    <col min="6915" max="6917" width="3.1640625" style="57" customWidth="1"/>
    <col min="6918" max="6918" width="4.5" style="57" customWidth="1"/>
    <col min="6919" max="6922" width="3.1640625" style="57" customWidth="1"/>
    <col min="6923" max="6931" width="4.75" style="57" customWidth="1"/>
    <col min="6932" max="6932" width="3.1640625" style="57" customWidth="1"/>
    <col min="6933" max="6933" width="9.25" style="57" customWidth="1"/>
    <col min="6934" max="6934" width="26.75" style="57" customWidth="1"/>
    <col min="6935" max="6938" width="9.25" style="57" customWidth="1"/>
    <col min="6939" max="7168" width="7.75" style="57"/>
    <col min="7169" max="7169" width="2.5" style="57" customWidth="1"/>
    <col min="7170" max="7170" width="6.83203125" style="57" customWidth="1"/>
    <col min="7171" max="7173" width="3.1640625" style="57" customWidth="1"/>
    <col min="7174" max="7174" width="4.5" style="57" customWidth="1"/>
    <col min="7175" max="7178" width="3.1640625" style="57" customWidth="1"/>
    <col min="7179" max="7187" width="4.75" style="57" customWidth="1"/>
    <col min="7188" max="7188" width="3.1640625" style="57" customWidth="1"/>
    <col min="7189" max="7189" width="9.25" style="57" customWidth="1"/>
    <col min="7190" max="7190" width="26.75" style="57" customWidth="1"/>
    <col min="7191" max="7194" width="9.25" style="57" customWidth="1"/>
    <col min="7195" max="7424" width="7.75" style="57"/>
    <col min="7425" max="7425" width="2.5" style="57" customWidth="1"/>
    <col min="7426" max="7426" width="6.83203125" style="57" customWidth="1"/>
    <col min="7427" max="7429" width="3.1640625" style="57" customWidth="1"/>
    <col min="7430" max="7430" width="4.5" style="57" customWidth="1"/>
    <col min="7431" max="7434" width="3.1640625" style="57" customWidth="1"/>
    <col min="7435" max="7443" width="4.75" style="57" customWidth="1"/>
    <col min="7444" max="7444" width="3.1640625" style="57" customWidth="1"/>
    <col min="7445" max="7445" width="9.25" style="57" customWidth="1"/>
    <col min="7446" max="7446" width="26.75" style="57" customWidth="1"/>
    <col min="7447" max="7450" width="9.25" style="57" customWidth="1"/>
    <col min="7451" max="7680" width="7.75" style="57"/>
    <col min="7681" max="7681" width="2.5" style="57" customWidth="1"/>
    <col min="7682" max="7682" width="6.83203125" style="57" customWidth="1"/>
    <col min="7683" max="7685" width="3.1640625" style="57" customWidth="1"/>
    <col min="7686" max="7686" width="4.5" style="57" customWidth="1"/>
    <col min="7687" max="7690" width="3.1640625" style="57" customWidth="1"/>
    <col min="7691" max="7699" width="4.75" style="57" customWidth="1"/>
    <col min="7700" max="7700" width="3.1640625" style="57" customWidth="1"/>
    <col min="7701" max="7701" width="9.25" style="57" customWidth="1"/>
    <col min="7702" max="7702" width="26.75" style="57" customWidth="1"/>
    <col min="7703" max="7706" width="9.25" style="57" customWidth="1"/>
    <col min="7707" max="7936" width="7.75" style="57"/>
    <col min="7937" max="7937" width="2.5" style="57" customWidth="1"/>
    <col min="7938" max="7938" width="6.83203125" style="57" customWidth="1"/>
    <col min="7939" max="7941" width="3.1640625" style="57" customWidth="1"/>
    <col min="7942" max="7942" width="4.5" style="57" customWidth="1"/>
    <col min="7943" max="7946" width="3.1640625" style="57" customWidth="1"/>
    <col min="7947" max="7955" width="4.75" style="57" customWidth="1"/>
    <col min="7956" max="7956" width="3.1640625" style="57" customWidth="1"/>
    <col min="7957" max="7957" width="9.25" style="57" customWidth="1"/>
    <col min="7958" max="7958" width="26.75" style="57" customWidth="1"/>
    <col min="7959" max="7962" width="9.25" style="57" customWidth="1"/>
    <col min="7963" max="8192" width="7.75" style="57"/>
    <col min="8193" max="8193" width="2.5" style="57" customWidth="1"/>
    <col min="8194" max="8194" width="6.83203125" style="57" customWidth="1"/>
    <col min="8195" max="8197" width="3.1640625" style="57" customWidth="1"/>
    <col min="8198" max="8198" width="4.5" style="57" customWidth="1"/>
    <col min="8199" max="8202" width="3.1640625" style="57" customWidth="1"/>
    <col min="8203" max="8211" width="4.75" style="57" customWidth="1"/>
    <col min="8212" max="8212" width="3.1640625" style="57" customWidth="1"/>
    <col min="8213" max="8213" width="9.25" style="57" customWidth="1"/>
    <col min="8214" max="8214" width="26.75" style="57" customWidth="1"/>
    <col min="8215" max="8218" width="9.25" style="57" customWidth="1"/>
    <col min="8219" max="8448" width="7.75" style="57"/>
    <col min="8449" max="8449" width="2.5" style="57" customWidth="1"/>
    <col min="8450" max="8450" width="6.83203125" style="57" customWidth="1"/>
    <col min="8451" max="8453" width="3.1640625" style="57" customWidth="1"/>
    <col min="8454" max="8454" width="4.5" style="57" customWidth="1"/>
    <col min="8455" max="8458" width="3.1640625" style="57" customWidth="1"/>
    <col min="8459" max="8467" width="4.75" style="57" customWidth="1"/>
    <col min="8468" max="8468" width="3.1640625" style="57" customWidth="1"/>
    <col min="8469" max="8469" width="9.25" style="57" customWidth="1"/>
    <col min="8470" max="8470" width="26.75" style="57" customWidth="1"/>
    <col min="8471" max="8474" width="9.25" style="57" customWidth="1"/>
    <col min="8475" max="8704" width="7.75" style="57"/>
    <col min="8705" max="8705" width="2.5" style="57" customWidth="1"/>
    <col min="8706" max="8706" width="6.83203125" style="57" customWidth="1"/>
    <col min="8707" max="8709" width="3.1640625" style="57" customWidth="1"/>
    <col min="8710" max="8710" width="4.5" style="57" customWidth="1"/>
    <col min="8711" max="8714" width="3.1640625" style="57" customWidth="1"/>
    <col min="8715" max="8723" width="4.75" style="57" customWidth="1"/>
    <col min="8724" max="8724" width="3.1640625" style="57" customWidth="1"/>
    <col min="8725" max="8725" width="9.25" style="57" customWidth="1"/>
    <col min="8726" max="8726" width="26.75" style="57" customWidth="1"/>
    <col min="8727" max="8730" width="9.25" style="57" customWidth="1"/>
    <col min="8731" max="8960" width="7.75" style="57"/>
    <col min="8961" max="8961" width="2.5" style="57" customWidth="1"/>
    <col min="8962" max="8962" width="6.83203125" style="57" customWidth="1"/>
    <col min="8963" max="8965" width="3.1640625" style="57" customWidth="1"/>
    <col min="8966" max="8966" width="4.5" style="57" customWidth="1"/>
    <col min="8967" max="8970" width="3.1640625" style="57" customWidth="1"/>
    <col min="8971" max="8979" width="4.75" style="57" customWidth="1"/>
    <col min="8980" max="8980" width="3.1640625" style="57" customWidth="1"/>
    <col min="8981" max="8981" width="9.25" style="57" customWidth="1"/>
    <col min="8982" max="8982" width="26.75" style="57" customWidth="1"/>
    <col min="8983" max="8986" width="9.25" style="57" customWidth="1"/>
    <col min="8987" max="9216" width="7.75" style="57"/>
    <col min="9217" max="9217" width="2.5" style="57" customWidth="1"/>
    <col min="9218" max="9218" width="6.83203125" style="57" customWidth="1"/>
    <col min="9219" max="9221" width="3.1640625" style="57" customWidth="1"/>
    <col min="9222" max="9222" width="4.5" style="57" customWidth="1"/>
    <col min="9223" max="9226" width="3.1640625" style="57" customWidth="1"/>
    <col min="9227" max="9235" width="4.75" style="57" customWidth="1"/>
    <col min="9236" max="9236" width="3.1640625" style="57" customWidth="1"/>
    <col min="9237" max="9237" width="9.25" style="57" customWidth="1"/>
    <col min="9238" max="9238" width="26.75" style="57" customWidth="1"/>
    <col min="9239" max="9242" width="9.25" style="57" customWidth="1"/>
    <col min="9243" max="9472" width="7.75" style="57"/>
    <col min="9473" max="9473" width="2.5" style="57" customWidth="1"/>
    <col min="9474" max="9474" width="6.83203125" style="57" customWidth="1"/>
    <col min="9475" max="9477" width="3.1640625" style="57" customWidth="1"/>
    <col min="9478" max="9478" width="4.5" style="57" customWidth="1"/>
    <col min="9479" max="9482" width="3.1640625" style="57" customWidth="1"/>
    <col min="9483" max="9491" width="4.75" style="57" customWidth="1"/>
    <col min="9492" max="9492" width="3.1640625" style="57" customWidth="1"/>
    <col min="9493" max="9493" width="9.25" style="57" customWidth="1"/>
    <col min="9494" max="9494" width="26.75" style="57" customWidth="1"/>
    <col min="9495" max="9498" width="9.25" style="57" customWidth="1"/>
    <col min="9499" max="9728" width="7.75" style="57"/>
    <col min="9729" max="9729" width="2.5" style="57" customWidth="1"/>
    <col min="9730" max="9730" width="6.83203125" style="57" customWidth="1"/>
    <col min="9731" max="9733" width="3.1640625" style="57" customWidth="1"/>
    <col min="9734" max="9734" width="4.5" style="57" customWidth="1"/>
    <col min="9735" max="9738" width="3.1640625" style="57" customWidth="1"/>
    <col min="9739" max="9747" width="4.75" style="57" customWidth="1"/>
    <col min="9748" max="9748" width="3.1640625" style="57" customWidth="1"/>
    <col min="9749" max="9749" width="9.25" style="57" customWidth="1"/>
    <col min="9750" max="9750" width="26.75" style="57" customWidth="1"/>
    <col min="9751" max="9754" width="9.25" style="57" customWidth="1"/>
    <col min="9755" max="9984" width="7.75" style="57"/>
    <col min="9985" max="9985" width="2.5" style="57" customWidth="1"/>
    <col min="9986" max="9986" width="6.83203125" style="57" customWidth="1"/>
    <col min="9987" max="9989" width="3.1640625" style="57" customWidth="1"/>
    <col min="9990" max="9990" width="4.5" style="57" customWidth="1"/>
    <col min="9991" max="9994" width="3.1640625" style="57" customWidth="1"/>
    <col min="9995" max="10003" width="4.75" style="57" customWidth="1"/>
    <col min="10004" max="10004" width="3.1640625" style="57" customWidth="1"/>
    <col min="10005" max="10005" width="9.25" style="57" customWidth="1"/>
    <col min="10006" max="10006" width="26.75" style="57" customWidth="1"/>
    <col min="10007" max="10010" width="9.25" style="57" customWidth="1"/>
    <col min="10011" max="10240" width="7.75" style="57"/>
    <col min="10241" max="10241" width="2.5" style="57" customWidth="1"/>
    <col min="10242" max="10242" width="6.83203125" style="57" customWidth="1"/>
    <col min="10243" max="10245" width="3.1640625" style="57" customWidth="1"/>
    <col min="10246" max="10246" width="4.5" style="57" customWidth="1"/>
    <col min="10247" max="10250" width="3.1640625" style="57" customWidth="1"/>
    <col min="10251" max="10259" width="4.75" style="57" customWidth="1"/>
    <col min="10260" max="10260" width="3.1640625" style="57" customWidth="1"/>
    <col min="10261" max="10261" width="9.25" style="57" customWidth="1"/>
    <col min="10262" max="10262" width="26.75" style="57" customWidth="1"/>
    <col min="10263" max="10266" width="9.25" style="57" customWidth="1"/>
    <col min="10267" max="10496" width="7.75" style="57"/>
    <col min="10497" max="10497" width="2.5" style="57" customWidth="1"/>
    <col min="10498" max="10498" width="6.83203125" style="57" customWidth="1"/>
    <col min="10499" max="10501" width="3.1640625" style="57" customWidth="1"/>
    <col min="10502" max="10502" width="4.5" style="57" customWidth="1"/>
    <col min="10503" max="10506" width="3.1640625" style="57" customWidth="1"/>
    <col min="10507" max="10515" width="4.75" style="57" customWidth="1"/>
    <col min="10516" max="10516" width="3.1640625" style="57" customWidth="1"/>
    <col min="10517" max="10517" width="9.25" style="57" customWidth="1"/>
    <col min="10518" max="10518" width="26.75" style="57" customWidth="1"/>
    <col min="10519" max="10522" width="9.25" style="57" customWidth="1"/>
    <col min="10523" max="10752" width="7.75" style="57"/>
    <col min="10753" max="10753" width="2.5" style="57" customWidth="1"/>
    <col min="10754" max="10754" width="6.83203125" style="57" customWidth="1"/>
    <col min="10755" max="10757" width="3.1640625" style="57" customWidth="1"/>
    <col min="10758" max="10758" width="4.5" style="57" customWidth="1"/>
    <col min="10759" max="10762" width="3.1640625" style="57" customWidth="1"/>
    <col min="10763" max="10771" width="4.75" style="57" customWidth="1"/>
    <col min="10772" max="10772" width="3.1640625" style="57" customWidth="1"/>
    <col min="10773" max="10773" width="9.25" style="57" customWidth="1"/>
    <col min="10774" max="10774" width="26.75" style="57" customWidth="1"/>
    <col min="10775" max="10778" width="9.25" style="57" customWidth="1"/>
    <col min="10779" max="11008" width="7.75" style="57"/>
    <col min="11009" max="11009" width="2.5" style="57" customWidth="1"/>
    <col min="11010" max="11010" width="6.83203125" style="57" customWidth="1"/>
    <col min="11011" max="11013" width="3.1640625" style="57" customWidth="1"/>
    <col min="11014" max="11014" width="4.5" style="57" customWidth="1"/>
    <col min="11015" max="11018" width="3.1640625" style="57" customWidth="1"/>
    <col min="11019" max="11027" width="4.75" style="57" customWidth="1"/>
    <col min="11028" max="11028" width="3.1640625" style="57" customWidth="1"/>
    <col min="11029" max="11029" width="9.25" style="57" customWidth="1"/>
    <col min="11030" max="11030" width="26.75" style="57" customWidth="1"/>
    <col min="11031" max="11034" width="9.25" style="57" customWidth="1"/>
    <col min="11035" max="11264" width="7.75" style="57"/>
    <col min="11265" max="11265" width="2.5" style="57" customWidth="1"/>
    <col min="11266" max="11266" width="6.83203125" style="57" customWidth="1"/>
    <col min="11267" max="11269" width="3.1640625" style="57" customWidth="1"/>
    <col min="11270" max="11270" width="4.5" style="57" customWidth="1"/>
    <col min="11271" max="11274" width="3.1640625" style="57" customWidth="1"/>
    <col min="11275" max="11283" width="4.75" style="57" customWidth="1"/>
    <col min="11284" max="11284" width="3.1640625" style="57" customWidth="1"/>
    <col min="11285" max="11285" width="9.25" style="57" customWidth="1"/>
    <col min="11286" max="11286" width="26.75" style="57" customWidth="1"/>
    <col min="11287" max="11290" width="9.25" style="57" customWidth="1"/>
    <col min="11291" max="11520" width="7.75" style="57"/>
    <col min="11521" max="11521" width="2.5" style="57" customWidth="1"/>
    <col min="11522" max="11522" width="6.83203125" style="57" customWidth="1"/>
    <col min="11523" max="11525" width="3.1640625" style="57" customWidth="1"/>
    <col min="11526" max="11526" width="4.5" style="57" customWidth="1"/>
    <col min="11527" max="11530" width="3.1640625" style="57" customWidth="1"/>
    <col min="11531" max="11539" width="4.75" style="57" customWidth="1"/>
    <col min="11540" max="11540" width="3.1640625" style="57" customWidth="1"/>
    <col min="11541" max="11541" width="9.25" style="57" customWidth="1"/>
    <col min="11542" max="11542" width="26.75" style="57" customWidth="1"/>
    <col min="11543" max="11546" width="9.25" style="57" customWidth="1"/>
    <col min="11547" max="11776" width="7.75" style="57"/>
    <col min="11777" max="11777" width="2.5" style="57" customWidth="1"/>
    <col min="11778" max="11778" width="6.83203125" style="57" customWidth="1"/>
    <col min="11779" max="11781" width="3.1640625" style="57" customWidth="1"/>
    <col min="11782" max="11782" width="4.5" style="57" customWidth="1"/>
    <col min="11783" max="11786" width="3.1640625" style="57" customWidth="1"/>
    <col min="11787" max="11795" width="4.75" style="57" customWidth="1"/>
    <col min="11796" max="11796" width="3.1640625" style="57" customWidth="1"/>
    <col min="11797" max="11797" width="9.25" style="57" customWidth="1"/>
    <col min="11798" max="11798" width="26.75" style="57" customWidth="1"/>
    <col min="11799" max="11802" width="9.25" style="57" customWidth="1"/>
    <col min="11803" max="12032" width="7.75" style="57"/>
    <col min="12033" max="12033" width="2.5" style="57" customWidth="1"/>
    <col min="12034" max="12034" width="6.83203125" style="57" customWidth="1"/>
    <col min="12035" max="12037" width="3.1640625" style="57" customWidth="1"/>
    <col min="12038" max="12038" width="4.5" style="57" customWidth="1"/>
    <col min="12039" max="12042" width="3.1640625" style="57" customWidth="1"/>
    <col min="12043" max="12051" width="4.75" style="57" customWidth="1"/>
    <col min="12052" max="12052" width="3.1640625" style="57" customWidth="1"/>
    <col min="12053" max="12053" width="9.25" style="57" customWidth="1"/>
    <col min="12054" max="12054" width="26.75" style="57" customWidth="1"/>
    <col min="12055" max="12058" width="9.25" style="57" customWidth="1"/>
    <col min="12059" max="12288" width="7.75" style="57"/>
    <col min="12289" max="12289" width="2.5" style="57" customWidth="1"/>
    <col min="12290" max="12290" width="6.83203125" style="57" customWidth="1"/>
    <col min="12291" max="12293" width="3.1640625" style="57" customWidth="1"/>
    <col min="12294" max="12294" width="4.5" style="57" customWidth="1"/>
    <col min="12295" max="12298" width="3.1640625" style="57" customWidth="1"/>
    <col min="12299" max="12307" width="4.75" style="57" customWidth="1"/>
    <col min="12308" max="12308" width="3.1640625" style="57" customWidth="1"/>
    <col min="12309" max="12309" width="9.25" style="57" customWidth="1"/>
    <col min="12310" max="12310" width="26.75" style="57" customWidth="1"/>
    <col min="12311" max="12314" width="9.25" style="57" customWidth="1"/>
    <col min="12315" max="12544" width="7.75" style="57"/>
    <col min="12545" max="12545" width="2.5" style="57" customWidth="1"/>
    <col min="12546" max="12546" width="6.83203125" style="57" customWidth="1"/>
    <col min="12547" max="12549" width="3.1640625" style="57" customWidth="1"/>
    <col min="12550" max="12550" width="4.5" style="57" customWidth="1"/>
    <col min="12551" max="12554" width="3.1640625" style="57" customWidth="1"/>
    <col min="12555" max="12563" width="4.75" style="57" customWidth="1"/>
    <col min="12564" max="12564" width="3.1640625" style="57" customWidth="1"/>
    <col min="12565" max="12565" width="9.25" style="57" customWidth="1"/>
    <col min="12566" max="12566" width="26.75" style="57" customWidth="1"/>
    <col min="12567" max="12570" width="9.25" style="57" customWidth="1"/>
    <col min="12571" max="12800" width="7.75" style="57"/>
    <col min="12801" max="12801" width="2.5" style="57" customWidth="1"/>
    <col min="12802" max="12802" width="6.83203125" style="57" customWidth="1"/>
    <col min="12803" max="12805" width="3.1640625" style="57" customWidth="1"/>
    <col min="12806" max="12806" width="4.5" style="57" customWidth="1"/>
    <col min="12807" max="12810" width="3.1640625" style="57" customWidth="1"/>
    <col min="12811" max="12819" width="4.75" style="57" customWidth="1"/>
    <col min="12820" max="12820" width="3.1640625" style="57" customWidth="1"/>
    <col min="12821" max="12821" width="9.25" style="57" customWidth="1"/>
    <col min="12822" max="12822" width="26.75" style="57" customWidth="1"/>
    <col min="12823" max="12826" width="9.25" style="57" customWidth="1"/>
    <col min="12827" max="13056" width="7.75" style="57"/>
    <col min="13057" max="13057" width="2.5" style="57" customWidth="1"/>
    <col min="13058" max="13058" width="6.83203125" style="57" customWidth="1"/>
    <col min="13059" max="13061" width="3.1640625" style="57" customWidth="1"/>
    <col min="13062" max="13062" width="4.5" style="57" customWidth="1"/>
    <col min="13063" max="13066" width="3.1640625" style="57" customWidth="1"/>
    <col min="13067" max="13075" width="4.75" style="57" customWidth="1"/>
    <col min="13076" max="13076" width="3.1640625" style="57" customWidth="1"/>
    <col min="13077" max="13077" width="9.25" style="57" customWidth="1"/>
    <col min="13078" max="13078" width="26.75" style="57" customWidth="1"/>
    <col min="13079" max="13082" width="9.25" style="57" customWidth="1"/>
    <col min="13083" max="13312" width="7.75" style="57"/>
    <col min="13313" max="13313" width="2.5" style="57" customWidth="1"/>
    <col min="13314" max="13314" width="6.83203125" style="57" customWidth="1"/>
    <col min="13315" max="13317" width="3.1640625" style="57" customWidth="1"/>
    <col min="13318" max="13318" width="4.5" style="57" customWidth="1"/>
    <col min="13319" max="13322" width="3.1640625" style="57" customWidth="1"/>
    <col min="13323" max="13331" width="4.75" style="57" customWidth="1"/>
    <col min="13332" max="13332" width="3.1640625" style="57" customWidth="1"/>
    <col min="13333" max="13333" width="9.25" style="57" customWidth="1"/>
    <col min="13334" max="13334" width="26.75" style="57" customWidth="1"/>
    <col min="13335" max="13338" width="9.25" style="57" customWidth="1"/>
    <col min="13339" max="13568" width="7.75" style="57"/>
    <col min="13569" max="13569" width="2.5" style="57" customWidth="1"/>
    <col min="13570" max="13570" width="6.83203125" style="57" customWidth="1"/>
    <col min="13571" max="13573" width="3.1640625" style="57" customWidth="1"/>
    <col min="13574" max="13574" width="4.5" style="57" customWidth="1"/>
    <col min="13575" max="13578" width="3.1640625" style="57" customWidth="1"/>
    <col min="13579" max="13587" width="4.75" style="57" customWidth="1"/>
    <col min="13588" max="13588" width="3.1640625" style="57" customWidth="1"/>
    <col min="13589" max="13589" width="9.25" style="57" customWidth="1"/>
    <col min="13590" max="13590" width="26.75" style="57" customWidth="1"/>
    <col min="13591" max="13594" width="9.25" style="57" customWidth="1"/>
    <col min="13595" max="13824" width="7.75" style="57"/>
    <col min="13825" max="13825" width="2.5" style="57" customWidth="1"/>
    <col min="13826" max="13826" width="6.83203125" style="57" customWidth="1"/>
    <col min="13827" max="13829" width="3.1640625" style="57" customWidth="1"/>
    <col min="13830" max="13830" width="4.5" style="57" customWidth="1"/>
    <col min="13831" max="13834" width="3.1640625" style="57" customWidth="1"/>
    <col min="13835" max="13843" width="4.75" style="57" customWidth="1"/>
    <col min="13844" max="13844" width="3.1640625" style="57" customWidth="1"/>
    <col min="13845" max="13845" width="9.25" style="57" customWidth="1"/>
    <col min="13846" max="13846" width="26.75" style="57" customWidth="1"/>
    <col min="13847" max="13850" width="9.25" style="57" customWidth="1"/>
    <col min="13851" max="14080" width="7.75" style="57"/>
    <col min="14081" max="14081" width="2.5" style="57" customWidth="1"/>
    <col min="14082" max="14082" width="6.83203125" style="57" customWidth="1"/>
    <col min="14083" max="14085" width="3.1640625" style="57" customWidth="1"/>
    <col min="14086" max="14086" width="4.5" style="57" customWidth="1"/>
    <col min="14087" max="14090" width="3.1640625" style="57" customWidth="1"/>
    <col min="14091" max="14099" width="4.75" style="57" customWidth="1"/>
    <col min="14100" max="14100" width="3.1640625" style="57" customWidth="1"/>
    <col min="14101" max="14101" width="9.25" style="57" customWidth="1"/>
    <col min="14102" max="14102" width="26.75" style="57" customWidth="1"/>
    <col min="14103" max="14106" width="9.25" style="57" customWidth="1"/>
    <col min="14107" max="14336" width="7.75" style="57"/>
    <col min="14337" max="14337" width="2.5" style="57" customWidth="1"/>
    <col min="14338" max="14338" width="6.83203125" style="57" customWidth="1"/>
    <col min="14339" max="14341" width="3.1640625" style="57" customWidth="1"/>
    <col min="14342" max="14342" width="4.5" style="57" customWidth="1"/>
    <col min="14343" max="14346" width="3.1640625" style="57" customWidth="1"/>
    <col min="14347" max="14355" width="4.75" style="57" customWidth="1"/>
    <col min="14356" max="14356" width="3.1640625" style="57" customWidth="1"/>
    <col min="14357" max="14357" width="9.25" style="57" customWidth="1"/>
    <col min="14358" max="14358" width="26.75" style="57" customWidth="1"/>
    <col min="14359" max="14362" width="9.25" style="57" customWidth="1"/>
    <col min="14363" max="14592" width="7.75" style="57"/>
    <col min="14593" max="14593" width="2.5" style="57" customWidth="1"/>
    <col min="14594" max="14594" width="6.83203125" style="57" customWidth="1"/>
    <col min="14595" max="14597" width="3.1640625" style="57" customWidth="1"/>
    <col min="14598" max="14598" width="4.5" style="57" customWidth="1"/>
    <col min="14599" max="14602" width="3.1640625" style="57" customWidth="1"/>
    <col min="14603" max="14611" width="4.75" style="57" customWidth="1"/>
    <col min="14612" max="14612" width="3.1640625" style="57" customWidth="1"/>
    <col min="14613" max="14613" width="9.25" style="57" customWidth="1"/>
    <col min="14614" max="14614" width="26.75" style="57" customWidth="1"/>
    <col min="14615" max="14618" width="9.25" style="57" customWidth="1"/>
    <col min="14619" max="14848" width="7.75" style="57"/>
    <col min="14849" max="14849" width="2.5" style="57" customWidth="1"/>
    <col min="14850" max="14850" width="6.83203125" style="57" customWidth="1"/>
    <col min="14851" max="14853" width="3.1640625" style="57" customWidth="1"/>
    <col min="14854" max="14854" width="4.5" style="57" customWidth="1"/>
    <col min="14855" max="14858" width="3.1640625" style="57" customWidth="1"/>
    <col min="14859" max="14867" width="4.75" style="57" customWidth="1"/>
    <col min="14868" max="14868" width="3.1640625" style="57" customWidth="1"/>
    <col min="14869" max="14869" width="9.25" style="57" customWidth="1"/>
    <col min="14870" max="14870" width="26.75" style="57" customWidth="1"/>
    <col min="14871" max="14874" width="9.25" style="57" customWidth="1"/>
    <col min="14875" max="15104" width="7.75" style="57"/>
    <col min="15105" max="15105" width="2.5" style="57" customWidth="1"/>
    <col min="15106" max="15106" width="6.83203125" style="57" customWidth="1"/>
    <col min="15107" max="15109" width="3.1640625" style="57" customWidth="1"/>
    <col min="15110" max="15110" width="4.5" style="57" customWidth="1"/>
    <col min="15111" max="15114" width="3.1640625" style="57" customWidth="1"/>
    <col min="15115" max="15123" width="4.75" style="57" customWidth="1"/>
    <col min="15124" max="15124" width="3.1640625" style="57" customWidth="1"/>
    <col min="15125" max="15125" width="9.25" style="57" customWidth="1"/>
    <col min="15126" max="15126" width="26.75" style="57" customWidth="1"/>
    <col min="15127" max="15130" width="9.25" style="57" customWidth="1"/>
    <col min="15131" max="15360" width="7.75" style="57"/>
    <col min="15361" max="15361" width="2.5" style="57" customWidth="1"/>
    <col min="15362" max="15362" width="6.83203125" style="57" customWidth="1"/>
    <col min="15363" max="15365" width="3.1640625" style="57" customWidth="1"/>
    <col min="15366" max="15366" width="4.5" style="57" customWidth="1"/>
    <col min="15367" max="15370" width="3.1640625" style="57" customWidth="1"/>
    <col min="15371" max="15379" width="4.75" style="57" customWidth="1"/>
    <col min="15380" max="15380" width="3.1640625" style="57" customWidth="1"/>
    <col min="15381" max="15381" width="9.25" style="57" customWidth="1"/>
    <col min="15382" max="15382" width="26.75" style="57" customWidth="1"/>
    <col min="15383" max="15386" width="9.25" style="57" customWidth="1"/>
    <col min="15387" max="15616" width="7.75" style="57"/>
    <col min="15617" max="15617" width="2.5" style="57" customWidth="1"/>
    <col min="15618" max="15618" width="6.83203125" style="57" customWidth="1"/>
    <col min="15619" max="15621" width="3.1640625" style="57" customWidth="1"/>
    <col min="15622" max="15622" width="4.5" style="57" customWidth="1"/>
    <col min="15623" max="15626" width="3.1640625" style="57" customWidth="1"/>
    <col min="15627" max="15635" width="4.75" style="57" customWidth="1"/>
    <col min="15636" max="15636" width="3.1640625" style="57" customWidth="1"/>
    <col min="15637" max="15637" width="9.25" style="57" customWidth="1"/>
    <col min="15638" max="15638" width="26.75" style="57" customWidth="1"/>
    <col min="15639" max="15642" width="9.25" style="57" customWidth="1"/>
    <col min="15643" max="15872" width="7.75" style="57"/>
    <col min="15873" max="15873" width="2.5" style="57" customWidth="1"/>
    <col min="15874" max="15874" width="6.83203125" style="57" customWidth="1"/>
    <col min="15875" max="15877" width="3.1640625" style="57" customWidth="1"/>
    <col min="15878" max="15878" width="4.5" style="57" customWidth="1"/>
    <col min="15879" max="15882" width="3.1640625" style="57" customWidth="1"/>
    <col min="15883" max="15891" width="4.75" style="57" customWidth="1"/>
    <col min="15892" max="15892" width="3.1640625" style="57" customWidth="1"/>
    <col min="15893" max="15893" width="9.25" style="57" customWidth="1"/>
    <col min="15894" max="15894" width="26.75" style="57" customWidth="1"/>
    <col min="15895" max="15898" width="9.25" style="57" customWidth="1"/>
    <col min="15899" max="16128" width="7.75" style="57"/>
    <col min="16129" max="16129" width="2.5" style="57" customWidth="1"/>
    <col min="16130" max="16130" width="6.83203125" style="57" customWidth="1"/>
    <col min="16131" max="16133" width="3.1640625" style="57" customWidth="1"/>
    <col min="16134" max="16134" width="4.5" style="57" customWidth="1"/>
    <col min="16135" max="16138" width="3.1640625" style="57" customWidth="1"/>
    <col min="16139" max="16147" width="4.75" style="57" customWidth="1"/>
    <col min="16148" max="16148" width="3.1640625" style="57" customWidth="1"/>
    <col min="16149" max="16149" width="9.25" style="57" customWidth="1"/>
    <col min="16150" max="16150" width="26.75" style="57" customWidth="1"/>
    <col min="16151" max="16154" width="9.25" style="57" customWidth="1"/>
    <col min="16155" max="16384" width="7.75" style="57"/>
  </cols>
  <sheetData>
    <row r="1" spans="1:27" s="55" customFormat="1" ht="15" customHeight="1">
      <c r="B1" s="246"/>
      <c r="C1" s="247"/>
      <c r="D1" s="66"/>
      <c r="E1" s="66"/>
      <c r="F1" s="66"/>
      <c r="G1" s="66"/>
      <c r="H1" s="66"/>
      <c r="I1" s="66"/>
      <c r="J1" s="66"/>
      <c r="K1" s="66"/>
      <c r="L1" s="66"/>
      <c r="M1" s="66"/>
      <c r="N1" s="66"/>
      <c r="O1" s="66"/>
      <c r="P1" s="66"/>
      <c r="Q1" s="66"/>
      <c r="R1" s="66"/>
      <c r="S1" s="66"/>
      <c r="T1" s="66"/>
      <c r="V1" s="66" t="s">
        <v>372</v>
      </c>
      <c r="W1" s="66"/>
      <c r="X1" s="66"/>
      <c r="Y1" s="66"/>
    </row>
    <row r="2" spans="1:27" s="69" customFormat="1" ht="15" customHeight="1">
      <c r="A2" s="70" t="s">
        <v>718</v>
      </c>
      <c r="B2" s="61"/>
      <c r="C2" s="61"/>
      <c r="D2" s="61"/>
      <c r="E2" s="61"/>
      <c r="F2" s="61"/>
      <c r="G2" s="61"/>
      <c r="H2" s="61"/>
      <c r="I2" s="61"/>
      <c r="J2" s="61"/>
      <c r="K2" s="61"/>
      <c r="L2" s="61"/>
      <c r="M2" s="61"/>
      <c r="N2" s="61"/>
      <c r="O2" s="61"/>
      <c r="P2" s="61"/>
      <c r="Q2" s="206" t="str">
        <f>'SP3-1'!L2</f>
        <v>Spreadsheet release date 14-Apr-2023</v>
      </c>
      <c r="R2" s="61"/>
      <c r="S2" s="61"/>
      <c r="T2" s="61"/>
      <c r="V2" s="207" t="str">
        <f>'SP3-1'!Q2</f>
        <v>Email: MBCM@nzta.govt.nz</v>
      </c>
      <c r="W2" s="61"/>
      <c r="X2" s="61"/>
      <c r="Y2" s="61"/>
      <c r="Z2" s="62"/>
      <c r="AA2" s="62"/>
    </row>
    <row r="3" spans="1:27" s="62" customFormat="1" ht="15" customHeight="1">
      <c r="A3" s="68" t="s">
        <v>434</v>
      </c>
      <c r="B3" s="61"/>
      <c r="C3" s="61"/>
      <c r="D3" s="61"/>
      <c r="E3" s="61"/>
      <c r="F3" s="61"/>
      <c r="G3" s="61"/>
      <c r="H3" s="61"/>
      <c r="I3" s="61"/>
      <c r="J3" s="61"/>
      <c r="K3" s="61"/>
      <c r="L3" s="61"/>
      <c r="M3" s="61"/>
      <c r="N3" s="61"/>
      <c r="O3" s="61"/>
      <c r="P3" s="61"/>
      <c r="Q3" s="61"/>
      <c r="R3" s="61"/>
      <c r="S3" s="61"/>
      <c r="T3" s="138"/>
      <c r="U3" s="61"/>
      <c r="V3" s="61"/>
      <c r="W3" s="61"/>
      <c r="X3" s="61"/>
      <c r="Y3" s="61"/>
    </row>
    <row r="4" spans="1:27" s="55" customFormat="1" ht="15" customHeight="1">
      <c r="A4" s="67"/>
      <c r="B4" s="505" t="s">
        <v>761</v>
      </c>
      <c r="C4" s="505"/>
      <c r="D4" s="505"/>
      <c r="E4" s="505"/>
      <c r="F4" s="505"/>
      <c r="G4" s="505"/>
      <c r="H4" s="505"/>
      <c r="I4" s="505"/>
      <c r="J4" s="505"/>
      <c r="K4" s="505"/>
      <c r="L4" s="505"/>
      <c r="M4" s="505"/>
      <c r="N4" s="505"/>
      <c r="O4" s="505"/>
      <c r="P4" s="505"/>
      <c r="Q4" s="505"/>
      <c r="R4" s="505"/>
      <c r="S4" s="505"/>
      <c r="T4" s="66"/>
      <c r="U4" s="66"/>
      <c r="V4" s="61"/>
      <c r="W4" s="61"/>
      <c r="X4" s="61"/>
      <c r="Y4" s="61"/>
      <c r="Z4" s="62"/>
      <c r="AA4" s="62"/>
    </row>
    <row r="5" spans="1:27" s="55" customFormat="1" ht="20.25" customHeight="1">
      <c r="A5" s="67"/>
      <c r="B5" s="505"/>
      <c r="C5" s="505"/>
      <c r="D5" s="505"/>
      <c r="E5" s="505"/>
      <c r="F5" s="505"/>
      <c r="G5" s="505"/>
      <c r="H5" s="505"/>
      <c r="I5" s="505"/>
      <c r="J5" s="505"/>
      <c r="K5" s="505"/>
      <c r="L5" s="505"/>
      <c r="M5" s="505"/>
      <c r="N5" s="505"/>
      <c r="O5" s="505"/>
      <c r="P5" s="505"/>
      <c r="Q5" s="505"/>
      <c r="R5" s="505"/>
      <c r="S5" s="505"/>
      <c r="T5" s="66"/>
      <c r="U5" s="66"/>
      <c r="V5" s="61"/>
      <c r="W5" s="61"/>
      <c r="X5" s="61"/>
      <c r="Y5" s="61"/>
      <c r="Z5" s="62"/>
      <c r="AA5" s="62"/>
    </row>
    <row r="6" spans="1:27" s="62" customFormat="1" ht="11.25" customHeight="1" thickBot="1">
      <c r="A6" s="138"/>
      <c r="B6" s="61"/>
      <c r="C6" s="61"/>
      <c r="D6" s="61"/>
      <c r="E6" s="61"/>
      <c r="F6" s="61"/>
      <c r="G6" s="61"/>
      <c r="H6" s="61"/>
      <c r="I6" s="61"/>
      <c r="J6" s="61"/>
      <c r="K6" s="61"/>
      <c r="L6" s="61"/>
      <c r="M6" s="61"/>
      <c r="N6" s="61"/>
      <c r="O6" s="61"/>
      <c r="P6" s="61"/>
      <c r="Q6" s="61"/>
      <c r="R6" s="61"/>
      <c r="S6" s="61"/>
      <c r="T6" s="138"/>
      <c r="U6" s="61"/>
      <c r="V6" s="61"/>
      <c r="W6" s="61"/>
      <c r="X6" s="61"/>
      <c r="Y6" s="61"/>
    </row>
    <row r="7" spans="1:27" s="62" customFormat="1" ht="19.5" customHeight="1" thickTop="1" thickBot="1">
      <c r="A7" s="209"/>
      <c r="B7" s="248" t="s">
        <v>762</v>
      </c>
      <c r="C7" s="209"/>
      <c r="D7" s="209"/>
      <c r="E7" s="209"/>
      <c r="F7" s="209"/>
      <c r="G7" s="209"/>
      <c r="H7" s="209"/>
      <c r="I7" s="209"/>
      <c r="J7" s="209"/>
      <c r="K7" s="209"/>
      <c r="L7" s="506"/>
      <c r="M7" s="506"/>
      <c r="N7" s="506"/>
      <c r="O7" s="506"/>
      <c r="P7" s="506"/>
      <c r="Q7" s="506"/>
      <c r="R7" s="506"/>
      <c r="S7" s="506"/>
      <c r="T7" s="209"/>
      <c r="U7" s="61"/>
      <c r="V7" s="61"/>
      <c r="W7" s="61"/>
      <c r="X7" s="61"/>
      <c r="Y7" s="61"/>
    </row>
    <row r="8" spans="1:27" s="62" customFormat="1" ht="19.5" customHeight="1" thickTop="1" thickBot="1">
      <c r="A8" s="211">
        <v>1</v>
      </c>
      <c r="B8" s="436" t="s">
        <v>435</v>
      </c>
      <c r="C8" s="436"/>
      <c r="D8" s="436"/>
      <c r="E8" s="436"/>
      <c r="F8" s="436"/>
      <c r="G8" s="436"/>
      <c r="H8" s="436"/>
      <c r="I8" s="436"/>
      <c r="J8" s="436"/>
      <c r="K8" s="436"/>
      <c r="L8" s="436"/>
      <c r="M8" s="436"/>
      <c r="N8" s="436"/>
      <c r="O8" s="436"/>
      <c r="P8" s="210"/>
      <c r="Q8" s="210"/>
      <c r="R8" s="210"/>
      <c r="S8" s="210"/>
      <c r="T8" s="209"/>
      <c r="U8" s="61"/>
      <c r="V8" s="61"/>
      <c r="W8" s="61"/>
      <c r="X8" s="61"/>
      <c r="Y8" s="61"/>
    </row>
    <row r="9" spans="1:27" s="62" customFormat="1" ht="19.5" customHeight="1" thickTop="1" thickBot="1">
      <c r="A9" s="209"/>
      <c r="B9" s="210"/>
      <c r="C9" s="210"/>
      <c r="D9" s="210"/>
      <c r="E9" s="210"/>
      <c r="F9" s="210"/>
      <c r="G9" s="222"/>
      <c r="H9" s="222"/>
      <c r="I9" s="222"/>
      <c r="J9" s="222" t="s">
        <v>267</v>
      </c>
      <c r="K9" s="443"/>
      <c r="L9" s="443"/>
      <c r="M9" s="443"/>
      <c r="N9" s="210" t="s">
        <v>418</v>
      </c>
      <c r="O9" s="210">
        <f>Tables!K321</f>
        <v>0.96150000000000002</v>
      </c>
      <c r="P9" s="222" t="s">
        <v>763</v>
      </c>
      <c r="Q9" s="453">
        <f>K9*O9</f>
        <v>0</v>
      </c>
      <c r="R9" s="453"/>
      <c r="S9" s="453"/>
      <c r="T9" s="211" t="s">
        <v>419</v>
      </c>
      <c r="U9" s="61"/>
      <c r="V9" s="61"/>
      <c r="W9" s="61"/>
      <c r="X9" s="61"/>
      <c r="Y9" s="61"/>
    </row>
    <row r="10" spans="1:27" s="62" customFormat="1" ht="19.5" customHeight="1" thickTop="1" thickBot="1">
      <c r="A10" s="211">
        <v>2</v>
      </c>
      <c r="B10" s="436" t="s">
        <v>437</v>
      </c>
      <c r="C10" s="436"/>
      <c r="D10" s="436"/>
      <c r="E10" s="436"/>
      <c r="F10" s="436"/>
      <c r="G10" s="436"/>
      <c r="H10" s="210"/>
      <c r="I10" s="210"/>
      <c r="J10" s="210"/>
      <c r="K10" s="210"/>
      <c r="L10" s="210"/>
      <c r="M10" s="210"/>
      <c r="N10" s="210"/>
      <c r="O10" s="210"/>
      <c r="P10" s="222" t="s">
        <v>267</v>
      </c>
      <c r="Q10" s="443"/>
      <c r="R10" s="443"/>
      <c r="S10" s="443"/>
      <c r="T10" s="211" t="s">
        <v>429</v>
      </c>
      <c r="U10" s="61"/>
      <c r="V10" s="61"/>
      <c r="W10" s="61"/>
      <c r="X10" s="61"/>
      <c r="Y10" s="61"/>
    </row>
    <row r="11" spans="1:27" s="62" customFormat="1" ht="19.5" customHeight="1" thickTop="1" thickBot="1">
      <c r="A11" s="211">
        <v>3</v>
      </c>
      <c r="B11" s="436" t="s">
        <v>417</v>
      </c>
      <c r="C11" s="436"/>
      <c r="D11" s="436"/>
      <c r="E11" s="436"/>
      <c r="F11" s="436"/>
      <c r="G11" s="436"/>
      <c r="H11" s="436"/>
      <c r="I11" s="436"/>
      <c r="J11" s="436"/>
      <c r="K11" s="436"/>
      <c r="L11" s="436"/>
      <c r="M11" s="436"/>
      <c r="N11" s="436"/>
      <c r="O11" s="210"/>
      <c r="P11" s="210"/>
      <c r="Q11" s="210"/>
      <c r="R11" s="210"/>
      <c r="S11" s="210"/>
      <c r="T11" s="211"/>
      <c r="U11" s="61"/>
      <c r="V11" s="61"/>
      <c r="W11" s="61"/>
      <c r="X11" s="61"/>
      <c r="Y11" s="61"/>
    </row>
    <row r="12" spans="1:27" s="62" customFormat="1" ht="19.5" customHeight="1" thickTop="1" thickBot="1">
      <c r="A12" s="209"/>
      <c r="B12" s="210"/>
      <c r="C12" s="210"/>
      <c r="D12" s="210"/>
      <c r="E12" s="210"/>
      <c r="F12" s="222" t="s">
        <v>438</v>
      </c>
      <c r="G12" s="222">
        <f>'SP3-1'!I24</f>
        <v>0</v>
      </c>
      <c r="H12" s="222"/>
      <c r="I12" s="222"/>
      <c r="J12" s="222" t="s">
        <v>439</v>
      </c>
      <c r="K12" s="443"/>
      <c r="L12" s="443"/>
      <c r="M12" s="443"/>
      <c r="N12" s="210" t="s">
        <v>418</v>
      </c>
      <c r="O12" s="237">
        <f>Tables!K320-Tables!K319</f>
        <v>-0.98064352657801512</v>
      </c>
      <c r="P12" s="222" t="s">
        <v>436</v>
      </c>
      <c r="Q12" s="453">
        <f>K12*O12</f>
        <v>0</v>
      </c>
      <c r="R12" s="453"/>
      <c r="S12" s="453"/>
      <c r="T12" s="211" t="s">
        <v>430</v>
      </c>
      <c r="U12" s="61"/>
      <c r="V12" s="435" t="s">
        <v>916</v>
      </c>
      <c r="W12" s="435"/>
      <c r="X12" s="435"/>
      <c r="Y12" s="435"/>
      <c r="Z12" s="435"/>
    </row>
    <row r="13" spans="1:27" s="62" customFormat="1" ht="19.5" customHeight="1" thickTop="1" thickBot="1">
      <c r="A13" s="211">
        <v>4</v>
      </c>
      <c r="B13" s="436" t="s">
        <v>440</v>
      </c>
      <c r="C13" s="436"/>
      <c r="D13" s="436"/>
      <c r="E13" s="436"/>
      <c r="F13" s="436"/>
      <c r="G13" s="436"/>
      <c r="H13" s="436"/>
      <c r="I13" s="210"/>
      <c r="J13" s="210"/>
      <c r="K13" s="210"/>
      <c r="L13" s="210"/>
      <c r="M13" s="210"/>
      <c r="N13" s="210"/>
      <c r="O13" s="210"/>
      <c r="P13" s="210"/>
      <c r="Q13" s="210"/>
      <c r="R13" s="210"/>
      <c r="S13" s="210"/>
      <c r="T13" s="209"/>
      <c r="U13" s="61"/>
      <c r="V13" s="61"/>
      <c r="W13" s="61"/>
      <c r="X13" s="61"/>
      <c r="Y13" s="61"/>
    </row>
    <row r="14" spans="1:27" s="62" customFormat="1" ht="19.5" customHeight="1" thickTop="1" thickBot="1">
      <c r="A14" s="209"/>
      <c r="B14" s="235" t="s">
        <v>420</v>
      </c>
      <c r="C14" s="235"/>
      <c r="D14" s="235"/>
      <c r="E14" s="235"/>
      <c r="F14" s="235"/>
      <c r="G14" s="235"/>
      <c r="H14" s="235"/>
      <c r="I14" s="235"/>
      <c r="J14" s="235"/>
      <c r="K14" s="235"/>
      <c r="L14" s="235"/>
      <c r="M14" s="235"/>
      <c r="N14" s="235"/>
      <c r="O14" s="235"/>
      <c r="P14" s="239" t="s">
        <v>421</v>
      </c>
      <c r="Q14" s="492">
        <f>'SP3-1'!I22</f>
        <v>0</v>
      </c>
      <c r="R14" s="492"/>
      <c r="S14" s="492"/>
      <c r="T14" s="209"/>
      <c r="U14" s="61"/>
      <c r="V14" s="61"/>
      <c r="W14" s="61"/>
      <c r="X14" s="61"/>
      <c r="Y14" s="61"/>
    </row>
    <row r="15" spans="1:27" s="62" customFormat="1" ht="19.5" customHeight="1" thickTop="1" thickBot="1">
      <c r="A15" s="249"/>
      <c r="B15" s="250" t="s">
        <v>423</v>
      </c>
      <c r="C15" s="495" t="s">
        <v>424</v>
      </c>
      <c r="D15" s="495"/>
      <c r="E15" s="495"/>
      <c r="F15" s="495"/>
      <c r="G15" s="495"/>
      <c r="H15" s="495"/>
      <c r="I15" s="495"/>
      <c r="J15" s="495"/>
      <c r="K15" s="495" t="s">
        <v>425</v>
      </c>
      <c r="L15" s="495"/>
      <c r="M15" s="495"/>
      <c r="N15" s="495" t="s">
        <v>426</v>
      </c>
      <c r="O15" s="495"/>
      <c r="P15" s="495"/>
      <c r="Q15" s="495" t="s">
        <v>280</v>
      </c>
      <c r="R15" s="495"/>
      <c r="S15" s="495"/>
      <c r="T15" s="251"/>
      <c r="U15" s="61"/>
      <c r="V15" s="61"/>
      <c r="W15" s="61"/>
      <c r="X15" s="61"/>
      <c r="Y15" s="61"/>
    </row>
    <row r="16" spans="1:27" s="62" customFormat="1" ht="19.5" customHeight="1" thickTop="1" thickBot="1">
      <c r="A16" s="249"/>
      <c r="B16" s="241"/>
      <c r="C16" s="506"/>
      <c r="D16" s="506"/>
      <c r="E16" s="506"/>
      <c r="F16" s="506"/>
      <c r="G16" s="506"/>
      <c r="H16" s="506"/>
      <c r="I16" s="506"/>
      <c r="J16" s="506"/>
      <c r="K16" s="507"/>
      <c r="L16" s="507"/>
      <c r="M16" s="507"/>
      <c r="N16" s="499" t="str">
        <f>Tables!X323</f>
        <v/>
      </c>
      <c r="O16" s="499"/>
      <c r="P16" s="499"/>
      <c r="Q16" s="500" t="str">
        <f>IF(N16="","",K16*N16)</f>
        <v/>
      </c>
      <c r="R16" s="500"/>
      <c r="S16" s="500"/>
      <c r="T16" s="251"/>
      <c r="U16" s="61"/>
      <c r="V16" s="435" t="s">
        <v>917</v>
      </c>
      <c r="W16" s="435"/>
      <c r="X16" s="435"/>
      <c r="Y16" s="435"/>
      <c r="Z16" s="435"/>
    </row>
    <row r="17" spans="1:26" s="62" customFormat="1" ht="19.5" customHeight="1" thickTop="1" thickBot="1">
      <c r="A17" s="249"/>
      <c r="B17" s="241"/>
      <c r="C17" s="506"/>
      <c r="D17" s="506"/>
      <c r="E17" s="506"/>
      <c r="F17" s="506"/>
      <c r="G17" s="506"/>
      <c r="H17" s="506"/>
      <c r="I17" s="506"/>
      <c r="J17" s="506"/>
      <c r="K17" s="507"/>
      <c r="L17" s="507"/>
      <c r="M17" s="507"/>
      <c r="N17" s="499" t="str">
        <f>Tables!X324</f>
        <v/>
      </c>
      <c r="O17" s="499"/>
      <c r="P17" s="499"/>
      <c r="Q17" s="500" t="str">
        <f t="shared" ref="Q17:Q24" si="0">IF(N17="","",K17*N17)</f>
        <v/>
      </c>
      <c r="R17" s="500"/>
      <c r="S17" s="500"/>
      <c r="T17" s="251"/>
      <c r="U17" s="61"/>
      <c r="V17" s="435"/>
      <c r="W17" s="435"/>
      <c r="X17" s="435"/>
      <c r="Y17" s="435"/>
      <c r="Z17" s="435"/>
    </row>
    <row r="18" spans="1:26" s="62" customFormat="1" ht="19.5" customHeight="1" thickTop="1" thickBot="1">
      <c r="A18" s="249"/>
      <c r="B18" s="241"/>
      <c r="C18" s="506"/>
      <c r="D18" s="506"/>
      <c r="E18" s="506"/>
      <c r="F18" s="506"/>
      <c r="G18" s="506"/>
      <c r="H18" s="506"/>
      <c r="I18" s="506"/>
      <c r="J18" s="506"/>
      <c r="K18" s="507"/>
      <c r="L18" s="507"/>
      <c r="M18" s="507"/>
      <c r="N18" s="499" t="str">
        <f>Tables!X325</f>
        <v/>
      </c>
      <c r="O18" s="499"/>
      <c r="P18" s="499"/>
      <c r="Q18" s="500" t="str">
        <f>IF(N18="","",K18*N18)</f>
        <v/>
      </c>
      <c r="R18" s="500"/>
      <c r="S18" s="500"/>
      <c r="T18" s="251"/>
      <c r="U18" s="61"/>
      <c r="V18" s="435"/>
      <c r="W18" s="435"/>
      <c r="X18" s="435"/>
      <c r="Y18" s="435"/>
      <c r="Z18" s="435"/>
    </row>
    <row r="19" spans="1:26" s="62" customFormat="1" ht="19.5" customHeight="1" thickTop="1" thickBot="1">
      <c r="A19" s="249"/>
      <c r="B19" s="241"/>
      <c r="C19" s="506"/>
      <c r="D19" s="506"/>
      <c r="E19" s="506"/>
      <c r="F19" s="506"/>
      <c r="G19" s="506"/>
      <c r="H19" s="506"/>
      <c r="I19" s="506"/>
      <c r="J19" s="506"/>
      <c r="K19" s="507"/>
      <c r="L19" s="507"/>
      <c r="M19" s="507"/>
      <c r="N19" s="499" t="str">
        <f>Tables!X326</f>
        <v/>
      </c>
      <c r="O19" s="499"/>
      <c r="P19" s="499"/>
      <c r="Q19" s="500" t="str">
        <f>IF(N19="","",K19*N19)</f>
        <v/>
      </c>
      <c r="R19" s="500"/>
      <c r="S19" s="500"/>
      <c r="T19" s="251"/>
      <c r="U19" s="61"/>
      <c r="V19" s="435"/>
      <c r="W19" s="435"/>
      <c r="X19" s="435"/>
      <c r="Y19" s="435"/>
      <c r="Z19" s="435"/>
    </row>
    <row r="20" spans="1:26" s="62" customFormat="1" ht="19.5" customHeight="1" thickTop="1" thickBot="1">
      <c r="A20" s="249"/>
      <c r="B20" s="241"/>
      <c r="C20" s="506"/>
      <c r="D20" s="506"/>
      <c r="E20" s="506"/>
      <c r="F20" s="506"/>
      <c r="G20" s="506"/>
      <c r="H20" s="506"/>
      <c r="I20" s="506"/>
      <c r="J20" s="506"/>
      <c r="K20" s="507"/>
      <c r="L20" s="507"/>
      <c r="M20" s="507"/>
      <c r="N20" s="499" t="str">
        <f>Tables!X327</f>
        <v/>
      </c>
      <c r="O20" s="499"/>
      <c r="P20" s="499"/>
      <c r="Q20" s="500" t="str">
        <f t="shared" si="0"/>
        <v/>
      </c>
      <c r="R20" s="500"/>
      <c r="S20" s="500"/>
      <c r="T20" s="251"/>
      <c r="U20" s="61"/>
      <c r="V20" s="435"/>
      <c r="W20" s="435"/>
      <c r="X20" s="435"/>
      <c r="Y20" s="435"/>
      <c r="Z20" s="435"/>
    </row>
    <row r="21" spans="1:26" s="62" customFormat="1" ht="19.5" customHeight="1" thickTop="1" thickBot="1">
      <c r="A21" s="249"/>
      <c r="B21" s="241"/>
      <c r="C21" s="506"/>
      <c r="D21" s="506"/>
      <c r="E21" s="506"/>
      <c r="F21" s="506"/>
      <c r="G21" s="506"/>
      <c r="H21" s="506"/>
      <c r="I21" s="506"/>
      <c r="J21" s="506"/>
      <c r="K21" s="507"/>
      <c r="L21" s="507"/>
      <c r="M21" s="507"/>
      <c r="N21" s="499" t="str">
        <f>Tables!X328</f>
        <v/>
      </c>
      <c r="O21" s="499"/>
      <c r="P21" s="499"/>
      <c r="Q21" s="500" t="str">
        <f t="shared" si="0"/>
        <v/>
      </c>
      <c r="R21" s="500"/>
      <c r="S21" s="500"/>
      <c r="T21" s="251"/>
      <c r="U21" s="61"/>
      <c r="V21" s="435"/>
      <c r="W21" s="435"/>
      <c r="X21" s="435"/>
      <c r="Y21" s="435"/>
      <c r="Z21" s="435"/>
    </row>
    <row r="22" spans="1:26" s="62" customFormat="1" ht="19.5" customHeight="1" thickTop="1" thickBot="1">
      <c r="A22" s="249"/>
      <c r="B22" s="241"/>
      <c r="C22" s="506"/>
      <c r="D22" s="506"/>
      <c r="E22" s="506"/>
      <c r="F22" s="506"/>
      <c r="G22" s="506"/>
      <c r="H22" s="506"/>
      <c r="I22" s="506"/>
      <c r="J22" s="506"/>
      <c r="K22" s="507"/>
      <c r="L22" s="507"/>
      <c r="M22" s="507"/>
      <c r="N22" s="499" t="str">
        <f>Tables!X329</f>
        <v/>
      </c>
      <c r="O22" s="499"/>
      <c r="P22" s="499"/>
      <c r="Q22" s="500" t="str">
        <f t="shared" si="0"/>
        <v/>
      </c>
      <c r="R22" s="500"/>
      <c r="S22" s="500"/>
      <c r="T22" s="251"/>
      <c r="U22" s="61"/>
      <c r="V22" s="435"/>
      <c r="W22" s="435"/>
      <c r="X22" s="435"/>
      <c r="Y22" s="435"/>
      <c r="Z22" s="435"/>
    </row>
    <row r="23" spans="1:26" s="62" customFormat="1" ht="19.5" customHeight="1" thickTop="1" thickBot="1">
      <c r="A23" s="249"/>
      <c r="B23" s="241"/>
      <c r="C23" s="506"/>
      <c r="D23" s="506"/>
      <c r="E23" s="506"/>
      <c r="F23" s="506"/>
      <c r="G23" s="506"/>
      <c r="H23" s="506"/>
      <c r="I23" s="506"/>
      <c r="J23" s="506"/>
      <c r="K23" s="507"/>
      <c r="L23" s="507"/>
      <c r="M23" s="507"/>
      <c r="N23" s="499" t="str">
        <f>Tables!X330</f>
        <v/>
      </c>
      <c r="O23" s="499"/>
      <c r="P23" s="499"/>
      <c r="Q23" s="500" t="str">
        <f t="shared" si="0"/>
        <v/>
      </c>
      <c r="R23" s="500"/>
      <c r="S23" s="500"/>
      <c r="T23" s="251"/>
      <c r="U23" s="61"/>
      <c r="V23" s="435"/>
      <c r="W23" s="435"/>
      <c r="X23" s="435"/>
      <c r="Y23" s="435"/>
      <c r="Z23" s="435"/>
    </row>
    <row r="24" spans="1:26" s="62" customFormat="1" ht="19.5" customHeight="1" thickTop="1" thickBot="1">
      <c r="A24" s="249"/>
      <c r="B24" s="241"/>
      <c r="C24" s="506"/>
      <c r="D24" s="506"/>
      <c r="E24" s="506"/>
      <c r="F24" s="506"/>
      <c r="G24" s="506"/>
      <c r="H24" s="506"/>
      <c r="I24" s="506"/>
      <c r="J24" s="506"/>
      <c r="K24" s="507"/>
      <c r="L24" s="507"/>
      <c r="M24" s="507"/>
      <c r="N24" s="499" t="str">
        <f>Tables!X331</f>
        <v/>
      </c>
      <c r="O24" s="499"/>
      <c r="P24" s="499"/>
      <c r="Q24" s="500" t="str">
        <f t="shared" si="0"/>
        <v/>
      </c>
      <c r="R24" s="500"/>
      <c r="S24" s="500"/>
      <c r="T24" s="251"/>
      <c r="U24" s="61"/>
      <c r="V24" s="435"/>
      <c r="W24" s="435"/>
      <c r="X24" s="435"/>
      <c r="Y24" s="435"/>
      <c r="Z24" s="435"/>
    </row>
    <row r="25" spans="1:26" s="62" customFormat="1" ht="19.5" customHeight="1" thickTop="1" thickBot="1">
      <c r="A25" s="209"/>
      <c r="B25" s="244"/>
      <c r="C25" s="244"/>
      <c r="D25" s="244"/>
      <c r="E25" s="244"/>
      <c r="F25" s="244"/>
      <c r="G25" s="244"/>
      <c r="H25" s="244"/>
      <c r="I25" s="244"/>
      <c r="J25" s="244"/>
      <c r="K25" s="244"/>
      <c r="L25" s="244"/>
      <c r="M25" s="244"/>
      <c r="N25" s="244"/>
      <c r="O25" s="244"/>
      <c r="P25" s="245" t="s">
        <v>441</v>
      </c>
      <c r="Q25" s="508">
        <f>SUM(Q16:S24)</f>
        <v>0</v>
      </c>
      <c r="R25" s="508"/>
      <c r="S25" s="508"/>
      <c r="T25" s="211" t="s">
        <v>442</v>
      </c>
      <c r="U25" s="61"/>
      <c r="V25" s="61"/>
      <c r="W25" s="61"/>
      <c r="X25" s="61"/>
      <c r="Y25" s="61"/>
    </row>
    <row r="26" spans="1:26" s="62" customFormat="1" ht="19.5" customHeight="1" thickTop="1" thickBot="1">
      <c r="A26" s="211">
        <v>5</v>
      </c>
      <c r="B26" s="436" t="s">
        <v>443</v>
      </c>
      <c r="C26" s="436"/>
      <c r="D26" s="436"/>
      <c r="E26" s="436"/>
      <c r="F26" s="436"/>
      <c r="G26" s="436"/>
      <c r="H26" s="436"/>
      <c r="I26" s="436"/>
      <c r="J26" s="436"/>
      <c r="K26" s="252"/>
      <c r="L26" s="210"/>
      <c r="M26" s="210"/>
      <c r="N26" s="210"/>
      <c r="O26" s="210"/>
      <c r="P26" s="210"/>
      <c r="Q26" s="210"/>
      <c r="R26" s="210"/>
      <c r="S26" s="210"/>
      <c r="T26" s="209"/>
      <c r="U26" s="61"/>
      <c r="V26" s="61"/>
      <c r="W26" s="61"/>
      <c r="X26" s="61"/>
      <c r="Y26" s="61"/>
    </row>
    <row r="27" spans="1:26" s="62" customFormat="1" ht="19.5" customHeight="1" thickTop="1" thickBot="1">
      <c r="A27" s="209"/>
      <c r="B27" s="210"/>
      <c r="C27" s="210"/>
      <c r="D27" s="210"/>
      <c r="E27" s="210"/>
      <c r="F27" s="210"/>
      <c r="G27" s="222"/>
      <c r="H27" s="222"/>
      <c r="I27" s="222"/>
      <c r="J27" s="222" t="s">
        <v>267</v>
      </c>
      <c r="K27" s="443"/>
      <c r="L27" s="443"/>
      <c r="M27" s="443"/>
      <c r="N27" s="210" t="s">
        <v>418</v>
      </c>
      <c r="O27" s="237">
        <f>Tables!K320-Tables!K319</f>
        <v>-0.98064352657801512</v>
      </c>
      <c r="P27" s="222" t="s">
        <v>436</v>
      </c>
      <c r="Q27" s="453">
        <f>K27*O27</f>
        <v>0</v>
      </c>
      <c r="R27" s="453"/>
      <c r="S27" s="453"/>
      <c r="T27" s="211" t="s">
        <v>444</v>
      </c>
      <c r="U27" s="61"/>
      <c r="V27" s="435" t="s">
        <v>918</v>
      </c>
      <c r="W27" s="435"/>
      <c r="X27" s="435"/>
      <c r="Y27" s="435"/>
      <c r="Z27" s="435"/>
    </row>
    <row r="28" spans="1:26" s="62" customFormat="1" ht="19.5" customHeight="1" thickTop="1" thickBot="1">
      <c r="A28" s="211">
        <v>6</v>
      </c>
      <c r="B28" s="436" t="s">
        <v>764</v>
      </c>
      <c r="C28" s="436"/>
      <c r="D28" s="436"/>
      <c r="E28" s="436"/>
      <c r="F28" s="436"/>
      <c r="G28" s="210"/>
      <c r="H28" s="210"/>
      <c r="I28" s="210"/>
      <c r="J28" s="210"/>
      <c r="K28" s="210"/>
      <c r="L28" s="210"/>
      <c r="M28" s="210"/>
      <c r="N28" s="210"/>
      <c r="O28" s="210"/>
      <c r="P28" s="210"/>
      <c r="Q28" s="210"/>
      <c r="R28" s="210"/>
      <c r="S28" s="210"/>
      <c r="T28" s="209"/>
      <c r="U28" s="61"/>
      <c r="V28" s="61"/>
      <c r="W28" s="61"/>
      <c r="X28" s="61"/>
      <c r="Y28" s="61"/>
    </row>
    <row r="29" spans="1:26" s="62" customFormat="1" ht="19.5" customHeight="1" thickTop="1" thickBot="1">
      <c r="A29" s="209"/>
      <c r="B29" s="210"/>
      <c r="C29" s="210"/>
      <c r="D29" s="210"/>
      <c r="E29" s="210"/>
      <c r="F29" s="210"/>
      <c r="G29" s="210"/>
      <c r="H29" s="210"/>
      <c r="I29" s="210"/>
      <c r="J29" s="210"/>
      <c r="K29" s="252"/>
      <c r="L29" s="210"/>
      <c r="M29" s="210"/>
      <c r="N29" s="210"/>
      <c r="O29" s="210"/>
      <c r="P29" s="222" t="s">
        <v>765</v>
      </c>
      <c r="Q29" s="453">
        <f>Q9+Q10+Q12+Q25+Q27</f>
        <v>0</v>
      </c>
      <c r="R29" s="453"/>
      <c r="S29" s="453"/>
      <c r="T29" s="211" t="s">
        <v>395</v>
      </c>
      <c r="U29" s="61"/>
      <c r="V29" s="435" t="s">
        <v>445</v>
      </c>
      <c r="W29" s="435"/>
      <c r="X29" s="435"/>
      <c r="Y29" s="435"/>
      <c r="Z29" s="435"/>
    </row>
    <row r="30" spans="1:26" s="62" customFormat="1" ht="19.5" customHeight="1" thickTop="1">
      <c r="A30" s="138"/>
      <c r="B30" s="61"/>
      <c r="C30" s="61"/>
      <c r="D30" s="61"/>
      <c r="E30" s="61"/>
      <c r="F30" s="61"/>
      <c r="G30" s="61"/>
      <c r="H30" s="61"/>
      <c r="I30" s="61"/>
      <c r="J30" s="61"/>
      <c r="K30" s="61"/>
      <c r="L30" s="61"/>
      <c r="M30" s="61"/>
      <c r="N30" s="61"/>
      <c r="O30" s="61"/>
      <c r="P30" s="61"/>
      <c r="Q30" s="61"/>
      <c r="R30" s="61"/>
      <c r="S30" s="61"/>
      <c r="T30" s="138"/>
      <c r="U30" s="61"/>
      <c r="V30" s="61"/>
      <c r="W30" s="61"/>
      <c r="X30" s="61"/>
      <c r="Y30" s="61"/>
    </row>
    <row r="31" spans="1:26" s="62" customFormat="1" ht="14.25" customHeight="1">
      <c r="A31" s="138"/>
      <c r="B31" s="61"/>
      <c r="C31" s="61"/>
      <c r="D31" s="61"/>
      <c r="E31" s="61"/>
      <c r="F31" s="61"/>
      <c r="G31" s="61"/>
      <c r="H31" s="61"/>
      <c r="I31" s="61"/>
      <c r="J31" s="61"/>
      <c r="K31" s="61"/>
      <c r="L31" s="61"/>
      <c r="M31" s="61"/>
      <c r="N31" s="61"/>
      <c r="O31" s="61"/>
      <c r="P31" s="61"/>
      <c r="Q31" s="61"/>
      <c r="R31" s="61"/>
      <c r="S31" s="61"/>
      <c r="T31" s="138"/>
      <c r="U31" s="61"/>
      <c r="V31" s="61"/>
      <c r="W31" s="61"/>
      <c r="X31" s="61"/>
      <c r="Y31" s="61"/>
    </row>
    <row r="32" spans="1:26" s="62" customFormat="1" ht="14.25" customHeight="1">
      <c r="A32" s="138"/>
      <c r="B32" s="61"/>
      <c r="C32" s="61"/>
      <c r="D32" s="61"/>
      <c r="E32" s="61"/>
      <c r="F32" s="61"/>
      <c r="G32" s="61"/>
      <c r="H32" s="61"/>
      <c r="I32" s="61"/>
      <c r="J32" s="61"/>
      <c r="K32" s="61"/>
      <c r="L32" s="61"/>
      <c r="M32" s="61"/>
      <c r="N32" s="61"/>
      <c r="O32" s="61"/>
      <c r="P32" s="61"/>
      <c r="Q32" s="61"/>
      <c r="R32" s="61"/>
      <c r="S32" s="61"/>
      <c r="T32" s="138"/>
      <c r="U32" s="61"/>
      <c r="V32" s="61"/>
      <c r="W32" s="61"/>
      <c r="X32" s="61"/>
      <c r="Y32" s="61"/>
    </row>
    <row r="33" spans="1:25" s="62" customFormat="1" ht="14.25" customHeight="1">
      <c r="A33" s="138"/>
      <c r="B33" s="61"/>
      <c r="C33" s="61"/>
      <c r="D33" s="61"/>
      <c r="E33" s="61"/>
      <c r="F33" s="61"/>
      <c r="G33" s="61"/>
      <c r="H33" s="61"/>
      <c r="I33" s="61"/>
      <c r="J33" s="61"/>
      <c r="K33" s="61"/>
      <c r="L33" s="61"/>
      <c r="M33" s="61"/>
      <c r="N33" s="61"/>
      <c r="O33" s="61"/>
      <c r="P33" s="61"/>
      <c r="Q33" s="61"/>
      <c r="R33" s="61"/>
      <c r="S33" s="61"/>
      <c r="T33" s="138"/>
      <c r="U33" s="61"/>
      <c r="V33" s="61"/>
      <c r="W33" s="61"/>
      <c r="X33" s="61"/>
      <c r="Y33" s="61"/>
    </row>
    <row r="34" spans="1:25" s="62" customFormat="1" ht="14.25" customHeight="1">
      <c r="A34" s="138"/>
      <c r="B34" s="61"/>
      <c r="C34" s="61"/>
      <c r="D34" s="71"/>
      <c r="E34" s="61"/>
      <c r="F34" s="61"/>
      <c r="G34" s="61"/>
      <c r="H34" s="61"/>
      <c r="I34" s="61"/>
      <c r="J34" s="61"/>
      <c r="K34" s="61"/>
      <c r="L34" s="61"/>
      <c r="M34" s="61"/>
      <c r="N34" s="61"/>
      <c r="O34" s="61"/>
      <c r="P34" s="89"/>
      <c r="Q34" s="61"/>
      <c r="R34" s="61"/>
      <c r="S34" s="61"/>
      <c r="T34" s="138"/>
      <c r="U34" s="61"/>
      <c r="V34" s="61"/>
      <c r="W34" s="61"/>
      <c r="X34" s="61"/>
      <c r="Y34" s="61"/>
    </row>
    <row r="35" spans="1:25" s="62" customFormat="1" ht="14.25" customHeight="1">
      <c r="A35" s="138"/>
      <c r="B35" s="61"/>
      <c r="C35" s="61"/>
      <c r="D35" s="71"/>
      <c r="E35" s="61"/>
      <c r="F35" s="61"/>
      <c r="G35" s="61"/>
      <c r="H35" s="61"/>
      <c r="I35" s="61"/>
      <c r="J35" s="61"/>
      <c r="K35" s="61"/>
      <c r="L35" s="61"/>
      <c r="M35" s="61"/>
      <c r="N35" s="61"/>
      <c r="O35" s="61"/>
      <c r="P35" s="89"/>
      <c r="Q35" s="61"/>
      <c r="R35" s="61"/>
      <c r="S35" s="61"/>
      <c r="T35" s="138"/>
      <c r="U35" s="61"/>
      <c r="V35" s="61"/>
      <c r="W35" s="61"/>
      <c r="X35" s="61"/>
      <c r="Y35" s="61"/>
    </row>
    <row r="36" spans="1:25" s="62" customFormat="1" ht="14.25" customHeight="1">
      <c r="A36" s="138"/>
      <c r="B36" s="61"/>
      <c r="C36" s="61"/>
      <c r="D36" s="71"/>
      <c r="E36" s="61"/>
      <c r="F36" s="61"/>
      <c r="G36" s="61"/>
      <c r="H36" s="61"/>
      <c r="I36" s="61"/>
      <c r="J36" s="61"/>
      <c r="K36" s="61"/>
      <c r="L36" s="61"/>
      <c r="M36" s="61"/>
      <c r="N36" s="61"/>
      <c r="O36" s="61"/>
      <c r="P36" s="89"/>
      <c r="Q36" s="61"/>
      <c r="R36" s="61"/>
      <c r="S36" s="61"/>
      <c r="T36" s="138"/>
      <c r="U36" s="61"/>
      <c r="V36" s="61"/>
      <c r="W36" s="61"/>
      <c r="X36" s="61"/>
      <c r="Y36" s="61"/>
    </row>
    <row r="37" spans="1:25" s="62" customFormat="1" ht="14.25" customHeight="1">
      <c r="A37" s="61"/>
      <c r="B37" s="61"/>
      <c r="C37" s="61"/>
      <c r="D37" s="61"/>
      <c r="E37" s="61"/>
      <c r="F37" s="61"/>
      <c r="G37" s="61"/>
      <c r="H37" s="61"/>
      <c r="I37" s="61"/>
      <c r="J37" s="61"/>
      <c r="K37" s="61"/>
      <c r="L37" s="61"/>
      <c r="M37" s="61"/>
      <c r="N37" s="61"/>
      <c r="O37" s="61"/>
      <c r="P37" s="61"/>
      <c r="Q37" s="61"/>
      <c r="R37" s="61"/>
      <c r="S37" s="61"/>
      <c r="T37" s="138"/>
      <c r="U37" s="61"/>
      <c r="V37" s="61"/>
      <c r="W37" s="61"/>
      <c r="X37" s="61"/>
      <c r="Y37" s="61"/>
    </row>
    <row r="38" spans="1:25" s="62" customFormat="1" ht="14.25" customHeight="1">
      <c r="A38" s="61"/>
      <c r="B38" s="61"/>
      <c r="C38" s="61"/>
      <c r="D38" s="61"/>
      <c r="E38" s="61"/>
      <c r="F38" s="61"/>
      <c r="G38" s="61"/>
      <c r="H38" s="61"/>
      <c r="I38" s="61"/>
      <c r="J38" s="61"/>
      <c r="K38" s="61"/>
      <c r="L38" s="61"/>
      <c r="M38" s="61"/>
      <c r="N38" s="61"/>
      <c r="O38" s="61"/>
      <c r="P38" s="61"/>
      <c r="Q38" s="61"/>
      <c r="R38" s="61"/>
      <c r="S38" s="61"/>
      <c r="T38" s="138"/>
      <c r="U38" s="61"/>
      <c r="V38" s="61"/>
      <c r="W38" s="61"/>
      <c r="X38" s="61"/>
      <c r="Y38" s="61"/>
    </row>
    <row r="39" spans="1:25" s="62" customFormat="1" ht="14.25" customHeight="1">
      <c r="A39" s="61"/>
      <c r="B39" s="61"/>
      <c r="C39" s="61"/>
      <c r="D39" s="61"/>
      <c r="E39" s="61"/>
      <c r="F39" s="61"/>
      <c r="G39" s="61"/>
      <c r="H39" s="61"/>
      <c r="I39" s="61"/>
      <c r="J39" s="61"/>
      <c r="K39" s="61"/>
      <c r="L39" s="61"/>
      <c r="M39" s="61"/>
      <c r="N39" s="61"/>
      <c r="O39" s="61"/>
      <c r="P39" s="61"/>
      <c r="Q39" s="90"/>
      <c r="R39" s="90"/>
      <c r="S39" s="90"/>
      <c r="T39" s="138"/>
      <c r="U39" s="61"/>
      <c r="V39" s="61"/>
      <c r="W39" s="61"/>
      <c r="X39" s="61"/>
      <c r="Y39" s="61"/>
    </row>
    <row r="40" spans="1:25" s="62" customFormat="1" ht="14.25" customHeight="1">
      <c r="A40" s="61"/>
      <c r="B40" s="61"/>
      <c r="C40" s="61"/>
      <c r="D40" s="61"/>
      <c r="E40" s="61"/>
      <c r="F40" s="61"/>
      <c r="G40" s="61"/>
      <c r="H40" s="61"/>
      <c r="I40" s="61"/>
      <c r="J40" s="61"/>
      <c r="K40" s="61"/>
      <c r="L40" s="61"/>
      <c r="M40" s="61"/>
      <c r="N40" s="61"/>
      <c r="O40" s="61"/>
      <c r="P40" s="61"/>
      <c r="Q40" s="90"/>
      <c r="R40" s="90"/>
      <c r="S40" s="90"/>
      <c r="T40" s="138"/>
      <c r="U40" s="61"/>
      <c r="V40" s="61"/>
      <c r="W40" s="61"/>
      <c r="X40" s="61"/>
      <c r="Y40" s="61"/>
    </row>
    <row r="41" spans="1:25" s="62" customFormat="1" ht="11.5" hidden="1">
      <c r="A41" s="61"/>
      <c r="B41" s="61"/>
      <c r="C41" s="61"/>
      <c r="D41" s="61"/>
      <c r="E41" s="61"/>
      <c r="F41" s="61"/>
      <c r="G41" s="61"/>
      <c r="H41" s="61"/>
      <c r="I41" s="61"/>
      <c r="J41" s="61"/>
      <c r="K41" s="61"/>
      <c r="L41" s="61"/>
      <c r="M41" s="61"/>
      <c r="N41" s="61"/>
      <c r="O41" s="61"/>
      <c r="P41" s="61"/>
      <c r="Q41" s="61"/>
      <c r="R41" s="61"/>
      <c r="S41" s="61"/>
      <c r="T41" s="138"/>
      <c r="U41" s="61"/>
      <c r="V41" s="61"/>
      <c r="W41" s="61"/>
      <c r="X41" s="61"/>
      <c r="Y41" s="61"/>
    </row>
    <row r="42" spans="1:25" s="69" customFormat="1" hidden="1">
      <c r="A42" s="61">
        <v>0</v>
      </c>
      <c r="B42" s="61"/>
      <c r="C42" s="61"/>
      <c r="D42" s="61"/>
      <c r="E42" s="61"/>
      <c r="F42" s="61"/>
      <c r="G42" s="61"/>
      <c r="H42" s="61"/>
      <c r="I42" s="61"/>
      <c r="J42" s="61"/>
      <c r="K42" s="61"/>
      <c r="L42" s="61"/>
      <c r="M42" s="61"/>
      <c r="N42" s="61"/>
      <c r="O42" s="61"/>
      <c r="P42" s="61"/>
      <c r="Q42" s="61"/>
      <c r="R42" s="61"/>
      <c r="S42" s="61"/>
      <c r="T42" s="138"/>
      <c r="U42" s="61"/>
      <c r="V42" s="61"/>
      <c r="W42" s="61"/>
      <c r="X42" s="61"/>
      <c r="Y42" s="61"/>
    </row>
    <row r="43" spans="1:25" s="69" customFormat="1" hidden="1">
      <c r="A43" s="61">
        <v>1</v>
      </c>
      <c r="B43" s="61"/>
      <c r="C43" s="61"/>
      <c r="D43" s="61"/>
      <c r="E43" s="61"/>
      <c r="F43" s="61"/>
      <c r="G43" s="61"/>
      <c r="H43" s="61"/>
      <c r="I43" s="61"/>
      <c r="J43" s="61"/>
      <c r="K43" s="61"/>
      <c r="L43" s="61"/>
      <c r="M43" s="61"/>
      <c r="N43" s="61"/>
      <c r="O43" s="61"/>
      <c r="P43" s="61"/>
      <c r="Q43" s="61"/>
      <c r="R43" s="61"/>
      <c r="S43" s="61"/>
      <c r="T43" s="138"/>
      <c r="U43" s="61"/>
      <c r="V43" s="61"/>
      <c r="W43" s="61"/>
      <c r="X43" s="61"/>
      <c r="Y43" s="61"/>
    </row>
    <row r="44" spans="1:25" s="69" customFormat="1" hidden="1">
      <c r="A44" s="61">
        <v>2</v>
      </c>
      <c r="B44" s="61"/>
      <c r="C44" s="61"/>
      <c r="D44" s="61"/>
      <c r="E44" s="61"/>
      <c r="F44" s="61"/>
      <c r="G44" s="61"/>
      <c r="H44" s="61"/>
      <c r="I44" s="61"/>
      <c r="J44" s="61"/>
      <c r="K44" s="61"/>
      <c r="L44" s="61"/>
      <c r="M44" s="61"/>
      <c r="N44" s="61"/>
      <c r="O44" s="61"/>
      <c r="P44" s="61"/>
      <c r="Q44" s="61"/>
      <c r="R44" s="61"/>
      <c r="S44" s="61"/>
      <c r="T44" s="138"/>
      <c r="U44" s="61"/>
      <c r="V44" s="61"/>
      <c r="W44" s="61"/>
      <c r="X44" s="61"/>
      <c r="Y44" s="61"/>
    </row>
    <row r="45" spans="1:25" s="69" customFormat="1" hidden="1">
      <c r="A45" s="61">
        <v>3</v>
      </c>
      <c r="B45" s="61"/>
      <c r="C45" s="61"/>
      <c r="D45" s="61"/>
      <c r="E45" s="61"/>
      <c r="F45" s="61"/>
      <c r="G45" s="61"/>
      <c r="H45" s="61"/>
      <c r="I45" s="61"/>
      <c r="J45" s="61"/>
      <c r="K45" s="61"/>
      <c r="L45" s="61"/>
      <c r="M45" s="61"/>
      <c r="N45" s="61"/>
      <c r="O45" s="61"/>
      <c r="P45" s="61"/>
      <c r="Q45" s="61"/>
      <c r="R45" s="61"/>
      <c r="S45" s="61"/>
      <c r="T45" s="138"/>
      <c r="U45" s="61"/>
      <c r="V45" s="61"/>
      <c r="W45" s="61"/>
      <c r="X45" s="61"/>
      <c r="Y45" s="61"/>
    </row>
    <row r="46" spans="1:25" s="69" customFormat="1" hidden="1">
      <c r="A46" s="61">
        <v>4</v>
      </c>
      <c r="B46" s="61"/>
      <c r="C46" s="61"/>
      <c r="D46" s="61"/>
      <c r="E46" s="61"/>
      <c r="F46" s="61"/>
      <c r="G46" s="61"/>
      <c r="H46" s="61"/>
      <c r="I46" s="61"/>
      <c r="J46" s="61"/>
      <c r="K46" s="61"/>
      <c r="L46" s="61"/>
      <c r="M46" s="61"/>
      <c r="N46" s="61"/>
      <c r="O46" s="61"/>
      <c r="P46" s="61"/>
      <c r="Q46" s="61"/>
      <c r="R46" s="61"/>
      <c r="S46" s="61"/>
      <c r="T46" s="138"/>
      <c r="U46" s="61"/>
      <c r="V46" s="61"/>
      <c r="W46" s="61"/>
      <c r="X46" s="61"/>
      <c r="Y46" s="61"/>
    </row>
    <row r="47" spans="1:25" s="69" customFormat="1" hidden="1">
      <c r="A47" s="61">
        <v>5</v>
      </c>
      <c r="B47" s="61"/>
      <c r="C47" s="61"/>
      <c r="D47" s="61"/>
      <c r="E47" s="61"/>
      <c r="F47" s="61"/>
      <c r="G47" s="61"/>
      <c r="H47" s="61"/>
      <c r="I47" s="61"/>
      <c r="J47" s="61"/>
      <c r="K47" s="61"/>
      <c r="L47" s="61"/>
      <c r="M47" s="61"/>
      <c r="N47" s="61"/>
      <c r="O47" s="61"/>
      <c r="P47" s="61"/>
      <c r="Q47" s="61"/>
      <c r="R47" s="61"/>
      <c r="S47" s="61"/>
      <c r="T47" s="138"/>
      <c r="U47" s="61"/>
      <c r="V47" s="61"/>
      <c r="W47" s="61"/>
      <c r="X47" s="61"/>
      <c r="Y47" s="61"/>
    </row>
    <row r="48" spans="1:25" s="69" customFormat="1" hidden="1">
      <c r="A48" s="61">
        <v>6</v>
      </c>
      <c r="B48" s="61"/>
      <c r="C48" s="61"/>
      <c r="D48" s="61"/>
      <c r="E48" s="61"/>
      <c r="F48" s="61"/>
      <c r="G48" s="61"/>
      <c r="H48" s="61"/>
      <c r="I48" s="61"/>
      <c r="J48" s="61"/>
      <c r="K48" s="61"/>
      <c r="L48" s="61"/>
      <c r="M48" s="61"/>
      <c r="N48" s="61"/>
      <c r="O48" s="61"/>
      <c r="P48" s="61"/>
      <c r="Q48" s="61"/>
      <c r="R48" s="61"/>
      <c r="S48" s="61"/>
      <c r="T48" s="138"/>
      <c r="U48" s="61"/>
      <c r="V48" s="61"/>
      <c r="W48" s="61"/>
      <c r="X48" s="61"/>
      <c r="Y48" s="61"/>
    </row>
    <row r="49" spans="1:25" s="69" customFormat="1" hidden="1">
      <c r="A49" s="61">
        <v>7</v>
      </c>
      <c r="B49" s="61"/>
      <c r="C49" s="61"/>
      <c r="D49" s="61"/>
      <c r="E49" s="61"/>
      <c r="F49" s="61"/>
      <c r="G49" s="61"/>
      <c r="H49" s="61"/>
      <c r="I49" s="61"/>
      <c r="J49" s="61"/>
      <c r="K49" s="61"/>
      <c r="L49" s="61"/>
      <c r="M49" s="61"/>
      <c r="N49" s="61"/>
      <c r="O49" s="61"/>
      <c r="P49" s="61"/>
      <c r="Q49" s="61"/>
      <c r="R49" s="61"/>
      <c r="S49" s="61"/>
      <c r="T49" s="138"/>
      <c r="U49" s="61"/>
      <c r="V49" s="61"/>
      <c r="W49" s="61"/>
      <c r="X49" s="61"/>
      <c r="Y49" s="61"/>
    </row>
    <row r="50" spans="1:25" s="69" customFormat="1" hidden="1">
      <c r="A50" s="61">
        <v>8</v>
      </c>
      <c r="B50" s="61"/>
      <c r="C50" s="61"/>
      <c r="D50" s="61"/>
      <c r="E50" s="61"/>
      <c r="F50" s="61"/>
      <c r="G50" s="61"/>
      <c r="H50" s="61"/>
      <c r="I50" s="61"/>
      <c r="J50" s="61"/>
      <c r="K50" s="61"/>
      <c r="L50" s="61"/>
      <c r="M50" s="61"/>
      <c r="N50" s="61"/>
      <c r="O50" s="61"/>
      <c r="P50" s="61"/>
      <c r="Q50" s="61"/>
      <c r="R50" s="61"/>
      <c r="S50" s="61"/>
      <c r="T50" s="138"/>
      <c r="U50" s="61"/>
      <c r="V50" s="61"/>
      <c r="W50" s="61"/>
      <c r="X50" s="61"/>
      <c r="Y50" s="61"/>
    </row>
    <row r="51" spans="1:25" s="69" customFormat="1" hidden="1">
      <c r="A51" s="61">
        <v>9</v>
      </c>
      <c r="B51" s="61"/>
      <c r="C51" s="61"/>
      <c r="D51" s="61"/>
      <c r="E51" s="61"/>
      <c r="F51" s="61"/>
      <c r="G51" s="61"/>
      <c r="H51" s="61"/>
      <c r="I51" s="61"/>
      <c r="J51" s="61"/>
      <c r="K51" s="61"/>
      <c r="L51" s="61"/>
      <c r="M51" s="61"/>
      <c r="N51" s="61"/>
      <c r="O51" s="61"/>
      <c r="P51" s="61"/>
      <c r="Q51" s="61"/>
      <c r="R51" s="61"/>
      <c r="S51" s="61"/>
      <c r="T51" s="138"/>
      <c r="U51" s="61"/>
      <c r="V51" s="61"/>
      <c r="W51" s="61"/>
      <c r="X51" s="61"/>
      <c r="Y51" s="61"/>
    </row>
    <row r="52" spans="1:25" s="69" customFormat="1" hidden="1">
      <c r="A52" s="61">
        <v>10</v>
      </c>
      <c r="B52" s="61"/>
      <c r="C52" s="61"/>
      <c r="D52" s="61"/>
      <c r="E52" s="61"/>
      <c r="F52" s="61"/>
      <c r="G52" s="61"/>
      <c r="H52" s="61"/>
      <c r="I52" s="61"/>
      <c r="J52" s="61"/>
      <c r="K52" s="61"/>
      <c r="L52" s="61"/>
      <c r="M52" s="61"/>
      <c r="N52" s="61"/>
      <c r="O52" s="61"/>
      <c r="P52" s="61"/>
      <c r="Q52" s="61"/>
      <c r="R52" s="61"/>
      <c r="S52" s="61"/>
      <c r="T52" s="138"/>
      <c r="U52" s="61"/>
      <c r="V52" s="61"/>
      <c r="W52" s="61"/>
      <c r="X52" s="61"/>
      <c r="Y52" s="61"/>
    </row>
    <row r="53" spans="1:25" s="69" customFormat="1" hidden="1">
      <c r="A53" s="61">
        <v>11</v>
      </c>
      <c r="B53" s="61"/>
      <c r="C53" s="61"/>
      <c r="D53" s="61"/>
      <c r="E53" s="61"/>
      <c r="F53" s="61"/>
      <c r="G53" s="61"/>
      <c r="H53" s="61"/>
      <c r="I53" s="61"/>
      <c r="J53" s="61"/>
      <c r="K53" s="61"/>
      <c r="L53" s="61"/>
      <c r="M53" s="61"/>
      <c r="N53" s="61"/>
      <c r="O53" s="61"/>
      <c r="P53" s="61"/>
      <c r="Q53" s="61"/>
      <c r="R53" s="61"/>
      <c r="S53" s="61"/>
      <c r="T53" s="138"/>
      <c r="U53" s="61"/>
      <c r="V53" s="61"/>
      <c r="W53" s="61"/>
      <c r="X53" s="61"/>
      <c r="Y53" s="61"/>
    </row>
    <row r="54" spans="1:25" s="69" customFormat="1" hidden="1">
      <c r="A54" s="61">
        <v>12</v>
      </c>
      <c r="B54" s="61"/>
      <c r="C54" s="61"/>
      <c r="D54" s="61"/>
      <c r="E54" s="61"/>
      <c r="F54" s="61"/>
      <c r="G54" s="61"/>
      <c r="H54" s="61"/>
      <c r="I54" s="61"/>
      <c r="J54" s="61"/>
      <c r="K54" s="61"/>
      <c r="L54" s="61"/>
      <c r="M54" s="61"/>
      <c r="N54" s="61"/>
      <c r="O54" s="61"/>
      <c r="P54" s="61"/>
      <c r="Q54" s="61"/>
      <c r="R54" s="61"/>
      <c r="S54" s="61"/>
      <c r="T54" s="138"/>
      <c r="U54" s="61"/>
      <c r="V54" s="61"/>
      <c r="W54" s="61"/>
      <c r="X54" s="61"/>
      <c r="Y54" s="61"/>
    </row>
    <row r="55" spans="1:25" s="69" customFormat="1" hidden="1">
      <c r="A55" s="61">
        <v>13</v>
      </c>
      <c r="B55" s="61"/>
      <c r="C55" s="61"/>
      <c r="D55" s="61"/>
      <c r="E55" s="61"/>
      <c r="F55" s="61"/>
      <c r="G55" s="61"/>
      <c r="H55" s="61"/>
      <c r="I55" s="61"/>
      <c r="J55" s="61"/>
      <c r="K55" s="61"/>
      <c r="L55" s="61"/>
      <c r="M55" s="61"/>
      <c r="N55" s="61"/>
      <c r="O55" s="61"/>
      <c r="P55" s="61"/>
      <c r="Q55" s="61"/>
      <c r="R55" s="61"/>
      <c r="S55" s="61"/>
      <c r="T55" s="138"/>
      <c r="U55" s="61"/>
      <c r="V55" s="61"/>
      <c r="W55" s="61"/>
      <c r="X55" s="61"/>
      <c r="Y55" s="61"/>
    </row>
    <row r="56" spans="1:25" s="69" customFormat="1" hidden="1">
      <c r="A56" s="61">
        <v>14</v>
      </c>
      <c r="B56" s="61"/>
      <c r="C56" s="61"/>
      <c r="D56" s="61"/>
      <c r="E56" s="61"/>
      <c r="F56" s="61"/>
      <c r="G56" s="61"/>
      <c r="H56" s="61"/>
      <c r="I56" s="61"/>
      <c r="J56" s="61"/>
      <c r="K56" s="61"/>
      <c r="L56" s="61"/>
      <c r="M56" s="61"/>
      <c r="N56" s="61"/>
      <c r="O56" s="61"/>
      <c r="P56" s="61"/>
      <c r="Q56" s="61"/>
      <c r="R56" s="61"/>
      <c r="S56" s="61"/>
      <c r="T56" s="138"/>
      <c r="U56" s="61"/>
      <c r="V56" s="61"/>
      <c r="W56" s="61"/>
      <c r="X56" s="61"/>
      <c r="Y56" s="61"/>
    </row>
    <row r="57" spans="1:25" s="69" customFormat="1" hidden="1">
      <c r="A57" s="61">
        <v>15</v>
      </c>
      <c r="B57" s="61"/>
      <c r="C57" s="61"/>
      <c r="D57" s="61"/>
      <c r="E57" s="61"/>
      <c r="F57" s="61"/>
      <c r="G57" s="61"/>
      <c r="H57" s="61"/>
      <c r="I57" s="61"/>
      <c r="J57" s="61"/>
      <c r="K57" s="61"/>
      <c r="L57" s="61"/>
      <c r="M57" s="61"/>
      <c r="N57" s="61"/>
      <c r="O57" s="61"/>
      <c r="P57" s="61"/>
      <c r="Q57" s="61"/>
      <c r="R57" s="61"/>
      <c r="S57" s="61"/>
      <c r="T57" s="138"/>
      <c r="U57" s="61"/>
      <c r="V57" s="61"/>
      <c r="W57" s="61"/>
      <c r="X57" s="61"/>
      <c r="Y57" s="61"/>
    </row>
    <row r="58" spans="1:25" s="69" customFormat="1" hidden="1">
      <c r="A58" s="61">
        <v>16</v>
      </c>
      <c r="B58" s="61"/>
      <c r="C58" s="61"/>
      <c r="D58" s="61"/>
      <c r="E58" s="61"/>
      <c r="F58" s="61"/>
      <c r="G58" s="61"/>
      <c r="H58" s="61"/>
      <c r="I58" s="61"/>
      <c r="J58" s="61"/>
      <c r="K58" s="61"/>
      <c r="L58" s="61"/>
      <c r="M58" s="61"/>
      <c r="N58" s="61"/>
      <c r="O58" s="61"/>
      <c r="P58" s="61"/>
      <c r="Q58" s="61"/>
      <c r="R58" s="61"/>
      <c r="S58" s="61"/>
      <c r="T58" s="138"/>
      <c r="U58" s="61"/>
      <c r="V58" s="61"/>
      <c r="W58" s="61"/>
      <c r="X58" s="61"/>
      <c r="Y58" s="61"/>
    </row>
    <row r="59" spans="1:25" s="69" customFormat="1" hidden="1">
      <c r="A59" s="61">
        <v>17</v>
      </c>
      <c r="B59" s="61"/>
      <c r="C59" s="61"/>
      <c r="D59" s="61"/>
      <c r="E59" s="61"/>
      <c r="F59" s="61"/>
      <c r="G59" s="61"/>
      <c r="H59" s="61"/>
      <c r="I59" s="61"/>
      <c r="J59" s="61"/>
      <c r="K59" s="61"/>
      <c r="L59" s="61"/>
      <c r="M59" s="61"/>
      <c r="N59" s="61"/>
      <c r="O59" s="61"/>
      <c r="P59" s="61"/>
      <c r="Q59" s="61"/>
      <c r="R59" s="61"/>
      <c r="S59" s="61"/>
      <c r="T59" s="138"/>
      <c r="U59" s="61"/>
      <c r="V59" s="61"/>
      <c r="W59" s="61"/>
      <c r="X59" s="61"/>
      <c r="Y59" s="61"/>
    </row>
    <row r="60" spans="1:25" s="69" customFormat="1" hidden="1">
      <c r="A60" s="61">
        <v>18</v>
      </c>
      <c r="B60" s="61"/>
      <c r="C60" s="61"/>
      <c r="D60" s="61"/>
      <c r="E60" s="61"/>
      <c r="F60" s="61"/>
      <c r="G60" s="61"/>
      <c r="H60" s="61"/>
      <c r="I60" s="61"/>
      <c r="J60" s="61"/>
      <c r="K60" s="61"/>
      <c r="L60" s="61"/>
      <c r="M60" s="61"/>
      <c r="N60" s="61"/>
      <c r="O60" s="61"/>
      <c r="P60" s="61"/>
      <c r="Q60" s="61"/>
      <c r="R60" s="61"/>
      <c r="S60" s="61"/>
      <c r="T60" s="138"/>
      <c r="U60" s="61"/>
      <c r="V60" s="61"/>
      <c r="W60" s="61"/>
      <c r="X60" s="61"/>
      <c r="Y60" s="61"/>
    </row>
    <row r="61" spans="1:25" s="69" customFormat="1" hidden="1">
      <c r="A61" s="61">
        <v>19</v>
      </c>
      <c r="B61" s="61"/>
      <c r="C61" s="61"/>
      <c r="D61" s="61"/>
      <c r="E61" s="61"/>
      <c r="F61" s="61"/>
      <c r="G61" s="61"/>
      <c r="H61" s="61"/>
      <c r="I61" s="61"/>
      <c r="J61" s="61"/>
      <c r="K61" s="61"/>
      <c r="L61" s="61"/>
      <c r="M61" s="61"/>
      <c r="N61" s="61"/>
      <c r="O61" s="61"/>
      <c r="P61" s="61"/>
      <c r="Q61" s="61"/>
      <c r="R61" s="61"/>
      <c r="S61" s="61"/>
      <c r="T61" s="138"/>
      <c r="U61" s="61"/>
      <c r="V61" s="61"/>
      <c r="W61" s="61"/>
      <c r="X61" s="61"/>
      <c r="Y61" s="61"/>
    </row>
    <row r="62" spans="1:25" s="69" customFormat="1" hidden="1">
      <c r="A62" s="61">
        <v>20</v>
      </c>
      <c r="B62" s="61"/>
      <c r="C62" s="61"/>
      <c r="D62" s="61"/>
      <c r="E62" s="61"/>
      <c r="F62" s="61"/>
      <c r="G62" s="61"/>
      <c r="H62" s="61"/>
      <c r="I62" s="61"/>
      <c r="J62" s="61"/>
      <c r="K62" s="61"/>
      <c r="L62" s="61"/>
      <c r="M62" s="61"/>
      <c r="N62" s="61"/>
      <c r="O62" s="61"/>
      <c r="P62" s="61"/>
      <c r="Q62" s="61"/>
      <c r="R62" s="61"/>
      <c r="S62" s="61"/>
      <c r="T62" s="138"/>
      <c r="U62" s="61"/>
      <c r="V62" s="61"/>
      <c r="W62" s="61"/>
      <c r="X62" s="61"/>
      <c r="Y62" s="61"/>
    </row>
    <row r="63" spans="1:25" s="69" customFormat="1" hidden="1">
      <c r="A63" s="61">
        <v>21</v>
      </c>
      <c r="B63" s="61"/>
      <c r="C63" s="61"/>
      <c r="D63" s="61"/>
      <c r="E63" s="61"/>
      <c r="F63" s="61"/>
      <c r="G63" s="61"/>
      <c r="H63" s="61"/>
      <c r="I63" s="61"/>
      <c r="J63" s="61"/>
      <c r="K63" s="61"/>
      <c r="L63" s="61"/>
      <c r="M63" s="61"/>
      <c r="N63" s="61"/>
      <c r="O63" s="61"/>
      <c r="P63" s="61"/>
      <c r="Q63" s="61"/>
      <c r="R63" s="61"/>
      <c r="S63" s="61"/>
      <c r="T63" s="138"/>
      <c r="U63" s="61"/>
      <c r="V63" s="61"/>
      <c r="W63" s="61"/>
      <c r="X63" s="61"/>
      <c r="Y63" s="61"/>
    </row>
    <row r="64" spans="1:25" s="69" customFormat="1" hidden="1">
      <c r="A64" s="61">
        <v>22</v>
      </c>
      <c r="B64" s="61"/>
      <c r="C64" s="61"/>
      <c r="D64" s="61"/>
      <c r="E64" s="61"/>
      <c r="F64" s="61"/>
      <c r="G64" s="61"/>
      <c r="H64" s="61"/>
      <c r="I64" s="61"/>
      <c r="J64" s="61"/>
      <c r="K64" s="61"/>
      <c r="L64" s="61"/>
      <c r="M64" s="61"/>
      <c r="N64" s="61"/>
      <c r="O64" s="61"/>
      <c r="P64" s="61"/>
      <c r="Q64" s="61"/>
      <c r="R64" s="61"/>
      <c r="S64" s="61"/>
      <c r="T64" s="138"/>
      <c r="U64" s="61"/>
      <c r="V64" s="61"/>
      <c r="W64" s="61"/>
      <c r="X64" s="61"/>
      <c r="Y64" s="61"/>
    </row>
    <row r="65" spans="1:25" hidden="1">
      <c r="A65" s="61">
        <v>23</v>
      </c>
      <c r="B65" s="59"/>
      <c r="C65" s="59"/>
      <c r="D65" s="59"/>
      <c r="E65" s="59"/>
      <c r="F65" s="59"/>
      <c r="G65" s="59"/>
      <c r="H65" s="59"/>
      <c r="I65" s="59"/>
      <c r="J65" s="59"/>
      <c r="K65" s="59"/>
      <c r="L65" s="59"/>
      <c r="M65" s="59"/>
      <c r="N65" s="59"/>
      <c r="O65" s="59"/>
      <c r="P65" s="59"/>
      <c r="Q65" s="59"/>
      <c r="R65" s="59"/>
      <c r="S65" s="59"/>
      <c r="T65" s="60"/>
      <c r="U65" s="59"/>
      <c r="V65" s="59"/>
      <c r="W65" s="59"/>
      <c r="X65" s="59"/>
      <c r="Y65" s="59"/>
    </row>
    <row r="66" spans="1:25" hidden="1">
      <c r="A66" s="61">
        <v>24</v>
      </c>
      <c r="B66" s="59"/>
      <c r="C66" s="59"/>
      <c r="D66" s="59"/>
      <c r="E66" s="59"/>
      <c r="F66" s="59"/>
      <c r="G66" s="59"/>
      <c r="H66" s="59"/>
      <c r="I66" s="59"/>
      <c r="J66" s="59"/>
      <c r="K66" s="59"/>
      <c r="L66" s="59"/>
      <c r="M66" s="59"/>
      <c r="N66" s="59"/>
      <c r="O66" s="59"/>
      <c r="P66" s="59"/>
      <c r="Q66" s="59"/>
      <c r="R66" s="59"/>
      <c r="S66" s="59"/>
      <c r="T66" s="60"/>
      <c r="U66" s="59"/>
      <c r="V66" s="59"/>
      <c r="W66" s="59"/>
      <c r="X66" s="59"/>
      <c r="Y66" s="59"/>
    </row>
    <row r="67" spans="1:25" hidden="1">
      <c r="A67" s="61">
        <v>25</v>
      </c>
      <c r="B67" s="59"/>
      <c r="C67" s="59"/>
      <c r="D67" s="59"/>
      <c r="E67" s="59"/>
      <c r="F67" s="59"/>
      <c r="G67" s="59"/>
      <c r="H67" s="59"/>
      <c r="I67" s="59"/>
      <c r="J67" s="59"/>
      <c r="K67" s="59"/>
      <c r="L67" s="59"/>
      <c r="M67" s="59"/>
      <c r="N67" s="59"/>
      <c r="O67" s="59"/>
      <c r="P67" s="59"/>
      <c r="Q67" s="59"/>
      <c r="R67" s="59"/>
      <c r="S67" s="59"/>
      <c r="T67" s="60"/>
      <c r="U67" s="59"/>
      <c r="V67" s="59"/>
      <c r="W67" s="59"/>
      <c r="X67" s="59"/>
      <c r="Y67" s="59"/>
    </row>
    <row r="68" spans="1:25" hidden="1">
      <c r="A68" s="61">
        <v>26</v>
      </c>
      <c r="B68" s="59"/>
      <c r="C68" s="59"/>
      <c r="D68" s="59"/>
      <c r="E68" s="59"/>
      <c r="F68" s="59"/>
      <c r="G68" s="59"/>
      <c r="H68" s="59"/>
      <c r="I68" s="59"/>
      <c r="J68" s="59"/>
      <c r="K68" s="59"/>
      <c r="L68" s="59"/>
      <c r="M68" s="59"/>
      <c r="N68" s="59"/>
      <c r="O68" s="59"/>
      <c r="P68" s="59"/>
      <c r="Q68" s="59"/>
      <c r="R68" s="59"/>
      <c r="S68" s="59"/>
      <c r="T68" s="60"/>
      <c r="U68" s="59"/>
      <c r="V68" s="59"/>
      <c r="W68" s="59"/>
      <c r="X68" s="59"/>
      <c r="Y68" s="59"/>
    </row>
    <row r="69" spans="1:25" hidden="1">
      <c r="A69" s="61">
        <v>27</v>
      </c>
      <c r="B69" s="59"/>
      <c r="C69" s="59"/>
      <c r="D69" s="59"/>
      <c r="E69" s="59"/>
      <c r="F69" s="59"/>
      <c r="G69" s="59"/>
      <c r="H69" s="59"/>
      <c r="I69" s="59"/>
      <c r="J69" s="59"/>
      <c r="K69" s="59"/>
      <c r="L69" s="59"/>
      <c r="M69" s="59"/>
      <c r="N69" s="59"/>
      <c r="O69" s="59"/>
      <c r="P69" s="59"/>
      <c r="Q69" s="59"/>
      <c r="R69" s="59"/>
      <c r="S69" s="59"/>
      <c r="T69" s="60"/>
      <c r="U69" s="59"/>
      <c r="V69" s="59"/>
      <c r="W69" s="59"/>
      <c r="X69" s="59"/>
      <c r="Y69" s="59"/>
    </row>
    <row r="70" spans="1:25" hidden="1">
      <c r="A70" s="61">
        <v>28</v>
      </c>
      <c r="B70" s="59"/>
      <c r="C70" s="59"/>
      <c r="D70" s="59"/>
      <c r="E70" s="59"/>
      <c r="F70" s="59"/>
      <c r="G70" s="59"/>
      <c r="H70" s="59"/>
      <c r="I70" s="59"/>
      <c r="J70" s="59"/>
      <c r="K70" s="59"/>
      <c r="L70" s="59"/>
      <c r="M70" s="59"/>
      <c r="N70" s="59"/>
      <c r="O70" s="59"/>
      <c r="P70" s="59"/>
      <c r="Q70" s="59"/>
      <c r="R70" s="59"/>
      <c r="S70" s="59"/>
      <c r="T70" s="60"/>
      <c r="U70" s="59"/>
      <c r="V70" s="59"/>
      <c r="W70" s="59"/>
      <c r="X70" s="59"/>
      <c r="Y70" s="59"/>
    </row>
    <row r="71" spans="1:25" hidden="1">
      <c r="A71" s="61">
        <v>29</v>
      </c>
      <c r="B71" s="59"/>
      <c r="C71" s="59"/>
      <c r="D71" s="59"/>
      <c r="E71" s="59"/>
      <c r="F71" s="59"/>
      <c r="G71" s="59"/>
      <c r="H71" s="59"/>
      <c r="I71" s="59"/>
      <c r="J71" s="59"/>
      <c r="K71" s="59"/>
      <c r="L71" s="59"/>
      <c r="M71" s="59"/>
      <c r="N71" s="59"/>
      <c r="O71" s="59"/>
      <c r="P71" s="59"/>
      <c r="Q71" s="59"/>
      <c r="R71" s="59"/>
      <c r="S71" s="59"/>
      <c r="T71" s="60"/>
      <c r="U71" s="59"/>
      <c r="V71" s="59"/>
      <c r="W71" s="59"/>
      <c r="X71" s="59"/>
      <c r="Y71" s="59"/>
    </row>
    <row r="72" spans="1:25" hidden="1">
      <c r="A72" s="61">
        <v>30</v>
      </c>
      <c r="B72" s="59"/>
      <c r="C72" s="59"/>
      <c r="D72" s="59"/>
      <c r="E72" s="59"/>
      <c r="F72" s="59"/>
      <c r="G72" s="59"/>
      <c r="H72" s="59"/>
      <c r="I72" s="59"/>
      <c r="J72" s="59"/>
      <c r="K72" s="59"/>
      <c r="L72" s="59"/>
      <c r="M72" s="59"/>
      <c r="N72" s="59"/>
      <c r="O72" s="59"/>
      <c r="P72" s="59"/>
      <c r="Q72" s="59"/>
      <c r="R72" s="59"/>
      <c r="S72" s="59"/>
      <c r="T72" s="60"/>
      <c r="U72" s="59"/>
      <c r="V72" s="59"/>
      <c r="W72" s="59"/>
      <c r="X72" s="59"/>
      <c r="Y72" s="59"/>
    </row>
    <row r="73" spans="1:25" hidden="1">
      <c r="A73" s="61">
        <v>31</v>
      </c>
      <c r="B73" s="59"/>
      <c r="C73" s="59"/>
      <c r="D73" s="59"/>
      <c r="E73" s="59"/>
      <c r="F73" s="59"/>
      <c r="G73" s="59"/>
      <c r="H73" s="59"/>
      <c r="I73" s="59"/>
      <c r="J73" s="59"/>
      <c r="K73" s="59"/>
      <c r="L73" s="59"/>
      <c r="M73" s="59"/>
      <c r="N73" s="59"/>
      <c r="O73" s="59"/>
      <c r="P73" s="59"/>
      <c r="Q73" s="59"/>
      <c r="R73" s="59"/>
      <c r="S73" s="59"/>
      <c r="T73" s="60"/>
      <c r="U73" s="59"/>
      <c r="V73" s="59"/>
      <c r="W73" s="59"/>
      <c r="X73" s="59"/>
      <c r="Y73" s="59"/>
    </row>
    <row r="74" spans="1:25" hidden="1">
      <c r="A74" s="61">
        <v>32</v>
      </c>
      <c r="B74" s="59"/>
      <c r="C74" s="59"/>
      <c r="D74" s="59"/>
      <c r="E74" s="59"/>
      <c r="F74" s="59"/>
      <c r="G74" s="59"/>
      <c r="H74" s="59"/>
      <c r="I74" s="59"/>
      <c r="J74" s="59"/>
      <c r="K74" s="59"/>
      <c r="L74" s="59"/>
      <c r="M74" s="59"/>
      <c r="N74" s="59"/>
      <c r="O74" s="59"/>
      <c r="P74" s="59"/>
      <c r="Q74" s="59"/>
      <c r="R74" s="59"/>
      <c r="S74" s="59"/>
      <c r="T74" s="60"/>
      <c r="U74" s="59"/>
      <c r="V74" s="59"/>
      <c r="W74" s="59"/>
      <c r="X74" s="59"/>
      <c r="Y74" s="59"/>
    </row>
    <row r="75" spans="1:25" hidden="1">
      <c r="A75" s="61">
        <v>33</v>
      </c>
      <c r="B75" s="59"/>
      <c r="C75" s="59"/>
      <c r="D75" s="59"/>
      <c r="E75" s="59"/>
      <c r="F75" s="59"/>
      <c r="G75" s="59"/>
      <c r="H75" s="59"/>
      <c r="I75" s="59"/>
      <c r="J75" s="59"/>
      <c r="K75" s="59"/>
      <c r="L75" s="59"/>
      <c r="M75" s="59"/>
      <c r="N75" s="59"/>
      <c r="O75" s="59"/>
      <c r="P75" s="59"/>
      <c r="Q75" s="59"/>
      <c r="R75" s="59"/>
      <c r="S75" s="59"/>
      <c r="T75" s="60"/>
      <c r="U75" s="59"/>
      <c r="V75" s="59"/>
      <c r="W75" s="59"/>
      <c r="X75" s="59"/>
      <c r="Y75" s="59"/>
    </row>
    <row r="76" spans="1:25" hidden="1">
      <c r="A76" s="61">
        <v>34</v>
      </c>
      <c r="B76" s="59"/>
      <c r="C76" s="59"/>
      <c r="D76" s="59"/>
      <c r="E76" s="59"/>
      <c r="F76" s="59"/>
      <c r="G76" s="59"/>
      <c r="H76" s="59"/>
      <c r="I76" s="59"/>
      <c r="J76" s="59"/>
      <c r="K76" s="59"/>
      <c r="L76" s="59"/>
      <c r="M76" s="59"/>
      <c r="N76" s="59"/>
      <c r="O76" s="59"/>
      <c r="P76" s="59"/>
      <c r="Q76" s="59"/>
      <c r="R76" s="59"/>
      <c r="S76" s="59"/>
      <c r="T76" s="60"/>
      <c r="U76" s="59"/>
      <c r="V76" s="59"/>
      <c r="W76" s="59"/>
      <c r="X76" s="59"/>
      <c r="Y76" s="59"/>
    </row>
    <row r="77" spans="1:25" hidden="1">
      <c r="A77" s="61">
        <v>35</v>
      </c>
      <c r="B77" s="59"/>
      <c r="C77" s="59"/>
      <c r="D77" s="59"/>
      <c r="E77" s="59"/>
      <c r="F77" s="59"/>
      <c r="G77" s="59"/>
      <c r="H77" s="59"/>
      <c r="I77" s="59"/>
      <c r="J77" s="59"/>
      <c r="K77" s="59"/>
      <c r="L77" s="59"/>
      <c r="M77" s="59"/>
      <c r="N77" s="59"/>
      <c r="O77" s="59"/>
      <c r="P77" s="59"/>
      <c r="Q77" s="59"/>
      <c r="R77" s="59"/>
      <c r="S77" s="59"/>
      <c r="T77" s="60"/>
      <c r="U77" s="59"/>
      <c r="V77" s="59"/>
      <c r="W77" s="59"/>
      <c r="X77" s="59"/>
      <c r="Y77" s="59"/>
    </row>
    <row r="78" spans="1:25" hidden="1">
      <c r="A78" s="61">
        <v>36</v>
      </c>
    </row>
    <row r="79" spans="1:25" hidden="1">
      <c r="A79" s="61">
        <v>37</v>
      </c>
    </row>
    <row r="80" spans="1:25" hidden="1">
      <c r="A80" s="61">
        <v>38</v>
      </c>
    </row>
    <row r="81" spans="1:1" hidden="1">
      <c r="A81" s="61">
        <v>39</v>
      </c>
    </row>
    <row r="82" spans="1:1" hidden="1">
      <c r="A82" s="61">
        <v>40</v>
      </c>
    </row>
    <row r="83" spans="1:1" hidden="1">
      <c r="A83" s="61">
        <v>41</v>
      </c>
    </row>
    <row r="84" spans="1:1" hidden="1">
      <c r="A84" s="61">
        <v>42</v>
      </c>
    </row>
    <row r="85" spans="1:1" hidden="1">
      <c r="A85" s="61">
        <v>43</v>
      </c>
    </row>
    <row r="86" spans="1:1" hidden="1">
      <c r="A86" s="61">
        <v>44</v>
      </c>
    </row>
    <row r="87" spans="1:1" hidden="1">
      <c r="A87" s="61">
        <v>45</v>
      </c>
    </row>
    <row r="88" spans="1:1" hidden="1">
      <c r="A88" s="61">
        <v>46</v>
      </c>
    </row>
    <row r="89" spans="1:1" hidden="1">
      <c r="A89" s="61">
        <v>47</v>
      </c>
    </row>
    <row r="90" spans="1:1" hidden="1">
      <c r="A90" s="61">
        <v>48</v>
      </c>
    </row>
    <row r="91" spans="1:1" hidden="1">
      <c r="A91" s="61">
        <v>49</v>
      </c>
    </row>
  </sheetData>
  <sheetProtection algorithmName="SHA-512" hashValue="5z8iTumSccvg9O9XiVzS/XhAGh1tvAlHbCCJGW24wgNMuA6cNO4S1quXUvKQ/ylZAIyjtqvROyAGL/XPP6dGkQ==" saltValue="t1SGvVKrUpvkOikiTbTgjg==" spinCount="100000" sheet="1" selectLockedCells="1"/>
  <protectedRanges>
    <protectedRange sqref="E34:F36" name="Range15"/>
    <protectedRange sqref="N34:O36" name="Range14"/>
    <protectedRange sqref="G9:M9 Q9 T27 T25 R8:T9 E8:M8 N8:N9 O8:Q8 C8:D9 T10:T12" name="Range1"/>
    <protectedRange sqref="T17:T20" name="Range3"/>
    <protectedRange sqref="F25:O25 T22:T24" name="Range5"/>
    <protectedRange sqref="K30:K31" name="Range9"/>
    <protectedRange sqref="E33:I33" name="Range10"/>
    <protectedRange sqref="R33:S33" name="Range11"/>
    <protectedRange sqref="P25" name="Range5_4"/>
    <protectedRange sqref="Q16:S24" name="Range5_1"/>
    <protectedRange sqref="N16:P24" name="Range5_2"/>
    <protectedRange sqref="P27 P12" name="Range1_1"/>
    <protectedRange sqref="P9" name="Range1_2"/>
    <protectedRange sqref="A7:K7" name="Range1_3"/>
  </protectedRanges>
  <mergeCells count="62">
    <mergeCell ref="Q29:S29"/>
    <mergeCell ref="V29:Z29"/>
    <mergeCell ref="Q25:S25"/>
    <mergeCell ref="B26:J26"/>
    <mergeCell ref="K27:M27"/>
    <mergeCell ref="Q27:S27"/>
    <mergeCell ref="V27:Z27"/>
    <mergeCell ref="B28:F28"/>
    <mergeCell ref="C23:J23"/>
    <mergeCell ref="K23:M23"/>
    <mergeCell ref="N23:P23"/>
    <mergeCell ref="Q23:S23"/>
    <mergeCell ref="C24:J24"/>
    <mergeCell ref="K24:M24"/>
    <mergeCell ref="N24:P24"/>
    <mergeCell ref="Q24:S24"/>
    <mergeCell ref="C21:J21"/>
    <mergeCell ref="K21:M21"/>
    <mergeCell ref="N21:P21"/>
    <mergeCell ref="Q21:S21"/>
    <mergeCell ref="C22:J22"/>
    <mergeCell ref="K22:M22"/>
    <mergeCell ref="N22:P22"/>
    <mergeCell ref="Q22:S22"/>
    <mergeCell ref="Q19:S19"/>
    <mergeCell ref="C20:J20"/>
    <mergeCell ref="K20:M20"/>
    <mergeCell ref="N20:P20"/>
    <mergeCell ref="Q20:S20"/>
    <mergeCell ref="C16:J16"/>
    <mergeCell ref="K16:M16"/>
    <mergeCell ref="N16:P16"/>
    <mergeCell ref="Q16:S16"/>
    <mergeCell ref="V16:Z24"/>
    <mergeCell ref="C17:J17"/>
    <mergeCell ref="K17:M17"/>
    <mergeCell ref="N17:P17"/>
    <mergeCell ref="Q17:S17"/>
    <mergeCell ref="C18:J18"/>
    <mergeCell ref="K18:M18"/>
    <mergeCell ref="N18:P18"/>
    <mergeCell ref="Q18:S18"/>
    <mergeCell ref="C19:J19"/>
    <mergeCell ref="K19:M19"/>
    <mergeCell ref="N19:P19"/>
    <mergeCell ref="V12:Z12"/>
    <mergeCell ref="B13:H13"/>
    <mergeCell ref="C15:J15"/>
    <mergeCell ref="K15:M15"/>
    <mergeCell ref="N15:P15"/>
    <mergeCell ref="Q15:S15"/>
    <mergeCell ref="Q14:S14"/>
    <mergeCell ref="B4:S5"/>
    <mergeCell ref="L7:S7"/>
    <mergeCell ref="B8:O8"/>
    <mergeCell ref="K9:M9"/>
    <mergeCell ref="Q9:S9"/>
    <mergeCell ref="B10:G10"/>
    <mergeCell ref="Q10:S10"/>
    <mergeCell ref="B11:N11"/>
    <mergeCell ref="K12:M12"/>
    <mergeCell ref="Q12:S12"/>
  </mergeCells>
  <dataValidations count="1">
    <dataValidation type="list" allowBlank="1" showErrorMessage="1" errorTitle="Incorrect input" error="Please select the year by pushing the drop-down arrow and clicking the correct year" prompt="Select the year" sqref="B16:B24 IX16:IX24 ST16:ST24 ACP16:ACP24 AML16:AML24 AWH16:AWH24 BGD16:BGD24 BPZ16:BPZ24 BZV16:BZV24 CJR16:CJR24 CTN16:CTN24 DDJ16:DDJ24 DNF16:DNF24 DXB16:DXB24 EGX16:EGX24 EQT16:EQT24 FAP16:FAP24 FKL16:FKL24 FUH16:FUH24 GED16:GED24 GNZ16:GNZ24 GXV16:GXV24 HHR16:HHR24 HRN16:HRN24 IBJ16:IBJ24 ILF16:ILF24 IVB16:IVB24 JEX16:JEX24 JOT16:JOT24 JYP16:JYP24 KIL16:KIL24 KSH16:KSH24 LCD16:LCD24 LLZ16:LLZ24 LVV16:LVV24 MFR16:MFR24 MPN16:MPN24 MZJ16:MZJ24 NJF16:NJF24 NTB16:NTB24 OCX16:OCX24 OMT16:OMT24 OWP16:OWP24 PGL16:PGL24 PQH16:PQH24 QAD16:QAD24 QJZ16:QJZ24 QTV16:QTV24 RDR16:RDR24 RNN16:RNN24 RXJ16:RXJ24 SHF16:SHF24 SRB16:SRB24 TAX16:TAX24 TKT16:TKT24 TUP16:TUP24 UEL16:UEL24 UOH16:UOH24 UYD16:UYD24 VHZ16:VHZ24 VRV16:VRV24 WBR16:WBR24 WLN16:WLN24 WVJ16:WVJ24 B65552:B65560 IX65552:IX65560 ST65552:ST65560 ACP65552:ACP65560 AML65552:AML65560 AWH65552:AWH65560 BGD65552:BGD65560 BPZ65552:BPZ65560 BZV65552:BZV65560 CJR65552:CJR65560 CTN65552:CTN65560 DDJ65552:DDJ65560 DNF65552:DNF65560 DXB65552:DXB65560 EGX65552:EGX65560 EQT65552:EQT65560 FAP65552:FAP65560 FKL65552:FKL65560 FUH65552:FUH65560 GED65552:GED65560 GNZ65552:GNZ65560 GXV65552:GXV65560 HHR65552:HHR65560 HRN65552:HRN65560 IBJ65552:IBJ65560 ILF65552:ILF65560 IVB65552:IVB65560 JEX65552:JEX65560 JOT65552:JOT65560 JYP65552:JYP65560 KIL65552:KIL65560 KSH65552:KSH65560 LCD65552:LCD65560 LLZ65552:LLZ65560 LVV65552:LVV65560 MFR65552:MFR65560 MPN65552:MPN65560 MZJ65552:MZJ65560 NJF65552:NJF65560 NTB65552:NTB65560 OCX65552:OCX65560 OMT65552:OMT65560 OWP65552:OWP65560 PGL65552:PGL65560 PQH65552:PQH65560 QAD65552:QAD65560 QJZ65552:QJZ65560 QTV65552:QTV65560 RDR65552:RDR65560 RNN65552:RNN65560 RXJ65552:RXJ65560 SHF65552:SHF65560 SRB65552:SRB65560 TAX65552:TAX65560 TKT65552:TKT65560 TUP65552:TUP65560 UEL65552:UEL65560 UOH65552:UOH65560 UYD65552:UYD65560 VHZ65552:VHZ65560 VRV65552:VRV65560 WBR65552:WBR65560 WLN65552:WLN65560 WVJ65552:WVJ65560 B131088:B131096 IX131088:IX131096 ST131088:ST131096 ACP131088:ACP131096 AML131088:AML131096 AWH131088:AWH131096 BGD131088:BGD131096 BPZ131088:BPZ131096 BZV131088:BZV131096 CJR131088:CJR131096 CTN131088:CTN131096 DDJ131088:DDJ131096 DNF131088:DNF131096 DXB131088:DXB131096 EGX131088:EGX131096 EQT131088:EQT131096 FAP131088:FAP131096 FKL131088:FKL131096 FUH131088:FUH131096 GED131088:GED131096 GNZ131088:GNZ131096 GXV131088:GXV131096 HHR131088:HHR131096 HRN131088:HRN131096 IBJ131088:IBJ131096 ILF131088:ILF131096 IVB131088:IVB131096 JEX131088:JEX131096 JOT131088:JOT131096 JYP131088:JYP131096 KIL131088:KIL131096 KSH131088:KSH131096 LCD131088:LCD131096 LLZ131088:LLZ131096 LVV131088:LVV131096 MFR131088:MFR131096 MPN131088:MPN131096 MZJ131088:MZJ131096 NJF131088:NJF131096 NTB131088:NTB131096 OCX131088:OCX131096 OMT131088:OMT131096 OWP131088:OWP131096 PGL131088:PGL131096 PQH131088:PQH131096 QAD131088:QAD131096 QJZ131088:QJZ131096 QTV131088:QTV131096 RDR131088:RDR131096 RNN131088:RNN131096 RXJ131088:RXJ131096 SHF131088:SHF131096 SRB131088:SRB131096 TAX131088:TAX131096 TKT131088:TKT131096 TUP131088:TUP131096 UEL131088:UEL131096 UOH131088:UOH131096 UYD131088:UYD131096 VHZ131088:VHZ131096 VRV131088:VRV131096 WBR131088:WBR131096 WLN131088:WLN131096 WVJ131088:WVJ131096 B196624:B196632 IX196624:IX196632 ST196624:ST196632 ACP196624:ACP196632 AML196624:AML196632 AWH196624:AWH196632 BGD196624:BGD196632 BPZ196624:BPZ196632 BZV196624:BZV196632 CJR196624:CJR196632 CTN196624:CTN196632 DDJ196624:DDJ196632 DNF196624:DNF196632 DXB196624:DXB196632 EGX196624:EGX196632 EQT196624:EQT196632 FAP196624:FAP196632 FKL196624:FKL196632 FUH196624:FUH196632 GED196624:GED196632 GNZ196624:GNZ196632 GXV196624:GXV196632 HHR196624:HHR196632 HRN196624:HRN196632 IBJ196624:IBJ196632 ILF196624:ILF196632 IVB196624:IVB196632 JEX196624:JEX196632 JOT196624:JOT196632 JYP196624:JYP196632 KIL196624:KIL196632 KSH196624:KSH196632 LCD196624:LCD196632 LLZ196624:LLZ196632 LVV196624:LVV196632 MFR196624:MFR196632 MPN196624:MPN196632 MZJ196624:MZJ196632 NJF196624:NJF196632 NTB196624:NTB196632 OCX196624:OCX196632 OMT196624:OMT196632 OWP196624:OWP196632 PGL196624:PGL196632 PQH196624:PQH196632 QAD196624:QAD196632 QJZ196624:QJZ196632 QTV196624:QTV196632 RDR196624:RDR196632 RNN196624:RNN196632 RXJ196624:RXJ196632 SHF196624:SHF196632 SRB196624:SRB196632 TAX196624:TAX196632 TKT196624:TKT196632 TUP196624:TUP196632 UEL196624:UEL196632 UOH196624:UOH196632 UYD196624:UYD196632 VHZ196624:VHZ196632 VRV196624:VRV196632 WBR196624:WBR196632 WLN196624:WLN196632 WVJ196624:WVJ196632 B262160:B262168 IX262160:IX262168 ST262160:ST262168 ACP262160:ACP262168 AML262160:AML262168 AWH262160:AWH262168 BGD262160:BGD262168 BPZ262160:BPZ262168 BZV262160:BZV262168 CJR262160:CJR262168 CTN262160:CTN262168 DDJ262160:DDJ262168 DNF262160:DNF262168 DXB262160:DXB262168 EGX262160:EGX262168 EQT262160:EQT262168 FAP262160:FAP262168 FKL262160:FKL262168 FUH262160:FUH262168 GED262160:GED262168 GNZ262160:GNZ262168 GXV262160:GXV262168 HHR262160:HHR262168 HRN262160:HRN262168 IBJ262160:IBJ262168 ILF262160:ILF262168 IVB262160:IVB262168 JEX262160:JEX262168 JOT262160:JOT262168 JYP262160:JYP262168 KIL262160:KIL262168 KSH262160:KSH262168 LCD262160:LCD262168 LLZ262160:LLZ262168 LVV262160:LVV262168 MFR262160:MFR262168 MPN262160:MPN262168 MZJ262160:MZJ262168 NJF262160:NJF262168 NTB262160:NTB262168 OCX262160:OCX262168 OMT262160:OMT262168 OWP262160:OWP262168 PGL262160:PGL262168 PQH262160:PQH262168 QAD262160:QAD262168 QJZ262160:QJZ262168 QTV262160:QTV262168 RDR262160:RDR262168 RNN262160:RNN262168 RXJ262160:RXJ262168 SHF262160:SHF262168 SRB262160:SRB262168 TAX262160:TAX262168 TKT262160:TKT262168 TUP262160:TUP262168 UEL262160:UEL262168 UOH262160:UOH262168 UYD262160:UYD262168 VHZ262160:VHZ262168 VRV262160:VRV262168 WBR262160:WBR262168 WLN262160:WLN262168 WVJ262160:WVJ262168 B327696:B327704 IX327696:IX327704 ST327696:ST327704 ACP327696:ACP327704 AML327696:AML327704 AWH327696:AWH327704 BGD327696:BGD327704 BPZ327696:BPZ327704 BZV327696:BZV327704 CJR327696:CJR327704 CTN327696:CTN327704 DDJ327696:DDJ327704 DNF327696:DNF327704 DXB327696:DXB327704 EGX327696:EGX327704 EQT327696:EQT327704 FAP327696:FAP327704 FKL327696:FKL327704 FUH327696:FUH327704 GED327696:GED327704 GNZ327696:GNZ327704 GXV327696:GXV327704 HHR327696:HHR327704 HRN327696:HRN327704 IBJ327696:IBJ327704 ILF327696:ILF327704 IVB327696:IVB327704 JEX327696:JEX327704 JOT327696:JOT327704 JYP327696:JYP327704 KIL327696:KIL327704 KSH327696:KSH327704 LCD327696:LCD327704 LLZ327696:LLZ327704 LVV327696:LVV327704 MFR327696:MFR327704 MPN327696:MPN327704 MZJ327696:MZJ327704 NJF327696:NJF327704 NTB327696:NTB327704 OCX327696:OCX327704 OMT327696:OMT327704 OWP327696:OWP327704 PGL327696:PGL327704 PQH327696:PQH327704 QAD327696:QAD327704 QJZ327696:QJZ327704 QTV327696:QTV327704 RDR327696:RDR327704 RNN327696:RNN327704 RXJ327696:RXJ327704 SHF327696:SHF327704 SRB327696:SRB327704 TAX327696:TAX327704 TKT327696:TKT327704 TUP327696:TUP327704 UEL327696:UEL327704 UOH327696:UOH327704 UYD327696:UYD327704 VHZ327696:VHZ327704 VRV327696:VRV327704 WBR327696:WBR327704 WLN327696:WLN327704 WVJ327696:WVJ327704 B393232:B393240 IX393232:IX393240 ST393232:ST393240 ACP393232:ACP393240 AML393232:AML393240 AWH393232:AWH393240 BGD393232:BGD393240 BPZ393232:BPZ393240 BZV393232:BZV393240 CJR393232:CJR393240 CTN393232:CTN393240 DDJ393232:DDJ393240 DNF393232:DNF393240 DXB393232:DXB393240 EGX393232:EGX393240 EQT393232:EQT393240 FAP393232:FAP393240 FKL393232:FKL393240 FUH393232:FUH393240 GED393232:GED393240 GNZ393232:GNZ393240 GXV393232:GXV393240 HHR393232:HHR393240 HRN393232:HRN393240 IBJ393232:IBJ393240 ILF393232:ILF393240 IVB393232:IVB393240 JEX393232:JEX393240 JOT393232:JOT393240 JYP393232:JYP393240 KIL393232:KIL393240 KSH393232:KSH393240 LCD393232:LCD393240 LLZ393232:LLZ393240 LVV393232:LVV393240 MFR393232:MFR393240 MPN393232:MPN393240 MZJ393232:MZJ393240 NJF393232:NJF393240 NTB393232:NTB393240 OCX393232:OCX393240 OMT393232:OMT393240 OWP393232:OWP393240 PGL393232:PGL393240 PQH393232:PQH393240 QAD393232:QAD393240 QJZ393232:QJZ393240 QTV393232:QTV393240 RDR393232:RDR393240 RNN393232:RNN393240 RXJ393232:RXJ393240 SHF393232:SHF393240 SRB393232:SRB393240 TAX393232:TAX393240 TKT393232:TKT393240 TUP393232:TUP393240 UEL393232:UEL393240 UOH393232:UOH393240 UYD393232:UYD393240 VHZ393232:VHZ393240 VRV393232:VRV393240 WBR393232:WBR393240 WLN393232:WLN393240 WVJ393232:WVJ393240 B458768:B458776 IX458768:IX458776 ST458768:ST458776 ACP458768:ACP458776 AML458768:AML458776 AWH458768:AWH458776 BGD458768:BGD458776 BPZ458768:BPZ458776 BZV458768:BZV458776 CJR458768:CJR458776 CTN458768:CTN458776 DDJ458768:DDJ458776 DNF458768:DNF458776 DXB458768:DXB458776 EGX458768:EGX458776 EQT458768:EQT458776 FAP458768:FAP458776 FKL458768:FKL458776 FUH458768:FUH458776 GED458768:GED458776 GNZ458768:GNZ458776 GXV458768:GXV458776 HHR458768:HHR458776 HRN458768:HRN458776 IBJ458768:IBJ458776 ILF458768:ILF458776 IVB458768:IVB458776 JEX458768:JEX458776 JOT458768:JOT458776 JYP458768:JYP458776 KIL458768:KIL458776 KSH458768:KSH458776 LCD458768:LCD458776 LLZ458768:LLZ458776 LVV458768:LVV458776 MFR458768:MFR458776 MPN458768:MPN458776 MZJ458768:MZJ458776 NJF458768:NJF458776 NTB458768:NTB458776 OCX458768:OCX458776 OMT458768:OMT458776 OWP458768:OWP458776 PGL458768:PGL458776 PQH458768:PQH458776 QAD458768:QAD458776 QJZ458768:QJZ458776 QTV458768:QTV458776 RDR458768:RDR458776 RNN458768:RNN458776 RXJ458768:RXJ458776 SHF458768:SHF458776 SRB458768:SRB458776 TAX458768:TAX458776 TKT458768:TKT458776 TUP458768:TUP458776 UEL458768:UEL458776 UOH458768:UOH458776 UYD458768:UYD458776 VHZ458768:VHZ458776 VRV458768:VRV458776 WBR458768:WBR458776 WLN458768:WLN458776 WVJ458768:WVJ458776 B524304:B524312 IX524304:IX524312 ST524304:ST524312 ACP524304:ACP524312 AML524304:AML524312 AWH524304:AWH524312 BGD524304:BGD524312 BPZ524304:BPZ524312 BZV524304:BZV524312 CJR524304:CJR524312 CTN524304:CTN524312 DDJ524304:DDJ524312 DNF524304:DNF524312 DXB524304:DXB524312 EGX524304:EGX524312 EQT524304:EQT524312 FAP524304:FAP524312 FKL524304:FKL524312 FUH524304:FUH524312 GED524304:GED524312 GNZ524304:GNZ524312 GXV524304:GXV524312 HHR524304:HHR524312 HRN524304:HRN524312 IBJ524304:IBJ524312 ILF524304:ILF524312 IVB524304:IVB524312 JEX524304:JEX524312 JOT524304:JOT524312 JYP524304:JYP524312 KIL524304:KIL524312 KSH524304:KSH524312 LCD524304:LCD524312 LLZ524304:LLZ524312 LVV524304:LVV524312 MFR524304:MFR524312 MPN524304:MPN524312 MZJ524304:MZJ524312 NJF524304:NJF524312 NTB524304:NTB524312 OCX524304:OCX524312 OMT524304:OMT524312 OWP524304:OWP524312 PGL524304:PGL524312 PQH524304:PQH524312 QAD524304:QAD524312 QJZ524304:QJZ524312 QTV524304:QTV524312 RDR524304:RDR524312 RNN524304:RNN524312 RXJ524304:RXJ524312 SHF524304:SHF524312 SRB524304:SRB524312 TAX524304:TAX524312 TKT524304:TKT524312 TUP524304:TUP524312 UEL524304:UEL524312 UOH524304:UOH524312 UYD524304:UYD524312 VHZ524304:VHZ524312 VRV524304:VRV524312 WBR524304:WBR524312 WLN524304:WLN524312 WVJ524304:WVJ524312 B589840:B589848 IX589840:IX589848 ST589840:ST589848 ACP589840:ACP589848 AML589840:AML589848 AWH589840:AWH589848 BGD589840:BGD589848 BPZ589840:BPZ589848 BZV589840:BZV589848 CJR589840:CJR589848 CTN589840:CTN589848 DDJ589840:DDJ589848 DNF589840:DNF589848 DXB589840:DXB589848 EGX589840:EGX589848 EQT589840:EQT589848 FAP589840:FAP589848 FKL589840:FKL589848 FUH589840:FUH589848 GED589840:GED589848 GNZ589840:GNZ589848 GXV589840:GXV589848 HHR589840:HHR589848 HRN589840:HRN589848 IBJ589840:IBJ589848 ILF589840:ILF589848 IVB589840:IVB589848 JEX589840:JEX589848 JOT589840:JOT589848 JYP589840:JYP589848 KIL589840:KIL589848 KSH589840:KSH589848 LCD589840:LCD589848 LLZ589840:LLZ589848 LVV589840:LVV589848 MFR589840:MFR589848 MPN589840:MPN589848 MZJ589840:MZJ589848 NJF589840:NJF589848 NTB589840:NTB589848 OCX589840:OCX589848 OMT589840:OMT589848 OWP589840:OWP589848 PGL589840:PGL589848 PQH589840:PQH589848 QAD589840:QAD589848 QJZ589840:QJZ589848 QTV589840:QTV589848 RDR589840:RDR589848 RNN589840:RNN589848 RXJ589840:RXJ589848 SHF589840:SHF589848 SRB589840:SRB589848 TAX589840:TAX589848 TKT589840:TKT589848 TUP589840:TUP589848 UEL589840:UEL589848 UOH589840:UOH589848 UYD589840:UYD589848 VHZ589840:VHZ589848 VRV589840:VRV589848 WBR589840:WBR589848 WLN589840:WLN589848 WVJ589840:WVJ589848 B655376:B655384 IX655376:IX655384 ST655376:ST655384 ACP655376:ACP655384 AML655376:AML655384 AWH655376:AWH655384 BGD655376:BGD655384 BPZ655376:BPZ655384 BZV655376:BZV655384 CJR655376:CJR655384 CTN655376:CTN655384 DDJ655376:DDJ655384 DNF655376:DNF655384 DXB655376:DXB655384 EGX655376:EGX655384 EQT655376:EQT655384 FAP655376:FAP655384 FKL655376:FKL655384 FUH655376:FUH655384 GED655376:GED655384 GNZ655376:GNZ655384 GXV655376:GXV655384 HHR655376:HHR655384 HRN655376:HRN655384 IBJ655376:IBJ655384 ILF655376:ILF655384 IVB655376:IVB655384 JEX655376:JEX655384 JOT655376:JOT655384 JYP655376:JYP655384 KIL655376:KIL655384 KSH655376:KSH655384 LCD655376:LCD655384 LLZ655376:LLZ655384 LVV655376:LVV655384 MFR655376:MFR655384 MPN655376:MPN655384 MZJ655376:MZJ655384 NJF655376:NJF655384 NTB655376:NTB655384 OCX655376:OCX655384 OMT655376:OMT655384 OWP655376:OWP655384 PGL655376:PGL655384 PQH655376:PQH655384 QAD655376:QAD655384 QJZ655376:QJZ655384 QTV655376:QTV655384 RDR655376:RDR655384 RNN655376:RNN655384 RXJ655376:RXJ655384 SHF655376:SHF655384 SRB655376:SRB655384 TAX655376:TAX655384 TKT655376:TKT655384 TUP655376:TUP655384 UEL655376:UEL655384 UOH655376:UOH655384 UYD655376:UYD655384 VHZ655376:VHZ655384 VRV655376:VRV655384 WBR655376:WBR655384 WLN655376:WLN655384 WVJ655376:WVJ655384 B720912:B720920 IX720912:IX720920 ST720912:ST720920 ACP720912:ACP720920 AML720912:AML720920 AWH720912:AWH720920 BGD720912:BGD720920 BPZ720912:BPZ720920 BZV720912:BZV720920 CJR720912:CJR720920 CTN720912:CTN720920 DDJ720912:DDJ720920 DNF720912:DNF720920 DXB720912:DXB720920 EGX720912:EGX720920 EQT720912:EQT720920 FAP720912:FAP720920 FKL720912:FKL720920 FUH720912:FUH720920 GED720912:GED720920 GNZ720912:GNZ720920 GXV720912:GXV720920 HHR720912:HHR720920 HRN720912:HRN720920 IBJ720912:IBJ720920 ILF720912:ILF720920 IVB720912:IVB720920 JEX720912:JEX720920 JOT720912:JOT720920 JYP720912:JYP720920 KIL720912:KIL720920 KSH720912:KSH720920 LCD720912:LCD720920 LLZ720912:LLZ720920 LVV720912:LVV720920 MFR720912:MFR720920 MPN720912:MPN720920 MZJ720912:MZJ720920 NJF720912:NJF720920 NTB720912:NTB720920 OCX720912:OCX720920 OMT720912:OMT720920 OWP720912:OWP720920 PGL720912:PGL720920 PQH720912:PQH720920 QAD720912:QAD720920 QJZ720912:QJZ720920 QTV720912:QTV720920 RDR720912:RDR720920 RNN720912:RNN720920 RXJ720912:RXJ720920 SHF720912:SHF720920 SRB720912:SRB720920 TAX720912:TAX720920 TKT720912:TKT720920 TUP720912:TUP720920 UEL720912:UEL720920 UOH720912:UOH720920 UYD720912:UYD720920 VHZ720912:VHZ720920 VRV720912:VRV720920 WBR720912:WBR720920 WLN720912:WLN720920 WVJ720912:WVJ720920 B786448:B786456 IX786448:IX786456 ST786448:ST786456 ACP786448:ACP786456 AML786448:AML786456 AWH786448:AWH786456 BGD786448:BGD786456 BPZ786448:BPZ786456 BZV786448:BZV786456 CJR786448:CJR786456 CTN786448:CTN786456 DDJ786448:DDJ786456 DNF786448:DNF786456 DXB786448:DXB786456 EGX786448:EGX786456 EQT786448:EQT786456 FAP786448:FAP786456 FKL786448:FKL786456 FUH786448:FUH786456 GED786448:GED786456 GNZ786448:GNZ786456 GXV786448:GXV786456 HHR786448:HHR786456 HRN786448:HRN786456 IBJ786448:IBJ786456 ILF786448:ILF786456 IVB786448:IVB786456 JEX786448:JEX786456 JOT786448:JOT786456 JYP786448:JYP786456 KIL786448:KIL786456 KSH786448:KSH786456 LCD786448:LCD786456 LLZ786448:LLZ786456 LVV786448:LVV786456 MFR786448:MFR786456 MPN786448:MPN786456 MZJ786448:MZJ786456 NJF786448:NJF786456 NTB786448:NTB786456 OCX786448:OCX786456 OMT786448:OMT786456 OWP786448:OWP786456 PGL786448:PGL786456 PQH786448:PQH786456 QAD786448:QAD786456 QJZ786448:QJZ786456 QTV786448:QTV786456 RDR786448:RDR786456 RNN786448:RNN786456 RXJ786448:RXJ786456 SHF786448:SHF786456 SRB786448:SRB786456 TAX786448:TAX786456 TKT786448:TKT786456 TUP786448:TUP786456 UEL786448:UEL786456 UOH786448:UOH786456 UYD786448:UYD786456 VHZ786448:VHZ786456 VRV786448:VRV786456 WBR786448:WBR786456 WLN786448:WLN786456 WVJ786448:WVJ786456 B851984:B851992 IX851984:IX851992 ST851984:ST851992 ACP851984:ACP851992 AML851984:AML851992 AWH851984:AWH851992 BGD851984:BGD851992 BPZ851984:BPZ851992 BZV851984:BZV851992 CJR851984:CJR851992 CTN851984:CTN851992 DDJ851984:DDJ851992 DNF851984:DNF851992 DXB851984:DXB851992 EGX851984:EGX851992 EQT851984:EQT851992 FAP851984:FAP851992 FKL851984:FKL851992 FUH851984:FUH851992 GED851984:GED851992 GNZ851984:GNZ851992 GXV851984:GXV851992 HHR851984:HHR851992 HRN851984:HRN851992 IBJ851984:IBJ851992 ILF851984:ILF851992 IVB851984:IVB851992 JEX851984:JEX851992 JOT851984:JOT851992 JYP851984:JYP851992 KIL851984:KIL851992 KSH851984:KSH851992 LCD851984:LCD851992 LLZ851984:LLZ851992 LVV851984:LVV851992 MFR851984:MFR851992 MPN851984:MPN851992 MZJ851984:MZJ851992 NJF851984:NJF851992 NTB851984:NTB851992 OCX851984:OCX851992 OMT851984:OMT851992 OWP851984:OWP851992 PGL851984:PGL851992 PQH851984:PQH851992 QAD851984:QAD851992 QJZ851984:QJZ851992 QTV851984:QTV851992 RDR851984:RDR851992 RNN851984:RNN851992 RXJ851984:RXJ851992 SHF851984:SHF851992 SRB851984:SRB851992 TAX851984:TAX851992 TKT851984:TKT851992 TUP851984:TUP851992 UEL851984:UEL851992 UOH851984:UOH851992 UYD851984:UYD851992 VHZ851984:VHZ851992 VRV851984:VRV851992 WBR851984:WBR851992 WLN851984:WLN851992 WVJ851984:WVJ851992 B917520:B917528 IX917520:IX917528 ST917520:ST917528 ACP917520:ACP917528 AML917520:AML917528 AWH917520:AWH917528 BGD917520:BGD917528 BPZ917520:BPZ917528 BZV917520:BZV917528 CJR917520:CJR917528 CTN917520:CTN917528 DDJ917520:DDJ917528 DNF917520:DNF917528 DXB917520:DXB917528 EGX917520:EGX917528 EQT917520:EQT917528 FAP917520:FAP917528 FKL917520:FKL917528 FUH917520:FUH917528 GED917520:GED917528 GNZ917520:GNZ917528 GXV917520:GXV917528 HHR917520:HHR917528 HRN917520:HRN917528 IBJ917520:IBJ917528 ILF917520:ILF917528 IVB917520:IVB917528 JEX917520:JEX917528 JOT917520:JOT917528 JYP917520:JYP917528 KIL917520:KIL917528 KSH917520:KSH917528 LCD917520:LCD917528 LLZ917520:LLZ917528 LVV917520:LVV917528 MFR917520:MFR917528 MPN917520:MPN917528 MZJ917520:MZJ917528 NJF917520:NJF917528 NTB917520:NTB917528 OCX917520:OCX917528 OMT917520:OMT917528 OWP917520:OWP917528 PGL917520:PGL917528 PQH917520:PQH917528 QAD917520:QAD917528 QJZ917520:QJZ917528 QTV917520:QTV917528 RDR917520:RDR917528 RNN917520:RNN917528 RXJ917520:RXJ917528 SHF917520:SHF917528 SRB917520:SRB917528 TAX917520:TAX917528 TKT917520:TKT917528 TUP917520:TUP917528 UEL917520:UEL917528 UOH917520:UOH917528 UYD917520:UYD917528 VHZ917520:VHZ917528 VRV917520:VRV917528 WBR917520:WBR917528 WLN917520:WLN917528 WVJ917520:WVJ917528 B983056:B983064 IX983056:IX983064 ST983056:ST983064 ACP983056:ACP983064 AML983056:AML983064 AWH983056:AWH983064 BGD983056:BGD983064 BPZ983056:BPZ983064 BZV983056:BZV983064 CJR983056:CJR983064 CTN983056:CTN983064 DDJ983056:DDJ983064 DNF983056:DNF983064 DXB983056:DXB983064 EGX983056:EGX983064 EQT983056:EQT983064 FAP983056:FAP983064 FKL983056:FKL983064 FUH983056:FUH983064 GED983056:GED983064 GNZ983056:GNZ983064 GXV983056:GXV983064 HHR983056:HHR983064 HRN983056:HRN983064 IBJ983056:IBJ983064 ILF983056:ILF983064 IVB983056:IVB983064 JEX983056:JEX983064 JOT983056:JOT983064 JYP983056:JYP983064 KIL983056:KIL983064 KSH983056:KSH983064 LCD983056:LCD983064 LLZ983056:LLZ983064 LVV983056:LVV983064 MFR983056:MFR983064 MPN983056:MPN983064 MZJ983056:MZJ983064 NJF983056:NJF983064 NTB983056:NTB983064 OCX983056:OCX983064 OMT983056:OMT983064 OWP983056:OWP983064 PGL983056:PGL983064 PQH983056:PQH983064 QAD983056:QAD983064 QJZ983056:QJZ983064 QTV983056:QTV983064 RDR983056:RDR983064 RNN983056:RNN983064 RXJ983056:RXJ983064 SHF983056:SHF983064 SRB983056:SRB983064 TAX983056:TAX983064 TKT983056:TKT983064 TUP983056:TUP983064 UEL983056:UEL983064 UOH983056:UOH983064 UYD983056:UYD983064 VHZ983056:VHZ983064 VRV983056:VRV983064 WBR983056:WBR983064 WLN983056:WLN983064 WVJ983056:WVJ983064" xr:uid="{E62DFF51-0DEA-4444-9C82-DE9AE4DE4850}">
      <formula1>$A$42:$A$91</formula1>
    </dataValidation>
  </dataValidations>
  <hyperlinks>
    <hyperlink ref="V2:Y2" location="sp333" display="Return to overview &amp; guidance sheet" xr:uid="{0472F469-A45D-441C-92C2-8933B7B06925}"/>
    <hyperlink ref="B4:S5" r:id="rId1" display="Worksheet 3 is used to calculate the PV costs of the different options. A separate Worksheet 3 is required for each option evaluated. To convert dollar values from different years to base date values, use the update factors on the MBCM webpage." xr:uid="{078A2100-8B51-4676-AAB1-B76076148410}"/>
  </hyperlinks>
  <printOptions horizontalCentered="1"/>
  <pageMargins left="0.74803149606299213" right="0.70866141732283472" top="0.74803149606299213" bottom="0.9055118110236221" header="0.39370078740157483" footer="0.39370078740157483"/>
  <pageSetup paperSize="9" scale="95" orientation="portrait" r:id="rId2"/>
  <headerFooter scaleWithDoc="0" alignWithMargins="0">
    <oddHeader>&amp;L&amp;"-,Regular"&amp;8&amp;F&amp;R&amp;"-,Regular"&amp;8&amp;A
______________________________________________________________________________________________</oddHeader>
    <oddFooter>&amp;L&amp;"-,Regular"&amp;8______________________________________________________________________________________________
NZ Transport Agency’s Economic evaluation manual 
Effective from Jul 2013</oddFooter>
  </headerFooter>
  <colBreaks count="1" manualBreakCount="1">
    <brk id="20"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5102F-2536-46FF-9ECB-709E87AFDB07}">
  <ds:schemaRefs>
    <ds:schemaRef ds:uri="fe711059-3473-4d0a-bf90-08974e90274a"/>
    <ds:schemaRef ds:uri="http://purl.org/dc/elements/1.1/"/>
    <ds:schemaRef ds:uri="http://schemas.microsoft.com/office/2006/metadata/properties"/>
    <ds:schemaRef ds:uri="http://schemas.microsoft.com/office/2006/documentManagement/types"/>
    <ds:schemaRef ds:uri="610edd1d-c37b-469a-931b-7a7fbdbef28d"/>
    <ds:schemaRef ds:uri="http://schemas.openxmlformats.org/package/2006/metadata/core-properties"/>
    <ds:schemaRef ds:uri="http://purl.org/dc/terms/"/>
    <ds:schemaRef ds:uri="http://schemas.microsoft.com/office/infopath/2007/PartnerControls"/>
    <ds:schemaRef ds:uri="http://purl.org/dc/dcmitype/"/>
    <ds:schemaRef ds:uri="http://www.w3.org/XML/1998/namespace"/>
  </ds:schemaRefs>
</ds:datastoreItem>
</file>

<file path=customXml/itemProps2.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3.xml><?xml version="1.0" encoding="utf-8"?>
<ds:datastoreItem xmlns:ds="http://schemas.openxmlformats.org/officeDocument/2006/customXml" ds:itemID="{822878A5-72DE-4A39-B9BC-F20A2B6E0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AST</vt:lpstr>
      <vt:lpstr>Benefits Framework</vt:lpstr>
      <vt:lpstr>W1 - Summary_Upload</vt:lpstr>
      <vt:lpstr>overview &amp; guide</vt:lpstr>
      <vt:lpstr>SP3-1</vt:lpstr>
      <vt:lpstr>SP3-2</vt:lpstr>
      <vt:lpstr>SP3-3 (1)</vt:lpstr>
      <vt:lpstr>SP3-3 (2)</vt:lpstr>
      <vt:lpstr>SP3-3 (3)</vt:lpstr>
      <vt:lpstr>SP3-4</vt:lpstr>
      <vt:lpstr>SP3-5</vt:lpstr>
      <vt:lpstr>SP3-6</vt:lpstr>
      <vt:lpstr>SP3-7</vt:lpstr>
      <vt:lpstr>Tables</vt:lpstr>
      <vt:lpstr>Cost Estimates</vt:lpstr>
      <vt:lpstr>Sensitivity</vt:lpstr>
      <vt:lpstr>Working</vt:lpstr>
      <vt:lpstr>Notes</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'overview &amp; guide'!Print_Area</vt:lpstr>
      <vt:lpstr>'SP3-1'!Print_Area</vt:lpstr>
      <vt:lpstr>'SP3-2'!Print_Area</vt:lpstr>
      <vt:lpstr>'SP3-3 (1)'!Print_Area</vt:lpstr>
      <vt:lpstr>'SP3-3 (2)'!Print_Area</vt:lpstr>
      <vt:lpstr>'SP3-3 (3)'!Print_Area</vt:lpstr>
      <vt:lpstr>'SP3-4'!Print_Area</vt:lpstr>
      <vt:lpstr>'SP3-5'!Print_Area</vt:lpstr>
      <vt:lpstr>'SP3-6'!Print_Area</vt:lpstr>
      <vt:lpstr>'SP3-7'!Print_Area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2023-04-14T01:23:51Z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